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410"/>
  <workbookPr/>
  <mc:AlternateContent xmlns:mc="http://schemas.openxmlformats.org/markup-compatibility/2006">
    <mc:Choice Requires="x15">
      <x15ac:absPath xmlns:x15ac="http://schemas.microsoft.com/office/spreadsheetml/2010/11/ac" url="/Users/carlos.gatica/Documents/DFI/2018/Instrumentos/BXD/"/>
    </mc:Choice>
  </mc:AlternateContent>
  <bookViews>
    <workbookView xWindow="11000" yWindow="4520" windowWidth="37280" windowHeight="20000" tabRatio="839"/>
  </bookViews>
  <sheets>
    <sheet name="Montos BD 2018" sheetId="4" r:id="rId1"/>
    <sheet name="Montos BD 2018 Anticipo y Saldo" sheetId="11" r:id="rId2"/>
    <sheet name="Categorías" sheetId="1" r:id="rId3"/>
    <sheet name="Valores" sheetId="2" r:id="rId4"/>
    <sheet name="Indicadores" sheetId="3" r:id="rId5"/>
    <sheet name="Publicaciones CM" sheetId="5" r:id="rId6"/>
    <sheet name="Acreditación CM" sheetId="6" r:id="rId7"/>
    <sheet name="Doctorado JC CM" sheetId="7" r:id="rId8"/>
    <sheet name="Programas Doct. Acreditados CM" sheetId="8" r:id="rId9"/>
    <sheet name="Académicos JC CM" sheetId="9" r:id="rId10"/>
    <sheet name="Matrícula Regular Pre CM" sheetId="1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9" hidden="1">'Académicos JC CM'!$A$2:$C$11</definedName>
    <definedName name="_xlnm._FilterDatabase" localSheetId="2" hidden="1">Categorías!$A$3:$AL$13</definedName>
    <definedName name="_xlnm._FilterDatabase" localSheetId="7" hidden="1">'Doctorado JC CM'!$A$2:$C$11</definedName>
    <definedName name="_xlnm._FilterDatabase" localSheetId="4" hidden="1">Indicadores!$A$1:$AI$3</definedName>
    <definedName name="_xlnm._FilterDatabase" localSheetId="0" hidden="1">'Montos BD 2018'!$A$5:$P$21</definedName>
    <definedName name="_xlnm._FilterDatabase" localSheetId="1" hidden="1">'Montos BD 2018 Anticipo y Saldo'!$A$5:$D$19</definedName>
    <definedName name="_xlnm._FilterDatabase" localSheetId="3" hidden="1">Valores!$A$1:$Y$17</definedName>
    <definedName name="_xlnm.Print_Titles" localSheetId="0">'Montos BD 2018'!$A:$A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11" l="1"/>
  <c r="K18" i="11"/>
  <c r="I16" i="11"/>
  <c r="I17" i="11"/>
  <c r="I15" i="11"/>
  <c r="I11" i="11"/>
  <c r="I14" i="11"/>
  <c r="I13" i="11"/>
  <c r="I12" i="11"/>
  <c r="I10" i="11"/>
  <c r="I9" i="11"/>
  <c r="B24" i="11"/>
  <c r="C16" i="11"/>
  <c r="B16" i="11"/>
  <c r="A16" i="11"/>
  <c r="C17" i="11"/>
  <c r="B17" i="11"/>
  <c r="A17" i="11"/>
  <c r="C15" i="11"/>
  <c r="B15" i="11"/>
  <c r="A15" i="11"/>
  <c r="C11" i="11"/>
  <c r="B11" i="11"/>
  <c r="A11" i="11"/>
  <c r="C14" i="11"/>
  <c r="B14" i="11"/>
  <c r="A14" i="11"/>
  <c r="C13" i="11"/>
  <c r="B13" i="11"/>
  <c r="A13" i="11"/>
  <c r="C12" i="11"/>
  <c r="B12" i="11"/>
  <c r="A12" i="11"/>
  <c r="C10" i="11"/>
  <c r="B10" i="11"/>
  <c r="A10" i="11"/>
  <c r="C9" i="11"/>
  <c r="B9" i="11"/>
  <c r="A9" i="11"/>
  <c r="I18" i="11"/>
  <c r="J12" i="11"/>
  <c r="J10" i="11"/>
  <c r="J17" i="11"/>
  <c r="J9" i="11"/>
  <c r="J13" i="11"/>
  <c r="J16" i="11"/>
  <c r="J15" i="11"/>
  <c r="J11" i="11"/>
  <c r="J14" i="11"/>
  <c r="C11" i="10"/>
  <c r="C10" i="10"/>
  <c r="C9" i="10"/>
  <c r="C8" i="10"/>
  <c r="C7" i="10"/>
  <c r="C6" i="10"/>
  <c r="C5" i="10"/>
  <c r="C4" i="10"/>
  <c r="C3" i="10"/>
  <c r="C11" i="9"/>
  <c r="C10" i="9"/>
  <c r="C9" i="9"/>
  <c r="C8" i="9"/>
  <c r="C7" i="9"/>
  <c r="C6" i="9"/>
  <c r="C5" i="9"/>
  <c r="C4" i="9"/>
  <c r="C3" i="9"/>
  <c r="C11" i="7"/>
  <c r="C10" i="7"/>
  <c r="C9" i="7"/>
  <c r="C8" i="7"/>
  <c r="C7" i="7"/>
  <c r="C6" i="7"/>
  <c r="C5" i="7"/>
  <c r="C4" i="7"/>
  <c r="C3" i="7"/>
  <c r="E11" i="6"/>
  <c r="H11" i="6"/>
  <c r="D11" i="6"/>
  <c r="G11" i="6"/>
  <c r="C11" i="6"/>
  <c r="F11" i="6"/>
  <c r="E10" i="6"/>
  <c r="H10" i="6"/>
  <c r="D10" i="6"/>
  <c r="G10" i="6"/>
  <c r="C10" i="6"/>
  <c r="F10" i="6"/>
  <c r="E9" i="6"/>
  <c r="H9" i="6"/>
  <c r="D9" i="6"/>
  <c r="G9" i="6"/>
  <c r="C9" i="6"/>
  <c r="F9" i="6"/>
  <c r="E8" i="6"/>
  <c r="H8" i="6"/>
  <c r="D8" i="6"/>
  <c r="G8" i="6"/>
  <c r="C8" i="6"/>
  <c r="F8" i="6"/>
  <c r="E7" i="6"/>
  <c r="H7" i="6"/>
  <c r="D7" i="6"/>
  <c r="G7" i="6"/>
  <c r="C7" i="6"/>
  <c r="F7" i="6"/>
  <c r="E6" i="6"/>
  <c r="H6" i="6"/>
  <c r="D6" i="6"/>
  <c r="G6" i="6"/>
  <c r="C6" i="6"/>
  <c r="F6" i="6"/>
  <c r="E5" i="6"/>
  <c r="H5" i="6"/>
  <c r="D5" i="6"/>
  <c r="G5" i="6"/>
  <c r="C5" i="6"/>
  <c r="F5" i="6"/>
  <c r="E4" i="6"/>
  <c r="H4" i="6"/>
  <c r="D4" i="6"/>
  <c r="G4" i="6"/>
  <c r="C4" i="6"/>
  <c r="F4" i="6"/>
  <c r="E3" i="6"/>
  <c r="D3" i="6"/>
  <c r="G3" i="6"/>
  <c r="C3" i="6"/>
  <c r="F3" i="6"/>
  <c r="C12" i="5"/>
  <c r="D11" i="5"/>
  <c r="D10" i="5"/>
  <c r="D9" i="5"/>
  <c r="D8" i="5"/>
  <c r="D7" i="5"/>
  <c r="D6" i="5"/>
  <c r="D5" i="5"/>
  <c r="D4" i="5"/>
  <c r="D3" i="5"/>
  <c r="D12" i="5"/>
  <c r="U77" i="3"/>
  <c r="T77" i="3"/>
  <c r="S77" i="3"/>
  <c r="R77" i="3"/>
  <c r="Q77" i="3"/>
  <c r="U76" i="3"/>
  <c r="T76" i="3"/>
  <c r="S76" i="3"/>
  <c r="R76" i="3"/>
  <c r="Q76" i="3"/>
  <c r="U75" i="3"/>
  <c r="T75" i="3"/>
  <c r="S75" i="3"/>
  <c r="R75" i="3"/>
  <c r="Q75" i="3"/>
  <c r="U74" i="3"/>
  <c r="T74" i="3"/>
  <c r="S74" i="3"/>
  <c r="R74" i="3"/>
  <c r="Q74" i="3"/>
  <c r="U73" i="3"/>
  <c r="T73" i="3"/>
  <c r="S73" i="3"/>
  <c r="R73" i="3"/>
  <c r="Q73" i="3"/>
  <c r="U63" i="3"/>
  <c r="T63" i="3"/>
  <c r="S63" i="3"/>
  <c r="R63" i="3"/>
  <c r="Q63" i="3"/>
  <c r="U62" i="3"/>
  <c r="T62" i="3"/>
  <c r="S62" i="3"/>
  <c r="R62" i="3"/>
  <c r="Q62" i="3"/>
  <c r="U61" i="3"/>
  <c r="T61" i="3"/>
  <c r="S61" i="3"/>
  <c r="R61" i="3"/>
  <c r="Q61" i="3"/>
  <c r="U60" i="3"/>
  <c r="T60" i="3"/>
  <c r="S60" i="3"/>
  <c r="R60" i="3"/>
  <c r="Q60" i="3"/>
  <c r="U59" i="3"/>
  <c r="T59" i="3"/>
  <c r="S59" i="3"/>
  <c r="R59" i="3"/>
  <c r="Q59" i="3"/>
  <c r="U58" i="3"/>
  <c r="T58" i="3"/>
  <c r="S58" i="3"/>
  <c r="R58" i="3"/>
  <c r="Q58" i="3"/>
  <c r="U57" i="3"/>
  <c r="T57" i="3"/>
  <c r="S57" i="3"/>
  <c r="R57" i="3"/>
  <c r="Q57" i="3"/>
  <c r="U56" i="3"/>
  <c r="T56" i="3"/>
  <c r="S56" i="3"/>
  <c r="R56" i="3"/>
  <c r="Q56" i="3"/>
  <c r="U55" i="3"/>
  <c r="T55" i="3"/>
  <c r="S55" i="3"/>
  <c r="R55" i="3"/>
  <c r="Q55" i="3"/>
  <c r="U54" i="3"/>
  <c r="T54" i="3"/>
  <c r="S54" i="3"/>
  <c r="R54" i="3"/>
  <c r="Q54" i="3"/>
  <c r="U53" i="3"/>
  <c r="T53" i="3"/>
  <c r="S53" i="3"/>
  <c r="R53" i="3"/>
  <c r="Q53" i="3"/>
  <c r="U52" i="3"/>
  <c r="T52" i="3"/>
  <c r="S52" i="3"/>
  <c r="R52" i="3"/>
  <c r="Q52" i="3"/>
  <c r="U51" i="3"/>
  <c r="T51" i="3"/>
  <c r="S51" i="3"/>
  <c r="R51" i="3"/>
  <c r="Q51" i="3"/>
  <c r="U50" i="3"/>
  <c r="T50" i="3"/>
  <c r="S50" i="3"/>
  <c r="R50" i="3"/>
  <c r="Q50" i="3"/>
  <c r="U49" i="3"/>
  <c r="T49" i="3"/>
  <c r="S49" i="3"/>
  <c r="R49" i="3"/>
  <c r="Q49" i="3"/>
  <c r="U48" i="3"/>
  <c r="T48" i="3"/>
  <c r="S48" i="3"/>
  <c r="R48" i="3"/>
  <c r="Q48" i="3"/>
  <c r="B12" i="3"/>
  <c r="B11" i="3"/>
  <c r="B9" i="3"/>
  <c r="B7" i="3"/>
  <c r="B5" i="3"/>
  <c r="V13" i="2"/>
  <c r="U13" i="2"/>
  <c r="X12" i="2"/>
  <c r="T12" i="2"/>
  <c r="R12" i="2"/>
  <c r="P12" i="2"/>
  <c r="N12" i="2"/>
  <c r="L12" i="2"/>
  <c r="J12" i="2"/>
  <c r="H12" i="2"/>
  <c r="F12" i="2"/>
  <c r="C12" i="2"/>
  <c r="C12" i="3"/>
  <c r="B12" i="2"/>
  <c r="W12" i="2"/>
  <c r="O12" i="3"/>
  <c r="Z12" i="3" a="1"/>
  <c r="Z12" i="3"/>
  <c r="A12" i="2"/>
  <c r="A12" i="3"/>
  <c r="X11" i="2"/>
  <c r="W11" i="2"/>
  <c r="O11" i="3"/>
  <c r="Z11" i="3" a="1"/>
  <c r="Z11" i="3"/>
  <c r="T11" i="2"/>
  <c r="R11" i="2"/>
  <c r="Q11" i="2"/>
  <c r="P11" i="2"/>
  <c r="N11" i="2"/>
  <c r="M11" i="2"/>
  <c r="L11" i="2"/>
  <c r="J11" i="2"/>
  <c r="I11" i="2"/>
  <c r="H11" i="2"/>
  <c r="F11" i="2"/>
  <c r="E11" i="2"/>
  <c r="C11" i="2"/>
  <c r="C11" i="3"/>
  <c r="B11" i="2"/>
  <c r="Y11" i="2"/>
  <c r="A11" i="2"/>
  <c r="A11" i="3"/>
  <c r="Y10" i="2"/>
  <c r="X10" i="2"/>
  <c r="T10" i="2"/>
  <c r="R10" i="2"/>
  <c r="P10" i="2"/>
  <c r="O10" i="2"/>
  <c r="L10" i="2"/>
  <c r="K10" i="2"/>
  <c r="J10" i="2"/>
  <c r="G10" i="2"/>
  <c r="F10" i="2"/>
  <c r="C10" i="2"/>
  <c r="C10" i="3"/>
  <c r="C17" i="4"/>
  <c r="B10" i="2"/>
  <c r="A10" i="2"/>
  <c r="A10" i="3"/>
  <c r="X9" i="2"/>
  <c r="W9" i="2"/>
  <c r="T9" i="2"/>
  <c r="R9" i="2"/>
  <c r="Q9" i="2"/>
  <c r="P9" i="2"/>
  <c r="N9" i="2"/>
  <c r="M9" i="2"/>
  <c r="L9" i="2"/>
  <c r="J9" i="2"/>
  <c r="I9" i="2"/>
  <c r="H9" i="2"/>
  <c r="F9" i="2"/>
  <c r="E9" i="2"/>
  <c r="C9" i="2"/>
  <c r="C9" i="3"/>
  <c r="B9" i="2"/>
  <c r="Y9" i="2"/>
  <c r="A9" i="2"/>
  <c r="A9" i="3"/>
  <c r="A13" i="4"/>
  <c r="Y8" i="2"/>
  <c r="R8" i="2"/>
  <c r="L8" i="2"/>
  <c r="G8" i="2"/>
  <c r="C8" i="2"/>
  <c r="C8" i="3"/>
  <c r="B8" i="2"/>
  <c r="A8" i="2"/>
  <c r="A8" i="3"/>
  <c r="X7" i="2"/>
  <c r="W7" i="2"/>
  <c r="T7" i="2"/>
  <c r="R7" i="2"/>
  <c r="Q7" i="2"/>
  <c r="P7" i="2"/>
  <c r="N7" i="2"/>
  <c r="M7" i="2"/>
  <c r="L7" i="2"/>
  <c r="J7" i="2"/>
  <c r="I7" i="2"/>
  <c r="H7" i="2"/>
  <c r="F7" i="2"/>
  <c r="E7" i="2"/>
  <c r="C7" i="2"/>
  <c r="C7" i="3"/>
  <c r="B7" i="2"/>
  <c r="Y7" i="2"/>
  <c r="A7" i="2"/>
  <c r="A7" i="3"/>
  <c r="Y6" i="2"/>
  <c r="X6" i="2"/>
  <c r="T6" i="2"/>
  <c r="R6" i="2"/>
  <c r="P6" i="2"/>
  <c r="O6" i="2"/>
  <c r="L6" i="2"/>
  <c r="K6" i="2"/>
  <c r="J6" i="2"/>
  <c r="G6" i="2"/>
  <c r="F6" i="2"/>
  <c r="C6" i="2"/>
  <c r="C6" i="3"/>
  <c r="C14" i="4"/>
  <c r="B6" i="2"/>
  <c r="A6" i="2"/>
  <c r="A6" i="3"/>
  <c r="X5" i="2"/>
  <c r="P5" i="3"/>
  <c r="W5" i="2"/>
  <c r="O5" i="3"/>
  <c r="T5" i="2"/>
  <c r="R5" i="2"/>
  <c r="Q5" i="2"/>
  <c r="P5" i="2"/>
  <c r="N5" i="2"/>
  <c r="M5" i="2"/>
  <c r="L5" i="2"/>
  <c r="J5" i="2"/>
  <c r="I5" i="2"/>
  <c r="H5" i="2"/>
  <c r="F5" i="2"/>
  <c r="E5" i="2"/>
  <c r="C5" i="2"/>
  <c r="C5" i="3"/>
  <c r="B5" i="2"/>
  <c r="Y5" i="2"/>
  <c r="A5" i="2"/>
  <c r="A5" i="3"/>
  <c r="A12" i="4"/>
  <c r="Y4" i="2"/>
  <c r="R4" i="2"/>
  <c r="L4" i="2"/>
  <c r="G4" i="2"/>
  <c r="C4" i="2"/>
  <c r="C4" i="3"/>
  <c r="B4" i="2"/>
  <c r="A4" i="2"/>
  <c r="A4" i="3"/>
  <c r="AC13" i="1"/>
  <c r="V13" i="1"/>
  <c r="S13" i="1"/>
  <c r="D13" i="1"/>
  <c r="AJ12" i="1"/>
  <c r="AB12" i="1"/>
  <c r="AD12" i="1"/>
  <c r="Z12" i="1"/>
  <c r="Y12" i="1"/>
  <c r="W12" i="1"/>
  <c r="X12" i="1"/>
  <c r="T12" i="1"/>
  <c r="U12" i="1"/>
  <c r="Q12" i="1"/>
  <c r="P12" i="1"/>
  <c r="N12" i="1"/>
  <c r="M12" i="1"/>
  <c r="K12" i="1"/>
  <c r="J12" i="1"/>
  <c r="H12" i="1"/>
  <c r="G12" i="1"/>
  <c r="E12" i="1"/>
  <c r="F12" i="1"/>
  <c r="AJ11" i="1"/>
  <c r="AB11" i="1"/>
  <c r="AD11" i="1"/>
  <c r="Z11" i="1"/>
  <c r="Y11" i="1"/>
  <c r="W11" i="1"/>
  <c r="X11" i="1"/>
  <c r="T11" i="1"/>
  <c r="U11" i="1"/>
  <c r="Q11" i="1"/>
  <c r="P11" i="1"/>
  <c r="N11" i="1"/>
  <c r="M11" i="1"/>
  <c r="K11" i="1"/>
  <c r="J11" i="1"/>
  <c r="H11" i="1"/>
  <c r="G11" i="1"/>
  <c r="E11" i="1"/>
  <c r="AJ10" i="1"/>
  <c r="AB10" i="1"/>
  <c r="AD10" i="1"/>
  <c r="Z10" i="1"/>
  <c r="Y10" i="1"/>
  <c r="W10" i="1"/>
  <c r="X10" i="1"/>
  <c r="T10" i="1"/>
  <c r="U10" i="1"/>
  <c r="Q10" i="1"/>
  <c r="P10" i="1"/>
  <c r="N10" i="1"/>
  <c r="M10" i="1"/>
  <c r="K10" i="1"/>
  <c r="J10" i="1"/>
  <c r="H10" i="1"/>
  <c r="G10" i="1"/>
  <c r="E10" i="1"/>
  <c r="F10" i="1"/>
  <c r="AJ9" i="1"/>
  <c r="AB9" i="1"/>
  <c r="AD9" i="1"/>
  <c r="Z9" i="1"/>
  <c r="Y9" i="1"/>
  <c r="W9" i="1"/>
  <c r="X9" i="1"/>
  <c r="T9" i="1"/>
  <c r="U9" i="1"/>
  <c r="Q9" i="1"/>
  <c r="P9" i="1"/>
  <c r="N9" i="1"/>
  <c r="M9" i="1"/>
  <c r="K9" i="1"/>
  <c r="J9" i="1"/>
  <c r="H9" i="1"/>
  <c r="G9" i="1"/>
  <c r="E9" i="1"/>
  <c r="F9" i="1"/>
  <c r="AJ8" i="1"/>
  <c r="AB8" i="1"/>
  <c r="AD8" i="1"/>
  <c r="Z8" i="1"/>
  <c r="Y8" i="1"/>
  <c r="W8" i="1"/>
  <c r="X8" i="1"/>
  <c r="T8" i="1"/>
  <c r="U8" i="1"/>
  <c r="Q8" i="1"/>
  <c r="P8" i="1"/>
  <c r="N8" i="1"/>
  <c r="M8" i="1"/>
  <c r="K8" i="1"/>
  <c r="J8" i="1"/>
  <c r="H8" i="1"/>
  <c r="G8" i="1"/>
  <c r="E8" i="1"/>
  <c r="AJ7" i="1"/>
  <c r="AB7" i="1"/>
  <c r="AD7" i="1"/>
  <c r="Z7" i="1"/>
  <c r="Y7" i="1"/>
  <c r="W7" i="1"/>
  <c r="X7" i="1"/>
  <c r="T7" i="1"/>
  <c r="U7" i="1"/>
  <c r="Q7" i="1"/>
  <c r="P7" i="1"/>
  <c r="N7" i="1"/>
  <c r="M7" i="1"/>
  <c r="K7" i="1"/>
  <c r="J7" i="1"/>
  <c r="H7" i="1"/>
  <c r="G7" i="1"/>
  <c r="E7" i="1"/>
  <c r="F7" i="1"/>
  <c r="AJ6" i="1"/>
  <c r="AB6" i="1"/>
  <c r="AD6" i="1"/>
  <c r="Z6" i="1"/>
  <c r="Y6" i="1"/>
  <c r="W6" i="1"/>
  <c r="X6" i="1"/>
  <c r="T6" i="1"/>
  <c r="U6" i="1"/>
  <c r="Q6" i="1"/>
  <c r="P6" i="1"/>
  <c r="N6" i="1"/>
  <c r="M6" i="1"/>
  <c r="K6" i="1"/>
  <c r="J6" i="1"/>
  <c r="H6" i="1"/>
  <c r="G6" i="1"/>
  <c r="E6" i="1"/>
  <c r="F6" i="1"/>
  <c r="AJ5" i="1"/>
  <c r="AB5" i="1"/>
  <c r="AD5" i="1"/>
  <c r="Z5" i="1"/>
  <c r="Y5" i="1"/>
  <c r="W5" i="1"/>
  <c r="X5" i="1"/>
  <c r="T5" i="1"/>
  <c r="U5" i="1"/>
  <c r="Q5" i="1"/>
  <c r="P5" i="1"/>
  <c r="N5" i="1"/>
  <c r="M5" i="1"/>
  <c r="K5" i="1"/>
  <c r="J5" i="1"/>
  <c r="H5" i="1"/>
  <c r="G5" i="1"/>
  <c r="E5" i="1"/>
  <c r="F5" i="1"/>
  <c r="AJ4" i="1"/>
  <c r="AB4" i="1"/>
  <c r="Z4" i="1"/>
  <c r="Y4" i="1"/>
  <c r="W4" i="1"/>
  <c r="T4" i="1"/>
  <c r="Q4" i="1"/>
  <c r="P4" i="1"/>
  <c r="N4" i="1"/>
  <c r="M4" i="1"/>
  <c r="K4" i="1"/>
  <c r="J4" i="1"/>
  <c r="H4" i="1"/>
  <c r="G4" i="1"/>
  <c r="E4" i="1"/>
  <c r="B27" i="4"/>
  <c r="I18" i="4"/>
  <c r="C18" i="4"/>
  <c r="B18" i="4"/>
  <c r="E18" i="4"/>
  <c r="F18" i="4"/>
  <c r="A18" i="4"/>
  <c r="I19" i="4"/>
  <c r="C19" i="4"/>
  <c r="B19" i="4"/>
  <c r="E19" i="4"/>
  <c r="F19" i="4"/>
  <c r="A19" i="4"/>
  <c r="I17" i="4"/>
  <c r="A17" i="4"/>
  <c r="H13" i="4"/>
  <c r="C13" i="4"/>
  <c r="B13" i="4"/>
  <c r="E13" i="4"/>
  <c r="F13" i="4"/>
  <c r="I16" i="4"/>
  <c r="C16" i="4"/>
  <c r="A16" i="4"/>
  <c r="I15" i="4"/>
  <c r="C15" i="4"/>
  <c r="B15" i="4"/>
  <c r="E15" i="4"/>
  <c r="F15" i="4"/>
  <c r="A15" i="4"/>
  <c r="I14" i="4"/>
  <c r="A14" i="4"/>
  <c r="I12" i="4"/>
  <c r="C12" i="4"/>
  <c r="B12" i="4"/>
  <c r="E12" i="4"/>
  <c r="F12" i="4"/>
  <c r="I11" i="4"/>
  <c r="C11" i="4"/>
  <c r="A11" i="4"/>
  <c r="I12" i="1"/>
  <c r="I4" i="1"/>
  <c r="R6" i="1"/>
  <c r="AA6" i="1"/>
  <c r="L7" i="1"/>
  <c r="AF8" i="1"/>
  <c r="L11" i="1"/>
  <c r="L12" i="1"/>
  <c r="AA12" i="1"/>
  <c r="J18" i="11"/>
  <c r="AA4" i="1"/>
  <c r="I6" i="1"/>
  <c r="O6" i="1"/>
  <c r="F5" i="3"/>
  <c r="M5" i="3"/>
  <c r="P9" i="3"/>
  <c r="R8" i="1"/>
  <c r="AA8" i="1"/>
  <c r="N13" i="1"/>
  <c r="W13" i="1"/>
  <c r="R5" i="1"/>
  <c r="AA5" i="1"/>
  <c r="L6" i="1"/>
  <c r="I8" i="1"/>
  <c r="O9" i="3"/>
  <c r="I4" i="6"/>
  <c r="O7" i="1"/>
  <c r="R9" i="1"/>
  <c r="L10" i="1"/>
  <c r="R10" i="1"/>
  <c r="AA10" i="1"/>
  <c r="F11" i="3"/>
  <c r="M11" i="3"/>
  <c r="I10" i="6"/>
  <c r="P11" i="3"/>
  <c r="AA11" i="3" a="1"/>
  <c r="AA11" i="3"/>
  <c r="AA7" i="1"/>
  <c r="O9" i="1"/>
  <c r="P7" i="3"/>
  <c r="AA7" i="3" a="1"/>
  <c r="AA7" i="3"/>
  <c r="O12" i="1"/>
  <c r="F7" i="3"/>
  <c r="M7" i="3"/>
  <c r="F9" i="3"/>
  <c r="K11" i="3"/>
  <c r="D12" i="6"/>
  <c r="M13" i="1"/>
  <c r="B15" i="10"/>
  <c r="B15" i="8"/>
  <c r="B15" i="5"/>
  <c r="B15" i="7"/>
  <c r="B15" i="9"/>
  <c r="B15" i="6"/>
  <c r="AF4" i="1"/>
  <c r="AF7" i="1"/>
  <c r="AF11" i="1"/>
  <c r="B4" i="3"/>
  <c r="B11" i="4"/>
  <c r="W4" i="2"/>
  <c r="Q4" i="2"/>
  <c r="M4" i="2"/>
  <c r="I4" i="2"/>
  <c r="E4" i="2"/>
  <c r="H4" i="2"/>
  <c r="N4" i="2"/>
  <c r="S4" i="2"/>
  <c r="N4" i="3"/>
  <c r="W8" i="2"/>
  <c r="Q8" i="2"/>
  <c r="M8" i="2"/>
  <c r="K8" i="3"/>
  <c r="I8" i="2"/>
  <c r="E8" i="2"/>
  <c r="B8" i="3"/>
  <c r="B16" i="4"/>
  <c r="H8" i="2"/>
  <c r="N8" i="2"/>
  <c r="S8" i="2"/>
  <c r="N8" i="3"/>
  <c r="H20" i="4"/>
  <c r="G20" i="4"/>
  <c r="R4" i="1"/>
  <c r="AE7" i="1"/>
  <c r="J4" i="2"/>
  <c r="O4" i="2"/>
  <c r="T4" i="2"/>
  <c r="K5" i="3"/>
  <c r="J8" i="2"/>
  <c r="O8" i="2"/>
  <c r="T8" i="2"/>
  <c r="T13" i="1"/>
  <c r="O5" i="1"/>
  <c r="L8" i="1"/>
  <c r="O10" i="1"/>
  <c r="F4" i="2"/>
  <c r="K4" i="2"/>
  <c r="J4" i="3"/>
  <c r="P4" i="2"/>
  <c r="M4" i="3"/>
  <c r="X4" i="2"/>
  <c r="P4" i="3"/>
  <c r="W6" i="2"/>
  <c r="Q6" i="2"/>
  <c r="M6" i="3"/>
  <c r="M6" i="2"/>
  <c r="K6" i="3"/>
  <c r="I6" i="2"/>
  <c r="E6" i="2"/>
  <c r="F6" i="3"/>
  <c r="B6" i="3"/>
  <c r="B14" i="4"/>
  <c r="H6" i="2"/>
  <c r="P6" i="3"/>
  <c r="N6" i="2"/>
  <c r="L6" i="3"/>
  <c r="S6" i="2"/>
  <c r="N6" i="3"/>
  <c r="K7" i="3"/>
  <c r="F8" i="2"/>
  <c r="K8" i="2"/>
  <c r="J8" i="3"/>
  <c r="P8" i="2"/>
  <c r="M8" i="3"/>
  <c r="X8" i="2"/>
  <c r="W10" i="2"/>
  <c r="O10" i="3"/>
  <c r="Z10" i="3" a="1"/>
  <c r="Z10" i="3"/>
  <c r="Q10" i="2"/>
  <c r="M10" i="3"/>
  <c r="M10" i="2"/>
  <c r="K10" i="3"/>
  <c r="I10" i="2"/>
  <c r="E10" i="2"/>
  <c r="F10" i="3"/>
  <c r="B10" i="3"/>
  <c r="B17" i="4"/>
  <c r="H10" i="2"/>
  <c r="P10" i="3"/>
  <c r="AA10" i="3" a="1"/>
  <c r="AA10" i="3"/>
  <c r="N10" i="2"/>
  <c r="L10" i="3"/>
  <c r="S10" i="2"/>
  <c r="N10" i="3"/>
  <c r="G12" i="2"/>
  <c r="G12" i="3"/>
  <c r="K12" i="2"/>
  <c r="I12" i="3"/>
  <c r="O12" i="2"/>
  <c r="L12" i="3"/>
  <c r="S12" i="2"/>
  <c r="N12" i="3"/>
  <c r="Y12" i="2"/>
  <c r="P12" i="3"/>
  <c r="I6" i="6"/>
  <c r="I8" i="6"/>
  <c r="Q13" i="1"/>
  <c r="AA9" i="1"/>
  <c r="I11" i="1"/>
  <c r="O11" i="1"/>
  <c r="AA11" i="1"/>
  <c r="AE12" i="1"/>
  <c r="R12" i="1"/>
  <c r="G5" i="2"/>
  <c r="H5" i="3"/>
  <c r="K5" i="2"/>
  <c r="I5" i="3"/>
  <c r="O5" i="2"/>
  <c r="L5" i="3"/>
  <c r="S5" i="2"/>
  <c r="N5" i="3"/>
  <c r="G7" i="2"/>
  <c r="G7" i="3"/>
  <c r="K7" i="2"/>
  <c r="I7" i="3"/>
  <c r="O7" i="2"/>
  <c r="L7" i="3"/>
  <c r="S7" i="2"/>
  <c r="N7" i="3"/>
  <c r="G9" i="2"/>
  <c r="H9" i="3"/>
  <c r="K9" i="2"/>
  <c r="O9" i="2"/>
  <c r="L9" i="3"/>
  <c r="S9" i="2"/>
  <c r="N9" i="3"/>
  <c r="G11" i="2"/>
  <c r="G11" i="3"/>
  <c r="K11" i="2"/>
  <c r="I11" i="3"/>
  <c r="O11" i="2"/>
  <c r="S11" i="2"/>
  <c r="N11" i="3"/>
  <c r="E12" i="2"/>
  <c r="F12" i="3"/>
  <c r="I12" i="2"/>
  <c r="M12" i="2"/>
  <c r="K12" i="3"/>
  <c r="Q12" i="2"/>
  <c r="M12" i="3"/>
  <c r="I7" i="6"/>
  <c r="L4" i="1"/>
  <c r="J13" i="1"/>
  <c r="P13" i="1"/>
  <c r="AJ13" i="1"/>
  <c r="I5" i="1"/>
  <c r="AE5" i="1"/>
  <c r="AE6" i="1"/>
  <c r="I7" i="1"/>
  <c r="F8" i="1"/>
  <c r="I9" i="1"/>
  <c r="AE9" i="1"/>
  <c r="AH10" i="1"/>
  <c r="Y13" i="1"/>
  <c r="AE4" i="1"/>
  <c r="K13" i="1"/>
  <c r="Z13" i="1"/>
  <c r="AH6" i="1"/>
  <c r="AE8" i="1"/>
  <c r="AG8" i="1"/>
  <c r="E13" i="1"/>
  <c r="AG7" i="1"/>
  <c r="AE10" i="1"/>
  <c r="I10" i="1"/>
  <c r="AH11" i="1"/>
  <c r="AI11" i="1"/>
  <c r="R11" i="1"/>
  <c r="AE11" i="1"/>
  <c r="AG11" i="1"/>
  <c r="F4" i="1"/>
  <c r="X4" i="1"/>
  <c r="X13" i="1"/>
  <c r="AB13" i="1"/>
  <c r="AD4" i="1"/>
  <c r="AD13" i="1"/>
  <c r="H13" i="1"/>
  <c r="O4" i="1"/>
  <c r="AH4" i="1"/>
  <c r="AF5" i="1"/>
  <c r="L5" i="1"/>
  <c r="AH5" i="1"/>
  <c r="AH7" i="1"/>
  <c r="AI7" i="1"/>
  <c r="R7" i="1"/>
  <c r="O8" i="1"/>
  <c r="AH8" i="1"/>
  <c r="AI8" i="1"/>
  <c r="AF9" i="1"/>
  <c r="L9" i="1"/>
  <c r="AH9" i="1"/>
  <c r="AH12" i="1"/>
  <c r="AF12" i="1"/>
  <c r="L13" i="2"/>
  <c r="K4" i="3"/>
  <c r="I8" i="3"/>
  <c r="H3" i="6"/>
  <c r="E12" i="6"/>
  <c r="J6" i="3"/>
  <c r="H10" i="3"/>
  <c r="AF6" i="1"/>
  <c r="AI6" i="1"/>
  <c r="AF10" i="1"/>
  <c r="F11" i="1"/>
  <c r="G13" i="1"/>
  <c r="O7" i="3"/>
  <c r="P8" i="3"/>
  <c r="G4" i="3"/>
  <c r="I9" i="6"/>
  <c r="I11" i="6"/>
  <c r="C12" i="10"/>
  <c r="D8" i="10"/>
  <c r="R13" i="2"/>
  <c r="I13" i="4"/>
  <c r="U4" i="1"/>
  <c r="U13" i="1"/>
  <c r="H8" i="3"/>
  <c r="G8" i="3"/>
  <c r="K9" i="3"/>
  <c r="M9" i="3"/>
  <c r="L11" i="3"/>
  <c r="X13" i="2"/>
  <c r="J10" i="3"/>
  <c r="I5" i="6"/>
  <c r="F12" i="6"/>
  <c r="C12" i="9"/>
  <c r="D7" i="9"/>
  <c r="C12" i="6"/>
  <c r="G12" i="6"/>
  <c r="C12" i="7"/>
  <c r="D6" i="7"/>
  <c r="Y13" i="2"/>
  <c r="D10" i="10"/>
  <c r="J11" i="3"/>
  <c r="J13" i="2"/>
  <c r="J5" i="3"/>
  <c r="J7" i="3"/>
  <c r="W13" i="2"/>
  <c r="F13" i="2"/>
  <c r="O8" i="3"/>
  <c r="Z8" i="3" a="1"/>
  <c r="Z8" i="3"/>
  <c r="D3" i="9"/>
  <c r="G9" i="3"/>
  <c r="H11" i="3"/>
  <c r="AA13" i="1"/>
  <c r="T13" i="2"/>
  <c r="E8" i="10"/>
  <c r="O18" i="4"/>
  <c r="E7" i="9"/>
  <c r="N16" i="4"/>
  <c r="E6" i="7"/>
  <c r="L15" i="4"/>
  <c r="D6" i="10"/>
  <c r="E6" i="10"/>
  <c r="O19" i="4"/>
  <c r="D7" i="10"/>
  <c r="E7" i="10"/>
  <c r="O17" i="4"/>
  <c r="G13" i="2"/>
  <c r="H13" i="2"/>
  <c r="R13" i="1"/>
  <c r="AF13" i="1"/>
  <c r="H7" i="3"/>
  <c r="H6" i="3"/>
  <c r="O13" i="2"/>
  <c r="H4" i="3"/>
  <c r="J12" i="3"/>
  <c r="S13" i="2"/>
  <c r="G6" i="3"/>
  <c r="D4" i="9"/>
  <c r="E4" i="9"/>
  <c r="N12" i="4"/>
  <c r="D11" i="10"/>
  <c r="E11" i="10"/>
  <c r="O13" i="4"/>
  <c r="D11" i="9"/>
  <c r="E11" i="9"/>
  <c r="N18" i="4"/>
  <c r="G5" i="3"/>
  <c r="G10" i="3"/>
  <c r="AG10" i="1"/>
  <c r="E10" i="10"/>
  <c r="O12" i="4"/>
  <c r="F4" i="3"/>
  <c r="E13" i="2"/>
  <c r="O4" i="3"/>
  <c r="I10" i="3"/>
  <c r="E16" i="4"/>
  <c r="F16" i="4"/>
  <c r="E11" i="4"/>
  <c r="E11" i="5"/>
  <c r="J18" i="4"/>
  <c r="E9" i="5"/>
  <c r="J17" i="4"/>
  <c r="E7" i="5"/>
  <c r="J16" i="4"/>
  <c r="E5" i="5"/>
  <c r="J14" i="4"/>
  <c r="E3" i="5"/>
  <c r="J11" i="4"/>
  <c r="E10" i="5"/>
  <c r="J19" i="4"/>
  <c r="E8" i="5"/>
  <c r="J13" i="4"/>
  <c r="E6" i="5"/>
  <c r="J15" i="4"/>
  <c r="E4" i="5"/>
  <c r="J12" i="4"/>
  <c r="H12" i="3"/>
  <c r="E17" i="4"/>
  <c r="F17" i="4"/>
  <c r="D7" i="7"/>
  <c r="E7" i="7"/>
  <c r="L16" i="4"/>
  <c r="P13" i="2"/>
  <c r="AG9" i="1"/>
  <c r="AG6" i="1"/>
  <c r="D3" i="7"/>
  <c r="O6" i="3"/>
  <c r="D3" i="10"/>
  <c r="E3" i="10"/>
  <c r="I4" i="3"/>
  <c r="O13" i="1"/>
  <c r="K13" i="2"/>
  <c r="AG5" i="1"/>
  <c r="I9" i="3"/>
  <c r="J9" i="3"/>
  <c r="I13" i="2"/>
  <c r="D8" i="9"/>
  <c r="E8" i="9"/>
  <c r="N13" i="4"/>
  <c r="I6" i="3"/>
  <c r="D4" i="10"/>
  <c r="E4" i="10"/>
  <c r="O14" i="4"/>
  <c r="AI10" i="1"/>
  <c r="C9" i="8"/>
  <c r="N13" i="2"/>
  <c r="M13" i="2"/>
  <c r="I13" i="1"/>
  <c r="E14" i="4"/>
  <c r="F14" i="4"/>
  <c r="F8" i="3"/>
  <c r="L4" i="3"/>
  <c r="L8" i="3"/>
  <c r="Q13" i="2"/>
  <c r="C6" i="8"/>
  <c r="AK7" i="1"/>
  <c r="C7" i="8"/>
  <c r="AK8" i="1"/>
  <c r="E3" i="9"/>
  <c r="C10" i="8"/>
  <c r="AK11" i="1"/>
  <c r="D9" i="7"/>
  <c r="E9" i="7"/>
  <c r="L17" i="4"/>
  <c r="D5" i="7"/>
  <c r="E5" i="7"/>
  <c r="L14" i="4"/>
  <c r="D4" i="7"/>
  <c r="E4" i="7"/>
  <c r="L12" i="4"/>
  <c r="D8" i="7"/>
  <c r="E8" i="7"/>
  <c r="L13" i="4"/>
  <c r="D11" i="7"/>
  <c r="E11" i="7"/>
  <c r="L18" i="4"/>
  <c r="D9" i="10"/>
  <c r="E9" i="10"/>
  <c r="O16" i="4"/>
  <c r="D5" i="10"/>
  <c r="E5" i="10"/>
  <c r="O15" i="4"/>
  <c r="D10" i="7"/>
  <c r="E10" i="7"/>
  <c r="L19" i="4"/>
  <c r="C5" i="8"/>
  <c r="AK6" i="1"/>
  <c r="AI5" i="1"/>
  <c r="E3" i="7"/>
  <c r="AE13" i="1"/>
  <c r="AG4" i="1"/>
  <c r="D10" i="9"/>
  <c r="E10" i="9"/>
  <c r="N19" i="4"/>
  <c r="D6" i="9"/>
  <c r="E6" i="9"/>
  <c r="N15" i="4"/>
  <c r="D5" i="9"/>
  <c r="E5" i="9"/>
  <c r="N14" i="4"/>
  <c r="D9" i="9"/>
  <c r="E9" i="9"/>
  <c r="N17" i="4"/>
  <c r="D25" i="4"/>
  <c r="I20" i="4"/>
  <c r="H12" i="6"/>
  <c r="I3" i="6"/>
  <c r="AI12" i="1"/>
  <c r="AI9" i="1"/>
  <c r="AH13" i="1"/>
  <c r="F13" i="1"/>
  <c r="AG12" i="1"/>
  <c r="L13" i="1"/>
  <c r="AI4" i="1"/>
  <c r="AK10" i="1"/>
  <c r="J20" i="4"/>
  <c r="F11" i="4"/>
  <c r="F20" i="4"/>
  <c r="E20" i="4"/>
  <c r="E12" i="5"/>
  <c r="AL8" i="1"/>
  <c r="D8" i="2"/>
  <c r="D8" i="3"/>
  <c r="D14" i="11"/>
  <c r="D12" i="10"/>
  <c r="E12" i="9"/>
  <c r="N11" i="4"/>
  <c r="N20" i="4"/>
  <c r="AG13" i="1"/>
  <c r="E12" i="10"/>
  <c r="O11" i="4"/>
  <c r="O20" i="4"/>
  <c r="D12" i="7"/>
  <c r="C4" i="8"/>
  <c r="AK5" i="1"/>
  <c r="D6" i="2"/>
  <c r="D6" i="3"/>
  <c r="D12" i="11"/>
  <c r="AL6" i="1"/>
  <c r="AL11" i="1"/>
  <c r="D11" i="2"/>
  <c r="D11" i="3"/>
  <c r="D17" i="11"/>
  <c r="D12" i="9"/>
  <c r="AL7" i="1"/>
  <c r="D7" i="2"/>
  <c r="D7" i="3"/>
  <c r="D13" i="11"/>
  <c r="C3" i="8"/>
  <c r="AI13" i="1"/>
  <c r="AK4" i="1"/>
  <c r="C8" i="8"/>
  <c r="AK9" i="1"/>
  <c r="C11" i="8"/>
  <c r="AK12" i="1"/>
  <c r="D10" i="2"/>
  <c r="D10" i="3"/>
  <c r="D15" i="11"/>
  <c r="AL10" i="1"/>
  <c r="I12" i="6"/>
  <c r="J3" i="6"/>
  <c r="E12" i="7"/>
  <c r="L11" i="4"/>
  <c r="L20" i="4"/>
  <c r="C25" i="4"/>
  <c r="D9" i="2"/>
  <c r="D9" i="3"/>
  <c r="D11" i="11"/>
  <c r="AL9" i="1"/>
  <c r="E11" i="3"/>
  <c r="D19" i="4"/>
  <c r="D5" i="2"/>
  <c r="D5" i="3"/>
  <c r="D10" i="11"/>
  <c r="AL5" i="1"/>
  <c r="K3" i="6"/>
  <c r="E10" i="3"/>
  <c r="D17" i="4"/>
  <c r="E7" i="3"/>
  <c r="D15" i="4"/>
  <c r="J10" i="6"/>
  <c r="K10" i="6"/>
  <c r="K19" i="4"/>
  <c r="J7" i="6"/>
  <c r="K7" i="6"/>
  <c r="K16" i="4"/>
  <c r="J4" i="6"/>
  <c r="K4" i="6"/>
  <c r="K12" i="4"/>
  <c r="J8" i="6"/>
  <c r="K8" i="6"/>
  <c r="K13" i="4"/>
  <c r="J6" i="6"/>
  <c r="K6" i="6"/>
  <c r="K15" i="4"/>
  <c r="J11" i="6"/>
  <c r="K11" i="6"/>
  <c r="K18" i="4"/>
  <c r="J5" i="6"/>
  <c r="K5" i="6"/>
  <c r="K14" i="4"/>
  <c r="J9" i="6"/>
  <c r="K9" i="6"/>
  <c r="K17" i="4"/>
  <c r="AL12" i="1"/>
  <c r="D12" i="2"/>
  <c r="D12" i="3"/>
  <c r="D16" i="11"/>
  <c r="AL4" i="1"/>
  <c r="D4" i="2"/>
  <c r="D4" i="3"/>
  <c r="D9" i="11"/>
  <c r="E8" i="3"/>
  <c r="D16" i="4"/>
  <c r="C12" i="8"/>
  <c r="D4" i="8"/>
  <c r="E4" i="8"/>
  <c r="M12" i="4"/>
  <c r="P12" i="4"/>
  <c r="Q12" i="4"/>
  <c r="E6" i="3"/>
  <c r="D14" i="4"/>
  <c r="D11" i="8"/>
  <c r="E11" i="8"/>
  <c r="M18" i="4"/>
  <c r="P18" i="4"/>
  <c r="Q18" i="4"/>
  <c r="D8" i="8"/>
  <c r="E8" i="8"/>
  <c r="M13" i="4"/>
  <c r="P13" i="4"/>
  <c r="Q13" i="4"/>
  <c r="D3" i="8"/>
  <c r="E4" i="3"/>
  <c r="D11" i="4"/>
  <c r="D7" i="8"/>
  <c r="E7" i="8"/>
  <c r="M16" i="4"/>
  <c r="P16" i="4"/>
  <c r="Q16" i="4"/>
  <c r="D5" i="8"/>
  <c r="E5" i="8"/>
  <c r="M14" i="4"/>
  <c r="P14" i="4"/>
  <c r="Q14" i="4"/>
  <c r="D9" i="8"/>
  <c r="E9" i="8"/>
  <c r="M17" i="4"/>
  <c r="P17" i="4"/>
  <c r="Q17" i="4"/>
  <c r="D10" i="8"/>
  <c r="E10" i="8"/>
  <c r="M19" i="4"/>
  <c r="P19" i="4"/>
  <c r="Q19" i="4"/>
  <c r="D6" i="8"/>
  <c r="E6" i="8"/>
  <c r="M15" i="4"/>
  <c r="P15" i="4"/>
  <c r="Q15" i="4"/>
  <c r="B17" i="1"/>
  <c r="B19" i="1"/>
  <c r="B18" i="1"/>
  <c r="E5" i="3"/>
  <c r="D12" i="4"/>
  <c r="J12" i="6"/>
  <c r="E3" i="8"/>
  <c r="E12" i="3"/>
  <c r="D18" i="4"/>
  <c r="K12" i="6"/>
  <c r="K11" i="4"/>
  <c r="E9" i="3"/>
  <c r="D13" i="4"/>
  <c r="Y6" i="3" a="1"/>
  <c r="Y6" i="3"/>
  <c r="AA8" i="3" a="1"/>
  <c r="AA8" i="3"/>
  <c r="D12" i="8"/>
  <c r="X11" i="3" a="1"/>
  <c r="X11" i="3"/>
  <c r="X6" i="3" a="1"/>
  <c r="X6" i="3"/>
  <c r="W7" i="3" a="1"/>
  <c r="W7" i="3"/>
  <c r="V7" i="3" a="1"/>
  <c r="V7" i="3"/>
  <c r="U8" i="3" a="1"/>
  <c r="U8" i="3"/>
  <c r="U68" i="3"/>
  <c r="X8" i="3" a="1"/>
  <c r="X8" i="3"/>
  <c r="T6" i="3" a="1"/>
  <c r="T6" i="3"/>
  <c r="T66" i="3"/>
  <c r="V5" i="3" a="1"/>
  <c r="V5" i="3"/>
  <c r="T5" i="3" a="1"/>
  <c r="T5" i="3"/>
  <c r="T65" i="3"/>
  <c r="W5" i="3" a="1"/>
  <c r="W5" i="3"/>
  <c r="AA5" i="3" a="1"/>
  <c r="AA5" i="3"/>
  <c r="Z5" i="3" a="1"/>
  <c r="Z5" i="3"/>
  <c r="Y5" i="3" a="1"/>
  <c r="Y5" i="3"/>
  <c r="X5" i="3" a="1"/>
  <c r="X5" i="3"/>
  <c r="S5" i="3" a="1"/>
  <c r="S5" i="3"/>
  <c r="S65" i="3"/>
  <c r="Q5" i="3" a="1"/>
  <c r="Q5" i="3"/>
  <c r="Q65" i="3"/>
  <c r="R5" i="3" a="1"/>
  <c r="R5" i="3"/>
  <c r="R65" i="3"/>
  <c r="U5" i="3" a="1"/>
  <c r="U5" i="3"/>
  <c r="U65" i="3"/>
  <c r="U10" i="3" a="1"/>
  <c r="U10" i="3"/>
  <c r="U70" i="3"/>
  <c r="X10" i="3" a="1"/>
  <c r="X10" i="3"/>
  <c r="U7" i="3" a="1"/>
  <c r="U7" i="3"/>
  <c r="U67" i="3"/>
  <c r="X7" i="3" a="1"/>
  <c r="X7" i="3"/>
  <c r="U11" i="3" a="1"/>
  <c r="U11" i="3"/>
  <c r="U71" i="3"/>
  <c r="S11" i="3" a="1"/>
  <c r="S11" i="3"/>
  <c r="S71" i="3"/>
  <c r="V11" i="3" a="1"/>
  <c r="V11" i="3"/>
  <c r="S8" i="3" a="1"/>
  <c r="S8" i="3"/>
  <c r="S68" i="3"/>
  <c r="W8" i="3" a="1"/>
  <c r="W8" i="3"/>
  <c r="Z6" i="3" a="1"/>
  <c r="Z6" i="3"/>
  <c r="AA6" i="3" a="1"/>
  <c r="AA6" i="3"/>
  <c r="R6" i="3" a="1"/>
  <c r="R6" i="3"/>
  <c r="R66" i="3"/>
  <c r="S10" i="3" a="1"/>
  <c r="S10" i="3"/>
  <c r="S70" i="3"/>
  <c r="T10" i="3" a="1"/>
  <c r="T10" i="3"/>
  <c r="T70" i="3"/>
  <c r="T9" i="3" a="1"/>
  <c r="T9" i="3"/>
  <c r="T69" i="3"/>
  <c r="Z9" i="3" a="1"/>
  <c r="Z9" i="3"/>
  <c r="W9" i="3" a="1"/>
  <c r="W9" i="3"/>
  <c r="AA9" i="3" a="1"/>
  <c r="AA9" i="3"/>
  <c r="Y9" i="3" a="1"/>
  <c r="Y9" i="3"/>
  <c r="Q9" i="3" a="1"/>
  <c r="Q9" i="3"/>
  <c r="Q69" i="3"/>
  <c r="U9" i="3" a="1"/>
  <c r="U9" i="3"/>
  <c r="U69" i="3"/>
  <c r="X9" i="3" a="1"/>
  <c r="X9" i="3"/>
  <c r="V9" i="3" a="1"/>
  <c r="V9" i="3"/>
  <c r="S9" i="3" a="1"/>
  <c r="S9" i="3"/>
  <c r="S69" i="3"/>
  <c r="R9" i="3" a="1"/>
  <c r="R9" i="3"/>
  <c r="R69" i="3"/>
  <c r="S7" i="3" a="1"/>
  <c r="S7" i="3"/>
  <c r="S67" i="3"/>
  <c r="R7" i="3" a="1"/>
  <c r="R7" i="3"/>
  <c r="R67" i="3"/>
  <c r="Q12" i="3" a="1"/>
  <c r="Q12" i="3"/>
  <c r="Q72" i="3"/>
  <c r="R12" i="3" a="1"/>
  <c r="R12" i="3"/>
  <c r="R72" i="3"/>
  <c r="Y12" i="3" a="1"/>
  <c r="Y12" i="3"/>
  <c r="W12" i="3" a="1"/>
  <c r="W12" i="3"/>
  <c r="V12" i="3" a="1"/>
  <c r="V12" i="3"/>
  <c r="S12" i="3" a="1"/>
  <c r="S12" i="3"/>
  <c r="S72" i="3"/>
  <c r="X12" i="3" a="1"/>
  <c r="X12" i="3"/>
  <c r="T12" i="3" a="1"/>
  <c r="T12" i="3"/>
  <c r="T72" i="3"/>
  <c r="AA12" i="3" a="1"/>
  <c r="AA12" i="3"/>
  <c r="U12" i="3" a="1"/>
  <c r="U12" i="3"/>
  <c r="U72" i="3"/>
  <c r="R11" i="3" a="1"/>
  <c r="R11" i="3"/>
  <c r="R71" i="3"/>
  <c r="T11" i="3" a="1"/>
  <c r="T11" i="3"/>
  <c r="T71" i="3"/>
  <c r="Q11" i="3" a="1"/>
  <c r="Q11" i="3"/>
  <c r="R8" i="3" a="1"/>
  <c r="R8" i="3"/>
  <c r="R68" i="3"/>
  <c r="Q8" i="3" a="1"/>
  <c r="Q8" i="3"/>
  <c r="Q68" i="3"/>
  <c r="Q6" i="3" a="1"/>
  <c r="Q6" i="3"/>
  <c r="Q66" i="3"/>
  <c r="U6" i="3" a="1"/>
  <c r="U6" i="3"/>
  <c r="U66" i="3"/>
  <c r="W6" i="3" a="1"/>
  <c r="W6" i="3"/>
  <c r="R10" i="3" a="1"/>
  <c r="R10" i="3"/>
  <c r="R70" i="3"/>
  <c r="V10" i="3" a="1"/>
  <c r="V10" i="3"/>
  <c r="Y10" i="3" a="1"/>
  <c r="Y10" i="3"/>
  <c r="C19" i="1"/>
  <c r="D19" i="1"/>
  <c r="C18" i="1"/>
  <c r="D18" i="1"/>
  <c r="C17" i="1"/>
  <c r="D17" i="1"/>
  <c r="AE4" i="3"/>
  <c r="B20" i="1"/>
  <c r="Y4" i="3" a="1"/>
  <c r="Y4" i="3"/>
  <c r="U4" i="3" a="1"/>
  <c r="U4" i="3"/>
  <c r="U64" i="3"/>
  <c r="S4" i="3" a="1"/>
  <c r="S4" i="3"/>
  <c r="S64" i="3"/>
  <c r="Q4" i="3" a="1"/>
  <c r="Q4" i="3"/>
  <c r="Q64" i="3"/>
  <c r="Z4" i="3" a="1"/>
  <c r="Z4" i="3"/>
  <c r="W4" i="3" a="1"/>
  <c r="W4" i="3"/>
  <c r="X4" i="3" a="1"/>
  <c r="X4" i="3"/>
  <c r="AA4" i="3" a="1"/>
  <c r="AA4" i="3"/>
  <c r="T4" i="3" a="1"/>
  <c r="T4" i="3"/>
  <c r="T64" i="3"/>
  <c r="R4" i="3" a="1"/>
  <c r="R4" i="3"/>
  <c r="R64" i="3"/>
  <c r="V4" i="3" a="1"/>
  <c r="V4" i="3"/>
  <c r="W10" i="3" a="1"/>
  <c r="W10" i="3"/>
  <c r="T7" i="3" a="1"/>
  <c r="T7" i="3"/>
  <c r="T67" i="3"/>
  <c r="K20" i="4"/>
  <c r="Y7" i="3" a="1"/>
  <c r="Y7" i="3"/>
  <c r="Z7" i="3" a="1"/>
  <c r="Z7" i="3"/>
  <c r="Q7" i="3" a="1"/>
  <c r="Q7" i="3"/>
  <c r="Q67" i="3"/>
  <c r="E12" i="8"/>
  <c r="M11" i="4"/>
  <c r="M20" i="4"/>
  <c r="Y11" i="3" a="1"/>
  <c r="Y11" i="3"/>
  <c r="W11" i="3" a="1"/>
  <c r="W11" i="3"/>
  <c r="T8" i="3" a="1"/>
  <c r="T8" i="3"/>
  <c r="T68" i="3"/>
  <c r="V8" i="3" a="1"/>
  <c r="V8" i="3"/>
  <c r="Y8" i="3" a="1"/>
  <c r="Y8" i="3"/>
  <c r="V6" i="3" a="1"/>
  <c r="V6" i="3"/>
  <c r="S6" i="3" a="1"/>
  <c r="S6" i="3"/>
  <c r="S66" i="3"/>
  <c r="Q10" i="3" a="1"/>
  <c r="Q10" i="3"/>
  <c r="AB9" i="3"/>
  <c r="E18" i="1"/>
  <c r="AE10" i="3"/>
  <c r="AE6" i="3"/>
  <c r="AE8" i="3"/>
  <c r="AE7" i="3"/>
  <c r="AE9" i="3"/>
  <c r="E19" i="1"/>
  <c r="AE11" i="3"/>
  <c r="AE12" i="3"/>
  <c r="AB4" i="3"/>
  <c r="AB7" i="3"/>
  <c r="D20" i="1"/>
  <c r="E17" i="1"/>
  <c r="AB5" i="3"/>
  <c r="AE5" i="3"/>
  <c r="AB6" i="3"/>
  <c r="Q70" i="3"/>
  <c r="AB10" i="3"/>
  <c r="P11" i="4"/>
  <c r="Q71" i="3"/>
  <c r="AB11" i="3"/>
  <c r="AB12" i="3"/>
  <c r="AB8" i="3"/>
  <c r="AC10" i="3" a="1"/>
  <c r="AC10" i="3"/>
  <c r="AD10" i="3"/>
  <c r="AF10" i="3"/>
  <c r="AG10" i="3"/>
  <c r="AC6" i="3" a="1"/>
  <c r="AC6" i="3"/>
  <c r="AC8" i="3" a="1"/>
  <c r="AC8" i="3"/>
  <c r="AD8" i="3"/>
  <c r="AF8" i="3"/>
  <c r="AG8" i="3"/>
  <c r="AC7" i="3" a="1"/>
  <c r="AC7" i="3"/>
  <c r="AD7" i="3"/>
  <c r="AF7" i="3"/>
  <c r="AG7" i="3"/>
  <c r="AC11" i="3" a="1"/>
  <c r="AC11" i="3"/>
  <c r="AD11" i="3"/>
  <c r="AF11" i="3"/>
  <c r="AG11" i="3"/>
  <c r="AC5" i="3" a="1"/>
  <c r="AC5" i="3"/>
  <c r="AD5" i="3"/>
  <c r="AF5" i="3"/>
  <c r="AG5" i="3"/>
  <c r="AC9" i="3" a="1"/>
  <c r="AC9" i="3"/>
  <c r="AD9" i="3"/>
  <c r="AF9" i="3"/>
  <c r="AG9" i="3"/>
  <c r="AC12" i="3" a="1"/>
  <c r="AC12" i="3"/>
  <c r="AD12" i="3"/>
  <c r="AF12" i="3"/>
  <c r="AG12" i="3"/>
  <c r="AC4" i="3" a="1"/>
  <c r="AC4" i="3"/>
  <c r="AD4" i="3"/>
  <c r="AF4" i="3"/>
  <c r="AD6" i="3"/>
  <c r="AF6" i="3"/>
  <c r="AG6" i="3"/>
  <c r="Q11" i="4"/>
  <c r="P20" i="4"/>
  <c r="E20" i="1"/>
  <c r="E25" i="4"/>
  <c r="AH12" i="3"/>
  <c r="R18" i="4"/>
  <c r="S18" i="4"/>
  <c r="AH7" i="3"/>
  <c r="R15" i="4"/>
  <c r="S15" i="4"/>
  <c r="Q20" i="4"/>
  <c r="AH9" i="3"/>
  <c r="R13" i="4"/>
  <c r="S13" i="4"/>
  <c r="AH8" i="3"/>
  <c r="R16" i="4"/>
  <c r="S16" i="4"/>
  <c r="AH6" i="3"/>
  <c r="R14" i="4"/>
  <c r="S14" i="4"/>
  <c r="AH5" i="3"/>
  <c r="R12" i="4"/>
  <c r="S12" i="4"/>
  <c r="AG4" i="3"/>
  <c r="AF13" i="3"/>
  <c r="AH11" i="3"/>
  <c r="R19" i="4"/>
  <c r="S19" i="4"/>
  <c r="AH10" i="3"/>
  <c r="R17" i="4"/>
  <c r="S17" i="4"/>
  <c r="AI12" i="3" a="1"/>
  <c r="AI12" i="3"/>
  <c r="AG13" i="3"/>
  <c r="AH13" i="3"/>
  <c r="T19" i="4"/>
  <c r="E17" i="11"/>
  <c r="T14" i="4"/>
  <c r="E12" i="11"/>
  <c r="T15" i="4"/>
  <c r="E13" i="11"/>
  <c r="T16" i="4"/>
  <c r="E14" i="11"/>
  <c r="T18" i="4"/>
  <c r="E16" i="11"/>
  <c r="T13" i="4"/>
  <c r="E11" i="11"/>
  <c r="T17" i="4"/>
  <c r="E15" i="11"/>
  <c r="T12" i="4"/>
  <c r="E10" i="11"/>
  <c r="F25" i="4"/>
  <c r="G25" i="4"/>
  <c r="AI6" i="3" a="1"/>
  <c r="AI6" i="3"/>
  <c r="AI9" i="3" a="1"/>
  <c r="AI9" i="3"/>
  <c r="AI7" i="3" a="1"/>
  <c r="AI7" i="3"/>
  <c r="AI10" i="3" a="1"/>
  <c r="AI10" i="3"/>
  <c r="AI4" i="3" a="1"/>
  <c r="AI4" i="3"/>
  <c r="AH4" i="3"/>
  <c r="R11" i="4"/>
  <c r="AI11" i="3" a="1"/>
  <c r="AI11" i="3"/>
  <c r="AI5" i="3" a="1"/>
  <c r="AI5" i="3"/>
  <c r="AI8" i="3" a="1"/>
  <c r="AI8" i="3"/>
  <c r="L16" i="11"/>
  <c r="M16" i="11"/>
  <c r="L13" i="11"/>
  <c r="M13" i="11"/>
  <c r="L17" i="11"/>
  <c r="M17" i="11"/>
  <c r="L14" i="11"/>
  <c r="M14" i="11"/>
  <c r="L15" i="11"/>
  <c r="M15" i="11"/>
  <c r="L10" i="11"/>
  <c r="M10" i="11"/>
  <c r="L11" i="11"/>
  <c r="M11" i="11"/>
  <c r="L12" i="11"/>
  <c r="M12" i="11"/>
  <c r="R20" i="4"/>
  <c r="S11" i="4"/>
  <c r="T11" i="4"/>
  <c r="S20" i="4"/>
  <c r="T20" i="4"/>
  <c r="U12" i="4"/>
  <c r="E9" i="11"/>
  <c r="U15" i="4"/>
  <c r="U13" i="4"/>
  <c r="U11" i="4"/>
  <c r="U14" i="4"/>
  <c r="U17" i="4"/>
  <c r="L9" i="11"/>
  <c r="E18" i="11"/>
  <c r="U18" i="4"/>
  <c r="U16" i="4"/>
  <c r="U19" i="4"/>
  <c r="U20" i="4"/>
  <c r="F16" i="11"/>
  <c r="F17" i="11"/>
  <c r="F15" i="11"/>
  <c r="F11" i="11"/>
  <c r="F13" i="11"/>
  <c r="F10" i="11"/>
  <c r="F12" i="11"/>
  <c r="F14" i="11"/>
  <c r="F9" i="11"/>
  <c r="L18" i="11"/>
  <c r="L19" i="11"/>
  <c r="M9" i="11"/>
  <c r="F18" i="11"/>
</calcChain>
</file>

<file path=xl/sharedStrings.xml><?xml version="1.0" encoding="utf-8"?>
<sst xmlns="http://schemas.openxmlformats.org/spreadsheetml/2006/main" count="406" uniqueCount="190">
  <si>
    <t>Total 2</t>
  </si>
  <si>
    <t>Total 3</t>
  </si>
  <si>
    <t>Total 4</t>
  </si>
  <si>
    <t>Total 5</t>
  </si>
  <si>
    <t>Total 6</t>
  </si>
  <si>
    <t>Total 7</t>
  </si>
  <si>
    <t>Total 8</t>
  </si>
  <si>
    <t>Total 9</t>
  </si>
  <si>
    <t>Total 10</t>
  </si>
  <si>
    <t>Total general</t>
  </si>
  <si>
    <t>Cod</t>
  </si>
  <si>
    <t>Conjunto</t>
  </si>
  <si>
    <t>Individual</t>
  </si>
  <si>
    <t>PUC</t>
  </si>
  <si>
    <t>UCO</t>
  </si>
  <si>
    <t>UCV</t>
  </si>
  <si>
    <t>AUS</t>
  </si>
  <si>
    <t>FSM</t>
  </si>
  <si>
    <t>UCN</t>
  </si>
  <si>
    <t>UCT</t>
  </si>
  <si>
    <t>Institución</t>
  </si>
  <si>
    <t>PONTIFICIA UNIVERSIDAD CATÓLICA DE CHILE</t>
  </si>
  <si>
    <t>UNIVERSIDAD DE CONCEPCIÓN</t>
  </si>
  <si>
    <t>PONTIFICIA UNIVERSIDAD CATÓLICA DE VALPARAÍSO</t>
  </si>
  <si>
    <t>UNIVERSIDAD AUSTRAL DE CHILE</t>
  </si>
  <si>
    <t>UNIVERSIDAD TÉCNICA FEDERICO SANTA MARÍA</t>
  </si>
  <si>
    <t>UNIVERSIDAD CATÓLICA DEL NORTE</t>
  </si>
  <si>
    <t>UNIVERSIDAD CATÓLICA DE TEMUCO</t>
  </si>
  <si>
    <t>Tipo IES</t>
  </si>
  <si>
    <t>CRUCH-PRIVADA</t>
  </si>
  <si>
    <t>UCM</t>
  </si>
  <si>
    <t>USC</t>
  </si>
  <si>
    <t>UNIVERSIDAD CATÓLICA DE LA SANTÍSIMA CONCEPCIÓN</t>
  </si>
  <si>
    <t>UNIVERSIDAD CATÓLICA DEL MAULE</t>
  </si>
  <si>
    <t>Total Conjunto</t>
  </si>
  <si>
    <t>Total Individual</t>
  </si>
  <si>
    <t>Total Conjunto &gt;=5 años</t>
  </si>
  <si>
    <t>Ind+Conj &gt;=5 años</t>
  </si>
  <si>
    <t>N° Publicaciones</t>
  </si>
  <si>
    <t>Categorías</t>
  </si>
  <si>
    <t>TOTAL MAT PhD 2010</t>
  </si>
  <si>
    <t>1/2</t>
  </si>
  <si>
    <t>3/4</t>
  </si>
  <si>
    <t>(3+5+6)/4</t>
  </si>
  <si>
    <t>7/4</t>
  </si>
  <si>
    <t>7/3</t>
  </si>
  <si>
    <t>(8/9)</t>
  </si>
  <si>
    <t>10/11</t>
  </si>
  <si>
    <t>12/13</t>
  </si>
  <si>
    <t>14/15</t>
  </si>
  <si>
    <t>a) N° Académicos JC por cada 100 matriculados</t>
  </si>
  <si>
    <t>b) Porcentaje de Ac con Doc respecto a JCE</t>
  </si>
  <si>
    <t>c) Porcentaje de Ac con Esp. Méd., Mg o Doc respecto a JCE</t>
  </si>
  <si>
    <t>d) N° Publicaciones Scopus por JCE</t>
  </si>
  <si>
    <t>e) N° Publicaciones Scopus por JCE con Doc.</t>
  </si>
  <si>
    <t>f) Promedio de citas por publicación quinquenio</t>
  </si>
  <si>
    <t>g) Porcentaje de est. 1er año Q1, Q2, Q3 respecto al total de alumnos de 1er año</t>
  </si>
  <si>
    <t>h) Porcentaje de retención primer año pregrado</t>
  </si>
  <si>
    <t>i) Tasa de titulación respecto a alumnos 1er año de la promoción</t>
  </si>
  <si>
    <t>j) Tasa de graduación programas doctorado</t>
  </si>
  <si>
    <t>k) N° Patentes solicitadas PCT por JCE</t>
  </si>
  <si>
    <t>d) N° Public. Scopus 2014/JCE 2014</t>
  </si>
  <si>
    <t>e) N° Public. Scopus 2014/N° JCE Doc 2014</t>
  </si>
  <si>
    <t>Resultado i/Resultado Máximo</t>
  </si>
  <si>
    <t>Concatenado</t>
  </si>
  <si>
    <t>Ajustes</t>
  </si>
  <si>
    <t>Promedio</t>
  </si>
  <si>
    <t>Ponderación</t>
  </si>
  <si>
    <t>Montos Categorías</t>
  </si>
  <si>
    <t>CRUCH-PRIVADACategoría I</t>
  </si>
  <si>
    <t>CRUCH-PRIVADACategoría II</t>
  </si>
  <si>
    <t>CRUCH-PRIVADACategoría III</t>
  </si>
  <si>
    <t>Factor</t>
  </si>
  <si>
    <t>Concatenar</t>
  </si>
  <si>
    <t>N° IES</t>
  </si>
  <si>
    <t>Montos</t>
  </si>
  <si>
    <t>M$</t>
  </si>
  <si>
    <t>Monto Categ</t>
  </si>
  <si>
    <t>Pedagogías</t>
  </si>
  <si>
    <t>AFI 2016</t>
  </si>
  <si>
    <t>Total Elemento Mixto</t>
  </si>
  <si>
    <t>Elemento Desempeño</t>
  </si>
  <si>
    <t>BD-Universidades CRUCH-PRIVADAS</t>
  </si>
  <si>
    <t>% Por tipo de IES</t>
  </si>
  <si>
    <t>Monto por Tipo IES-Categoría</t>
  </si>
  <si>
    <t>Suma Promedio por Tipo IES-Categoría</t>
  </si>
  <si>
    <t>Total por IES</t>
  </si>
  <si>
    <t>Redondear por IES</t>
  </si>
  <si>
    <t>Ajustado por IES</t>
  </si>
  <si>
    <t>16/19</t>
  </si>
  <si>
    <t>(20+21)/4)</t>
  </si>
  <si>
    <t>Redondear</t>
  </si>
  <si>
    <t>f) (N° Citas 2010-2014)/(N° Public. Scopus 2010-2014)</t>
  </si>
  <si>
    <t>Santiago, 07 de junio de 2016</t>
  </si>
  <si>
    <t>% por IES</t>
  </si>
  <si>
    <t>TOTAL MAT PhD 2011</t>
  </si>
  <si>
    <t>Solicitud_ pat_nac_2015</t>
  </si>
  <si>
    <t>Reajuste AFI</t>
  </si>
  <si>
    <t>Tipos IES</t>
  </si>
  <si>
    <t>j) Mat Graduados 2016 Doctorados/Mat 1er año 2012 Doctorados</t>
  </si>
  <si>
    <t>a) (N° Ac. JC 2016/Mat Total 2016)*100</t>
  </si>
  <si>
    <t>JC_2016</t>
  </si>
  <si>
    <t>MAT_2016</t>
  </si>
  <si>
    <t>JCE Doctor 2016</t>
  </si>
  <si>
    <t>JCE 2016</t>
  </si>
  <si>
    <t>JCE Magister 2016</t>
  </si>
  <si>
    <t>JCE Esp. Med._Odont. 2016</t>
  </si>
  <si>
    <t>b) (N° JCE Doc 2016/JCE 2016)</t>
  </si>
  <si>
    <t>c) ((N° JCE Doc 2016+N° JCE Mg 2016+N° JCE Esp Med 2016)/JCE 2016)</t>
  </si>
  <si>
    <t>Publicaciones  (citables)
2016</t>
  </si>
  <si>
    <t>Citas 2012_2016</t>
  </si>
  <si>
    <t>Publicaciones 2012-2016 (citables)</t>
  </si>
  <si>
    <t>Q1_Q2_Q3_MAT_1año_2016</t>
  </si>
  <si>
    <t>MAT_1año_2016(g)</t>
  </si>
  <si>
    <t>MAT_2015_Ret_1er_enMAT_2016</t>
  </si>
  <si>
    <t>MAT_1año_2015(h)</t>
  </si>
  <si>
    <t>MAT_2013_Ret_4to_enMAT_2016</t>
  </si>
  <si>
    <t>MAT_1año_2013(i)</t>
  </si>
  <si>
    <t>Grad_PhD_2012 al_2016</t>
  </si>
  <si>
    <t>TOTAL MAT PhD 2012</t>
  </si>
  <si>
    <t>Solicitud_ pat_nac_2016</t>
  </si>
  <si>
    <t>g) (N° Est 1er año Q1, Q2, Q3 2016/Mat 1er nivel 2016)</t>
  </si>
  <si>
    <t>h) (Mat 1er nivel 2015 Retenida 2016/Mat 1er nivel 2015)</t>
  </si>
  <si>
    <t>i) (Mat Ret 4° Año 2016/Mat 1er año 2013)</t>
  </si>
  <si>
    <t>k) (N° Patentes solicitadas PCT 2015 +2016)*1000/(JCE 2016))</t>
  </si>
  <si>
    <t>AFI 2016 Reajustado 3,0%</t>
  </si>
  <si>
    <t>Complejidad Institucional</t>
  </si>
  <si>
    <t>N° Scopus 2016</t>
  </si>
  <si>
    <t>Porcentaje</t>
  </si>
  <si>
    <t>Monto</t>
  </si>
  <si>
    <t>Monto Publicaciones</t>
  </si>
  <si>
    <t>Presupuesto 2018</t>
  </si>
  <si>
    <t>Publicaciones M$</t>
  </si>
  <si>
    <t>Acreditación Institucional M$</t>
  </si>
  <si>
    <t>Académicos JC con Doctorado M$</t>
  </si>
  <si>
    <t>Programas Doctorado Acreditado M$</t>
  </si>
  <si>
    <t>Académicos Jornada Completa M$</t>
  </si>
  <si>
    <t>Matrícula Regular Pregrado M$</t>
  </si>
  <si>
    <t>Acreditación Investigación</t>
  </si>
  <si>
    <t>Acreditación Todas las Áreas</t>
  </si>
  <si>
    <t>Años Acreditación Institucional</t>
  </si>
  <si>
    <t>Puntaje Acreditación Investigación</t>
  </si>
  <si>
    <t>Puntaje Acreditación Todas las Áreas</t>
  </si>
  <si>
    <t>Puntaje Años Acreditación</t>
  </si>
  <si>
    <t>Suma Puntajes</t>
  </si>
  <si>
    <t>Monto por IES</t>
  </si>
  <si>
    <t>Porcentaje por IES</t>
  </si>
  <si>
    <t>N° Doc JC 2017</t>
  </si>
  <si>
    <t>Monto Acreditaciones</t>
  </si>
  <si>
    <t>Monto Académicos JC Doctorado</t>
  </si>
  <si>
    <t>N° Doctorados Acreditados</t>
  </si>
  <si>
    <t>N° Acad. JC 2017</t>
  </si>
  <si>
    <t>PONTIFICIA UNIVERSIDAD CATOLICA DE CHILE</t>
  </si>
  <si>
    <t>UNIVERSIDAD DE CONCEPCION</t>
  </si>
  <si>
    <t>PONTIFICIA UNIVERSIDAD CATOLICA DE VALPARAISO</t>
  </si>
  <si>
    <t>UNIVERSIDAD CATOLICA DEL NORTE</t>
  </si>
  <si>
    <t>UNIVERSIDAD TECNICA FEDERICO SANTA MARIA</t>
  </si>
  <si>
    <t>UNIVERSIDAD CATOLICA DE TEMUCO</t>
  </si>
  <si>
    <t>UNIVERSIDAD CATOLICA DE LA SANTISIMA CONCEPCION</t>
  </si>
  <si>
    <t>UNIVERSIDAD CATOLICA DEL MAULE</t>
  </si>
  <si>
    <t>N° Matrícula Regular Pregrado 2017</t>
  </si>
  <si>
    <t>Monto Matrícula Regula Pregrado</t>
  </si>
  <si>
    <t>Monto Académicos JC</t>
  </si>
  <si>
    <t>Monto Programas Doct. Acreditados</t>
  </si>
  <si>
    <t>AFI 2016 Reajustado</t>
  </si>
  <si>
    <t>Complejidad Institucional CM 30%</t>
  </si>
  <si>
    <t>Oferta Pedagogía M$</t>
  </si>
  <si>
    <t>Indicadores Pedagogía M$</t>
  </si>
  <si>
    <t>TOTAL Mejoramiento Pedagogía M$</t>
  </si>
  <si>
    <t>ELEMENTO MIXTO</t>
  </si>
  <si>
    <t>Total</t>
  </si>
  <si>
    <t>Total Complejidad Institucional</t>
  </si>
  <si>
    <t>Distribución Recursos Basal por Desempeño 2018</t>
  </si>
  <si>
    <t>Indicadores y Montos por IES, BD, Santiago, 15 de junio de 2018</t>
  </si>
  <si>
    <t>Santiago, 20 de noviembre de 2018</t>
  </si>
  <si>
    <t>Total Asignación SIN CAMBIOS DECRETO M$</t>
  </si>
  <si>
    <t>Unidad de Análisis e Información, DFI</t>
  </si>
  <si>
    <t>Reglamento vigente (año 2017)</t>
  </si>
  <si>
    <t>Anticipo hasta 40%</t>
  </si>
  <si>
    <t>Decreto N°31 26/01/2018</t>
  </si>
  <si>
    <t>BD 2017
Nominal
M$</t>
  </si>
  <si>
    <t>%  año 2017</t>
  </si>
  <si>
    <t>Anticipo 2018</t>
  </si>
  <si>
    <t>Saldo</t>
  </si>
  <si>
    <t>% Saldo respecto a la Universidad</t>
  </si>
  <si>
    <t>Detalle del cálculo</t>
  </si>
  <si>
    <t>Anticipo y Saldo</t>
  </si>
  <si>
    <t>Total Asignación 
SIN CAMBIOS DECRETO
Sin decimales M$</t>
  </si>
  <si>
    <t>CÁLCULO BASAL POR DESEMPEÑO 2018, Santiago, 30 de enero de 2018</t>
  </si>
  <si>
    <t>Decreto N°390 26/11/2018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</si>
</sst>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 * #,##0.00_ ;_ * \-#,##0.00_ ;_ * &quot;-&quot;??_ ;_ @_ "/>
    <numFmt numFmtId="165" formatCode="0.00000"/>
    <numFmt numFmtId="166" formatCode="_-* #,##0_-;\-* #,##0_-;_-* &quot;-&quot;??_-;_-@_-"/>
    <numFmt numFmtId="167" formatCode="0.0000000"/>
    <numFmt numFmtId="168" formatCode="_-* #,##0.0000_-;\-* #,##0.0000_-;_-* &quot;-&quot;??_-;_-@_-"/>
    <numFmt numFmtId="169" formatCode="_-* #,##0.0000_-;\-* #,##0.0000_-;_-* &quot;-&quot;????_-;_-@_-"/>
    <numFmt numFmtId="170" formatCode="_-* #,##0.00\ _€_-;\-* #,##0.00\ _€_-;_-* &quot;-&quot;??\ _€_-;_-@_-"/>
    <numFmt numFmtId="171" formatCode="_-* #,##0.000_-;\-* #,##0.000_-;_-* &quot;-&quot;??_-;_-@_-"/>
    <numFmt numFmtId="172" formatCode="_-* #,##0.0_-;\-* #,##0.0_-;_-* &quot;-&quot;??_-;_-@_-"/>
    <numFmt numFmtId="173" formatCode="#,##0.0"/>
    <numFmt numFmtId="174" formatCode="0.000%"/>
    <numFmt numFmtId="175" formatCode="0.0%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6" tint="0.39997558519241921"/>
      <name val="Calibri"/>
      <family val="2"/>
      <scheme val="minor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CC"/>
        <bgColor theme="4" tint="0.79998168889431442"/>
      </patternFill>
    </fill>
    <fill>
      <patternFill patternType="solid">
        <fgColor rgb="FFFFFF66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2" tint="-0.49998474074526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4" fillId="2" borderId="1" xfId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 vertical="top" wrapText="1"/>
    </xf>
    <xf numFmtId="0" fontId="4" fillId="5" borderId="1" xfId="1" applyNumberFormat="1" applyFont="1" applyFill="1" applyBorder="1" applyAlignment="1">
      <alignment horizontal="center" vertical="top" wrapText="1"/>
    </xf>
    <xf numFmtId="0" fontId="4" fillId="6" borderId="1" xfId="1" applyFont="1" applyFill="1" applyBorder="1" applyAlignment="1">
      <alignment horizontal="left" vertical="top" wrapText="1"/>
    </xf>
    <xf numFmtId="0" fontId="4" fillId="5" borderId="1" xfId="1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0" fontId="4" fillId="8" borderId="1" xfId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6" fontId="1" fillId="0" borderId="0" xfId="3" applyNumberFormat="1" applyFont="1"/>
    <xf numFmtId="166" fontId="6" fillId="0" borderId="0" xfId="3" applyNumberFormat="1" applyFont="1"/>
    <xf numFmtId="0" fontId="6" fillId="0" borderId="0" xfId="0" applyFont="1"/>
    <xf numFmtId="0" fontId="6" fillId="9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165" fontId="2" fillId="12" borderId="0" xfId="0" applyNumberFormat="1" applyFont="1" applyFill="1" applyAlignment="1">
      <alignment horizontal="center" wrapText="1"/>
    </xf>
    <xf numFmtId="0" fontId="4" fillId="11" borderId="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10" fontId="1" fillId="0" borderId="1" xfId="0" applyNumberFormat="1" applyFont="1" applyBorder="1"/>
    <xf numFmtId="166" fontId="1" fillId="0" borderId="1" xfId="3" applyNumberFormat="1" applyFont="1" applyBorder="1"/>
    <xf numFmtId="10" fontId="2" fillId="12" borderId="0" xfId="4" applyNumberFormat="1" applyFont="1" applyFill="1" applyAlignment="1">
      <alignment horizontal="center" wrapText="1"/>
    </xf>
    <xf numFmtId="0" fontId="6" fillId="0" borderId="0" xfId="0" applyFont="1" applyFill="1" applyBorder="1"/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1" fillId="16" borderId="3" xfId="0" applyFont="1" applyFill="1" applyBorder="1"/>
    <xf numFmtId="0" fontId="1" fillId="16" borderId="0" xfId="0" applyFont="1" applyFill="1"/>
    <xf numFmtId="0" fontId="2" fillId="16" borderId="0" xfId="0" applyFont="1" applyFill="1"/>
    <xf numFmtId="0" fontId="2" fillId="4" borderId="0" xfId="0" applyFont="1" applyFill="1" applyAlignment="1">
      <alignment horizontal="center" wrapText="1"/>
    </xf>
    <xf numFmtId="0" fontId="2" fillId="17" borderId="3" xfId="0" applyFont="1" applyFill="1" applyBorder="1" applyAlignment="1">
      <alignment horizontal="center" wrapText="1"/>
    </xf>
    <xf numFmtId="0" fontId="2" fillId="17" borderId="0" xfId="0" applyFont="1" applyFill="1" applyAlignment="1">
      <alignment horizontal="center" wrapText="1"/>
    </xf>
    <xf numFmtId="0" fontId="2" fillId="17" borderId="5" xfId="0" applyFont="1" applyFill="1" applyBorder="1" applyAlignment="1">
      <alignment horizontal="center" wrapText="1"/>
    </xf>
    <xf numFmtId="165" fontId="2" fillId="18" borderId="0" xfId="0" applyNumberFormat="1" applyFont="1" applyFill="1" applyAlignment="1">
      <alignment horizontal="center" wrapText="1"/>
    </xf>
    <xf numFmtId="165" fontId="2" fillId="18" borderId="5" xfId="0" applyNumberFormat="1" applyFont="1" applyFill="1" applyBorder="1" applyAlignment="1">
      <alignment horizontal="center" wrapText="1"/>
    </xf>
    <xf numFmtId="165" fontId="2" fillId="19" borderId="0" xfId="0" applyNumberFormat="1" applyFont="1" applyFill="1" applyAlignment="1">
      <alignment horizontal="center" wrapText="1"/>
    </xf>
    <xf numFmtId="166" fontId="2" fillId="19" borderId="0" xfId="3" applyNumberFormat="1" applyFont="1" applyFill="1" applyAlignment="1">
      <alignment horizontal="center" wrapText="1"/>
    </xf>
    <xf numFmtId="0" fontId="4" fillId="20" borderId="4" xfId="0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center" vertical="center" wrapText="1"/>
    </xf>
    <xf numFmtId="167" fontId="2" fillId="19" borderId="0" xfId="0" applyNumberFormat="1" applyFont="1" applyFill="1" applyAlignment="1">
      <alignment horizontal="center" wrapText="1"/>
    </xf>
    <xf numFmtId="0" fontId="0" fillId="0" borderId="0" xfId="0" applyFill="1"/>
    <xf numFmtId="0" fontId="1" fillId="0" borderId="0" xfId="0" applyFont="1" applyFill="1"/>
    <xf numFmtId="1" fontId="0" fillId="0" borderId="0" xfId="0" applyNumberFormat="1" applyFill="1"/>
    <xf numFmtId="0" fontId="4" fillId="22" borderId="1" xfId="0" applyNumberFormat="1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4" fillId="22" borderId="1" xfId="0" applyFont="1" applyFill="1" applyBorder="1" applyAlignment="1">
      <alignment horizontal="left" vertical="top" wrapText="1"/>
    </xf>
    <xf numFmtId="165" fontId="0" fillId="0" borderId="0" xfId="0" applyNumberFormat="1"/>
    <xf numFmtId="0" fontId="6" fillId="0" borderId="0" xfId="0" applyFont="1" applyFill="1" applyBorder="1" applyAlignment="1">
      <alignment horizontal="center"/>
    </xf>
    <xf numFmtId="166" fontId="6" fillId="0" borderId="0" xfId="3" applyNumberFormat="1" applyFont="1" applyFill="1" applyBorder="1"/>
    <xf numFmtId="0" fontId="6" fillId="15" borderId="1" xfId="0" applyFont="1" applyFill="1" applyBorder="1" applyAlignment="1">
      <alignment horizontal="center" vertical="center" wrapText="1"/>
    </xf>
    <xf numFmtId="166" fontId="1" fillId="13" borderId="1" xfId="3" applyNumberFormat="1" applyFont="1" applyFill="1" applyBorder="1"/>
    <xf numFmtId="0" fontId="1" fillId="0" borderId="1" xfId="0" applyFont="1" applyFill="1" applyBorder="1"/>
    <xf numFmtId="166" fontId="1" fillId="0" borderId="1" xfId="3" applyNumberFormat="1" applyFont="1" applyFill="1" applyBorder="1"/>
    <xf numFmtId="166" fontId="2" fillId="24" borderId="1" xfId="3" applyNumberFormat="1" applyFont="1" applyFill="1" applyBorder="1" applyAlignment="1">
      <alignment horizontal="center"/>
    </xf>
    <xf numFmtId="166" fontId="2" fillId="18" borderId="1" xfId="3" applyNumberFormat="1" applyFont="1" applyFill="1" applyBorder="1" applyAlignment="1">
      <alignment horizontal="center"/>
    </xf>
    <xf numFmtId="0" fontId="1" fillId="18" borderId="0" xfId="0" applyFont="1" applyFill="1"/>
    <xf numFmtId="0" fontId="2" fillId="18" borderId="0" xfId="0" applyFont="1" applyFill="1"/>
    <xf numFmtId="166" fontId="2" fillId="18" borderId="1" xfId="3" applyNumberFormat="1" applyFont="1" applyFill="1" applyBorder="1" applyAlignment="1">
      <alignment horizontal="center" vertical="center"/>
    </xf>
    <xf numFmtId="166" fontId="2" fillId="18" borderId="1" xfId="3" applyNumberFormat="1" applyFont="1" applyFill="1" applyBorder="1"/>
    <xf numFmtId="168" fontId="0" fillId="0" borderId="0" xfId="0" applyNumberFormat="1"/>
    <xf numFmtId="169" fontId="0" fillId="0" borderId="0" xfId="0" applyNumberFormat="1"/>
    <xf numFmtId="0" fontId="1" fillId="0" borderId="1" xfId="0" applyFont="1" applyBorder="1"/>
    <xf numFmtId="10" fontId="1" fillId="0" borderId="1" xfId="4" applyNumberFormat="1" applyFont="1" applyBorder="1"/>
    <xf numFmtId="166" fontId="1" fillId="0" borderId="1" xfId="0" applyNumberFormat="1" applyFont="1" applyBorder="1"/>
    <xf numFmtId="0" fontId="1" fillId="13" borderId="1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10" fontId="7" fillId="0" borderId="1" xfId="4" applyNumberFormat="1" applyFont="1" applyBorder="1"/>
    <xf numFmtId="166" fontId="7" fillId="0" borderId="1" xfId="3" applyNumberFormat="1" applyFont="1" applyBorder="1"/>
    <xf numFmtId="0" fontId="1" fillId="13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0" fontId="1" fillId="13" borderId="1" xfId="4" applyNumberFormat="1" applyFont="1" applyFill="1" applyBorder="1"/>
    <xf numFmtId="166" fontId="1" fillId="13" borderId="1" xfId="0" applyNumberFormat="1" applyFont="1" applyFill="1" applyBorder="1"/>
    <xf numFmtId="166" fontId="7" fillId="13" borderId="1" xfId="3" applyNumberFormat="1" applyFont="1" applyFill="1" applyBorder="1"/>
    <xf numFmtId="166" fontId="7" fillId="0" borderId="1" xfId="0" applyNumberFormat="1" applyFont="1" applyBorder="1"/>
    <xf numFmtId="166" fontId="7" fillId="11" borderId="1" xfId="3" applyNumberFormat="1" applyFont="1" applyFill="1" applyBorder="1"/>
    <xf numFmtId="10" fontId="7" fillId="11" borderId="2" xfId="4" applyNumberFormat="1" applyFont="1" applyFill="1" applyBorder="1"/>
    <xf numFmtId="166" fontId="7" fillId="11" borderId="1" xfId="4" applyNumberFormat="1" applyFont="1" applyFill="1" applyBorder="1"/>
    <xf numFmtId="0" fontId="1" fillId="0" borderId="2" xfId="0" applyFont="1" applyBorder="1"/>
    <xf numFmtId="0" fontId="7" fillId="11" borderId="1" xfId="0" applyFont="1" applyFill="1" applyBorder="1"/>
    <xf numFmtId="10" fontId="7" fillId="11" borderId="1" xfId="4" applyNumberFormat="1" applyFont="1" applyFill="1" applyBorder="1"/>
    <xf numFmtId="166" fontId="6" fillId="16" borderId="1" xfId="3" applyNumberFormat="1" applyFont="1" applyFill="1" applyBorder="1"/>
    <xf numFmtId="43" fontId="1" fillId="0" borderId="0" xfId="3" applyNumberFormat="1" applyFont="1"/>
    <xf numFmtId="43" fontId="6" fillId="0" borderId="0" xfId="3" applyNumberFormat="1" applyFont="1"/>
    <xf numFmtId="172" fontId="1" fillId="0" borderId="1" xfId="3" applyNumberFormat="1" applyFont="1" applyBorder="1"/>
    <xf numFmtId="43" fontId="1" fillId="0" borderId="1" xfId="3" applyNumberFormat="1" applyFont="1" applyBorder="1"/>
    <xf numFmtId="166" fontId="2" fillId="19" borderId="1" xfId="3" applyNumberFormat="1" applyFont="1" applyFill="1" applyBorder="1" applyAlignment="1">
      <alignment horizontal="center" wrapText="1"/>
    </xf>
    <xf numFmtId="43" fontId="6" fillId="17" borderId="1" xfId="3" applyNumberFormat="1" applyFont="1" applyFill="1" applyBorder="1"/>
    <xf numFmtId="43" fontId="1" fillId="0" borderId="1" xfId="3" applyNumberFormat="1" applyFont="1" applyFill="1" applyBorder="1"/>
    <xf numFmtId="171" fontId="7" fillId="0" borderId="0" xfId="0" applyNumberFormat="1" applyFont="1"/>
    <xf numFmtId="166" fontId="0" fillId="0" borderId="0" xfId="0" applyNumberFormat="1"/>
    <xf numFmtId="172" fontId="1" fillId="0" borderId="0" xfId="3" applyNumberFormat="1" applyFont="1"/>
    <xf numFmtId="172" fontId="2" fillId="19" borderId="0" xfId="3" applyNumberFormat="1" applyFont="1" applyFill="1" applyAlignment="1">
      <alignment horizontal="center" wrapText="1"/>
    </xf>
    <xf numFmtId="43" fontId="2" fillId="19" borderId="0" xfId="3" applyNumberFormat="1" applyFont="1" applyFill="1" applyAlignment="1">
      <alignment horizontal="center" wrapText="1"/>
    </xf>
    <xf numFmtId="43" fontId="2" fillId="19" borderId="1" xfId="3" applyNumberFormat="1" applyFont="1" applyFill="1" applyBorder="1" applyAlignment="1">
      <alignment horizontal="center" wrapText="1"/>
    </xf>
    <xf numFmtId="172" fontId="2" fillId="19" borderId="1" xfId="3" applyNumberFormat="1" applyFont="1" applyFill="1" applyBorder="1" applyAlignment="1">
      <alignment horizontal="center" wrapText="1"/>
    </xf>
    <xf numFmtId="172" fontId="6" fillId="21" borderId="1" xfId="3" applyNumberFormat="1" applyFont="1" applyFill="1" applyBorder="1"/>
    <xf numFmtId="172" fontId="0" fillId="0" borderId="0" xfId="0" applyNumberFormat="1"/>
    <xf numFmtId="0" fontId="8" fillId="0" borderId="0" xfId="0" applyFont="1"/>
    <xf numFmtId="0" fontId="2" fillId="0" borderId="1" xfId="0" applyFont="1" applyBorder="1"/>
    <xf numFmtId="0" fontId="2" fillId="0" borderId="8" xfId="0" applyFont="1" applyBorder="1"/>
    <xf numFmtId="166" fontId="6" fillId="13" borderId="10" xfId="3" applyNumberFormat="1" applyFont="1" applyFill="1" applyBorder="1"/>
    <xf numFmtId="166" fontId="6" fillId="23" borderId="10" xfId="3" applyNumberFormat="1" applyFont="1" applyFill="1" applyBorder="1"/>
    <xf numFmtId="166" fontId="6" fillId="9" borderId="10" xfId="3" applyNumberFormat="1" applyFont="1" applyFill="1" applyBorder="1"/>
    <xf numFmtId="43" fontId="6" fillId="9" borderId="10" xfId="3" applyNumberFormat="1" applyFont="1" applyFill="1" applyBorder="1"/>
    <xf numFmtId="166" fontId="6" fillId="16" borderId="10" xfId="3" applyNumberFormat="1" applyFont="1" applyFill="1" applyBorder="1"/>
    <xf numFmtId="43" fontId="6" fillId="17" borderId="10" xfId="3" applyNumberFormat="1" applyFont="1" applyFill="1" applyBorder="1"/>
    <xf numFmtId="172" fontId="6" fillId="21" borderId="10" xfId="3" applyNumberFormat="1" applyFont="1" applyFill="1" applyBorder="1"/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66" fontId="1" fillId="23" borderId="1" xfId="3" applyNumberFormat="1" applyFont="1" applyFill="1" applyBorder="1"/>
    <xf numFmtId="166" fontId="1" fillId="9" borderId="1" xfId="3" applyNumberFormat="1" applyFont="1" applyFill="1" applyBorder="1"/>
    <xf numFmtId="172" fontId="1" fillId="9" borderId="1" xfId="3" applyNumberFormat="1" applyFont="1" applyFill="1" applyBorder="1"/>
    <xf numFmtId="172" fontId="6" fillId="17" borderId="1" xfId="3" applyNumberFormat="1" applyFont="1" applyFill="1" applyBorder="1"/>
    <xf numFmtId="172" fontId="6" fillId="21" borderId="2" xfId="0" applyNumberFormat="1" applyFont="1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21" borderId="14" xfId="0" applyFont="1" applyFill="1" applyBorder="1" applyAlignment="1">
      <alignment horizontal="center" vertical="center" wrapText="1"/>
    </xf>
    <xf numFmtId="0" fontId="6" fillId="21" borderId="15" xfId="0" applyFont="1" applyFill="1" applyBorder="1" applyAlignment="1">
      <alignment horizontal="center" vertical="center"/>
    </xf>
    <xf numFmtId="0" fontId="1" fillId="0" borderId="16" xfId="0" applyFont="1" applyBorder="1"/>
    <xf numFmtId="10" fontId="6" fillId="21" borderId="17" xfId="4" applyNumberFormat="1" applyFont="1" applyFill="1" applyBorder="1" applyAlignment="1">
      <alignment horizontal="center" wrapText="1"/>
    </xf>
    <xf numFmtId="0" fontId="1" fillId="0" borderId="19" xfId="0" applyFont="1" applyBorder="1"/>
    <xf numFmtId="0" fontId="2" fillId="0" borderId="6" xfId="0" applyFont="1" applyBorder="1"/>
    <xf numFmtId="166" fontId="1" fillId="13" borderId="6" xfId="3" applyNumberFormat="1" applyFont="1" applyFill="1" applyBorder="1"/>
    <xf numFmtId="166" fontId="1" fillId="23" borderId="6" xfId="3" applyNumberFormat="1" applyFont="1" applyFill="1" applyBorder="1"/>
    <xf numFmtId="166" fontId="1" fillId="9" borderId="6" xfId="3" applyNumberFormat="1" applyFont="1" applyFill="1" applyBorder="1"/>
    <xf numFmtId="172" fontId="1" fillId="9" borderId="6" xfId="3" applyNumberFormat="1" applyFont="1" applyFill="1" applyBorder="1"/>
    <xf numFmtId="166" fontId="6" fillId="16" borderId="6" xfId="3" applyNumberFormat="1" applyFont="1" applyFill="1" applyBorder="1"/>
    <xf numFmtId="172" fontId="6" fillId="17" borderId="6" xfId="3" applyNumberFormat="1" applyFont="1" applyFill="1" applyBorder="1"/>
    <xf numFmtId="172" fontId="6" fillId="21" borderId="6" xfId="3" applyNumberFormat="1" applyFont="1" applyFill="1" applyBorder="1"/>
    <xf numFmtId="172" fontId="6" fillId="21" borderId="20" xfId="0" applyNumberFormat="1" applyFont="1" applyFill="1" applyBorder="1"/>
    <xf numFmtId="10" fontId="6" fillId="21" borderId="21" xfId="4" applyNumberFormat="1" applyFont="1" applyFill="1" applyBorder="1" applyAlignment="1">
      <alignment horizontal="center" wrapText="1"/>
    </xf>
    <xf numFmtId="0" fontId="6" fillId="13" borderId="23" xfId="0" applyFont="1" applyFill="1" applyBorder="1" applyAlignment="1">
      <alignment horizontal="center" vertical="center" wrapText="1"/>
    </xf>
    <xf numFmtId="0" fontId="6" fillId="23" borderId="23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1" fillId="0" borderId="25" xfId="0" applyFont="1" applyBorder="1"/>
    <xf numFmtId="166" fontId="1" fillId="13" borderId="8" xfId="3" applyNumberFormat="1" applyFont="1" applyFill="1" applyBorder="1"/>
    <xf numFmtId="166" fontId="1" fillId="23" borderId="8" xfId="3" applyNumberFormat="1" applyFont="1" applyFill="1" applyBorder="1"/>
    <xf numFmtId="166" fontId="1" fillId="9" borderId="8" xfId="3" applyNumberFormat="1" applyFont="1" applyFill="1" applyBorder="1"/>
    <xf numFmtId="172" fontId="1" fillId="9" borderId="8" xfId="3" applyNumberFormat="1" applyFont="1" applyFill="1" applyBorder="1"/>
    <xf numFmtId="166" fontId="6" fillId="16" borderId="8" xfId="3" applyNumberFormat="1" applyFont="1" applyFill="1" applyBorder="1"/>
    <xf numFmtId="43" fontId="6" fillId="17" borderId="8" xfId="3" applyNumberFormat="1" applyFont="1" applyFill="1" applyBorder="1"/>
    <xf numFmtId="172" fontId="6" fillId="21" borderId="8" xfId="3" applyNumberFormat="1" applyFont="1" applyFill="1" applyBorder="1"/>
    <xf numFmtId="172" fontId="6" fillId="21" borderId="7" xfId="0" applyNumberFormat="1" applyFont="1" applyFill="1" applyBorder="1"/>
    <xf numFmtId="10" fontId="6" fillId="21" borderId="26" xfId="4" applyNumberFormat="1" applyFont="1" applyFill="1" applyBorder="1" applyAlignment="1">
      <alignment horizontal="center" wrapText="1"/>
    </xf>
    <xf numFmtId="172" fontId="6" fillId="21" borderId="27" xfId="3" applyNumberFormat="1" applyFont="1" applyFill="1" applyBorder="1"/>
    <xf numFmtId="9" fontId="6" fillId="21" borderId="11" xfId="4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173" fontId="11" fillId="0" borderId="1" xfId="0" applyNumberFormat="1" applyFont="1" applyFill="1" applyBorder="1"/>
    <xf numFmtId="174" fontId="11" fillId="0" borderId="1" xfId="4" applyNumberFormat="1" applyFont="1" applyFill="1" applyBorder="1" applyAlignment="1">
      <alignment horizontal="right"/>
    </xf>
    <xf numFmtId="173" fontId="1" fillId="0" borderId="1" xfId="0" applyNumberFormat="1" applyFont="1" applyFill="1" applyBorder="1"/>
    <xf numFmtId="173" fontId="1" fillId="0" borderId="1" xfId="0" applyNumberFormat="1" applyFont="1" applyBorder="1"/>
    <xf numFmtId="9" fontId="1" fillId="0" borderId="1" xfId="4" applyFont="1" applyBorder="1" applyAlignment="1">
      <alignment horizontal="center"/>
    </xf>
    <xf numFmtId="173" fontId="0" fillId="0" borderId="0" xfId="0" applyNumberFormat="1"/>
    <xf numFmtId="175" fontId="0" fillId="0" borderId="0" xfId="0" applyNumberFormat="1"/>
    <xf numFmtId="0" fontId="12" fillId="0" borderId="0" xfId="0" applyFont="1" applyAlignment="1">
      <alignment horizontal="center"/>
    </xf>
    <xf numFmtId="164" fontId="0" fillId="0" borderId="0" xfId="0" applyNumberFormat="1"/>
    <xf numFmtId="0" fontId="6" fillId="0" borderId="9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1" borderId="15" xfId="0" applyFont="1" applyFill="1" applyBorder="1" applyAlignment="1">
      <alignment horizontal="center" vertical="center"/>
    </xf>
    <xf numFmtId="0" fontId="6" fillId="21" borderId="17" xfId="0" applyFont="1" applyFill="1" applyBorder="1" applyAlignment="1">
      <alignment horizontal="center" vertical="center"/>
    </xf>
    <xf numFmtId="0" fontId="6" fillId="21" borderId="18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 wrapText="1"/>
    </xf>
    <xf numFmtId="0" fontId="6" fillId="16" borderId="23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/>
    </xf>
    <xf numFmtId="0" fontId="6" fillId="17" borderId="13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6" fillId="17" borderId="23" xfId="0" applyFont="1" applyFill="1" applyBorder="1" applyAlignment="1">
      <alignment horizontal="center" vertical="center" wrapText="1"/>
    </xf>
    <xf numFmtId="0" fontId="6" fillId="21" borderId="13" xfId="0" applyFont="1" applyFill="1" applyBorder="1" applyAlignment="1">
      <alignment horizontal="center" vertical="center" wrapText="1"/>
    </xf>
    <xf numFmtId="0" fontId="6" fillId="21" borderId="1" xfId="0" applyFont="1" applyFill="1" applyBorder="1" applyAlignment="1">
      <alignment horizontal="center" vertical="center" wrapText="1"/>
    </xf>
    <xf numFmtId="0" fontId="6" fillId="21" borderId="23" xfId="0" applyFont="1" applyFill="1" applyBorder="1" applyAlignment="1">
      <alignment horizontal="center" vertical="center" wrapText="1"/>
    </xf>
    <xf numFmtId="0" fontId="6" fillId="21" borderId="14" xfId="0" applyFont="1" applyFill="1" applyBorder="1" applyAlignment="1">
      <alignment horizontal="center" vertical="center" wrapText="1"/>
    </xf>
    <xf numFmtId="0" fontId="6" fillId="21" borderId="2" xfId="0" applyFont="1" applyFill="1" applyBorder="1" applyAlignment="1">
      <alignment horizontal="center" vertical="center" wrapText="1"/>
    </xf>
    <xf numFmtId="0" fontId="6" fillId="21" borderId="24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/>
    </xf>
    <xf numFmtId="0" fontId="6" fillId="23" borderId="2" xfId="0" applyFont="1" applyFill="1" applyBorder="1" applyAlignment="1">
      <alignment horizontal="center" wrapText="1"/>
    </xf>
    <xf numFmtId="0" fontId="6" fillId="23" borderId="28" xfId="0" applyFont="1" applyFill="1" applyBorder="1" applyAlignment="1">
      <alignment horizontal="center" wrapText="1"/>
    </xf>
    <xf numFmtId="0" fontId="6" fillId="23" borderId="4" xfId="0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/>
    </xf>
  </cellXfs>
  <cellStyles count="8">
    <cellStyle name="Millares" xfId="3" builtinId="3"/>
    <cellStyle name="Millares 2" xfId="2"/>
    <cellStyle name="Millares 3" xfId="6"/>
    <cellStyle name="Normal" xfId="0" builtinId="0"/>
    <cellStyle name="Normal 2" xfId="1"/>
    <cellStyle name="Normal 3" xfId="5"/>
    <cellStyle name="Porcentaje" xfId="4" builtinId="5"/>
    <cellStyle name="Porcentaje 2" xfId="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externalLink" Target="externalLinks/externalLink9.xml"/><Relationship Id="rId21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4" Type="http://schemas.openxmlformats.org/officeDocument/2006/relationships/styles" Target="styles.xml"/><Relationship Id="rId25" Type="http://schemas.openxmlformats.org/officeDocument/2006/relationships/sharedStrings" Target="sharedStrings.xml"/><Relationship Id="rId26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externalLink" Target="externalLinks/externalLink3.xml"/><Relationship Id="rId15" Type="http://schemas.openxmlformats.org/officeDocument/2006/relationships/externalLink" Target="externalLinks/externalLink4.xml"/><Relationship Id="rId16" Type="http://schemas.openxmlformats.org/officeDocument/2006/relationships/externalLink" Target="externalLinks/externalLink5.xml"/><Relationship Id="rId17" Type="http://schemas.openxmlformats.org/officeDocument/2006/relationships/externalLink" Target="externalLinks/externalLink6.xml"/><Relationship Id="rId18" Type="http://schemas.openxmlformats.org/officeDocument/2006/relationships/externalLink" Target="externalLinks/externalLink7.xml"/><Relationship Id="rId1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282223</xdr:colOff>
      <xdr:row>0</xdr:row>
      <xdr:rowOff>84667</xdr:rowOff>
    </xdr:from>
    <xdr:to>
      <xdr:col>2</xdr:col>
      <xdr:colOff>395954</xdr:colOff>
      <xdr:row>5</xdr:row>
      <xdr:rowOff>91871</xdr:rowOff>
    </xdr:to>
    <xdr:pic>
      <xdr:nvPicPr>
        <xdr:cNvPr id="2" name="Imagen 1" descr="../../../../Desktop/Logotipo%20-%20Ministerio%20de%20Educacion/Logo%20Mineduc%20SIN%20SLOGAN/01-Mineduc-Col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4056" y="84667"/>
          <a:ext cx="1150898" cy="10232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750883</xdr:colOff>
      <xdr:row>2</xdr:row>
      <xdr:rowOff>42092</xdr:rowOff>
    </xdr:from>
    <xdr:to>
      <xdr:col>12</xdr:col>
      <xdr:colOff>647528</xdr:colOff>
      <xdr:row>4</xdr:row>
      <xdr:rowOff>48902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0050" y="465425"/>
          <a:ext cx="1653478" cy="4089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98777</xdr:rowOff>
    </xdr:from>
    <xdr:to>
      <xdr:col>1</xdr:col>
      <xdr:colOff>1150898</xdr:colOff>
      <xdr:row>5</xdr:row>
      <xdr:rowOff>91870</xdr:rowOff>
    </xdr:to>
    <xdr:pic>
      <xdr:nvPicPr>
        <xdr:cNvPr id="2" name="Imagen 1" descr="../../../../Desktop/Logotipo%20-%20Ministerio%20de%20Educacion/Logo%20Mineduc%20SIN%20SLOGAN/01-Mineduc-Col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9333" y="98777"/>
          <a:ext cx="1150898" cy="10232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158216</xdr:colOff>
      <xdr:row>2</xdr:row>
      <xdr:rowOff>56202</xdr:rowOff>
    </xdr:from>
    <xdr:to>
      <xdr:col>10</xdr:col>
      <xdr:colOff>993249</xdr:colOff>
      <xdr:row>4</xdr:row>
      <xdr:rowOff>55956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9383" y="479535"/>
          <a:ext cx="1660533" cy="4019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aldo.torres/AppData/Local/Microsoft/Windows/Temporary%20Internet%20Files/Content.Outlook/A162YRBK/2017_CM-BD-FI%202016%20revisi&#243;n_con%20Phd%20CNA%20(26%20julio%202016)_25O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Unidad%20An&#225;lisis/Presupuesto%202018/Pedagog&#237;a/Pedagog&#237;a%20Decreto/Archivos%20Finales%20Pedagog&#237;a/Montos_Pedagogia_G9_V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UDAC%202008/CD%20Basal/CM_BD_FI%20(2017)/BD_vf_web%2030nov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Basal%20por%20Desempe&#241;o/2018/Doctorados_CM-BD-FI_2901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Basal%20por%20Desempe&#241;o/2018/Publicaciones_Conicyt_2017_3001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Basal%20por%20Desempe&#241;o/2018/Datos_SIES_CM_BD_FI_1101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ldo.torres/AppData/Local/Microsoft/Windows/INetCache/Content.Outlook/23KASAHH/Solicitudes%20PCT%20chilenas%20presentadas%20en%20Chile%202010_2016%20(oct2017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Basal%20por%20Desempe&#241;o/2017/CM-BD-FI/Listado_IES-Calculos_BD_CM_FI_2017_V1601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Unidad%20An&#225;lisis/Presupuesto%202018/Acreditaciones_Areas_IES_1406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Unidad%20An&#225;lisis/Presupuesto%202018/JC%202016_2017%20(SIES%20nov2017)_1406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Unidad%20An&#225;lisis/Presupuesto%202018/Matricula_2017_SIES_1406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ón BD jul16_SIM2017_OCT"/>
      <sheetName val="Revisión CM jun16_SIM2017_OCT"/>
      <sheetName val="Revisión CM jun2016_Sim OCT16"/>
      <sheetName val="Revisión BD jul2016"/>
      <sheetName val="Revisión FI jun2016"/>
      <sheetName val="DATOS Indicadores_RAM"/>
      <sheetName val="PhD Acreditados 31-12-2016"/>
      <sheetName val="Categoria 2016"/>
      <sheetName val="AFD 95% y 5% (MVO 20mar15)"/>
      <sheetName val="AFI 2016"/>
      <sheetName val="Diag Pedagogía"/>
      <sheetName val="IES_ACRE_15.05.2015"/>
      <sheetName val="IES Acred web CNA 04may16"/>
    </sheetNames>
    <sheetDataSet>
      <sheetData sheetId="0">
        <row r="32">
          <cell r="D32" t="str">
            <v>AFD 2016</v>
          </cell>
          <cell r="G32" t="str">
            <v>5 % Total AFD 2016</v>
          </cell>
          <cell r="H32" t="str">
            <v>5 % Total AFD 2016
Reajustado 3%</v>
          </cell>
          <cell r="I32" t="str">
            <v>4 % Total AFD 2016</v>
          </cell>
          <cell r="J32" t="str">
            <v>4 % Total AFD 2016
Reajustado 3%</v>
          </cell>
          <cell r="K32" t="str">
            <v>3 % Total AFD 2016</v>
          </cell>
          <cell r="L32" t="str">
            <v>3 % Total AFD 2016
Reajustado 3%</v>
          </cell>
          <cell r="M32" t="str">
            <v>AFI 2016
M$</v>
          </cell>
        </row>
        <row r="33">
          <cell r="C33" t="str">
            <v>Instituciones</v>
          </cell>
          <cell r="D33" t="str">
            <v>AFD 5%</v>
          </cell>
          <cell r="E33" t="str">
            <v>AFD 95%</v>
          </cell>
          <cell r="F33" t="str">
            <v>Total AFD</v>
          </cell>
        </row>
        <row r="34">
          <cell r="B34" t="str">
            <v>PUC</v>
          </cell>
          <cell r="C34" t="str">
            <v>P.U. Católica de Chile</v>
          </cell>
          <cell r="D34">
            <v>962132</v>
          </cell>
          <cell r="E34">
            <v>24652493</v>
          </cell>
          <cell r="F34">
            <v>25614625</v>
          </cell>
          <cell r="G34">
            <v>1280731.25</v>
          </cell>
          <cell r="H34">
            <v>1319153</v>
          </cell>
          <cell r="I34">
            <v>1024585</v>
          </cell>
          <cell r="J34">
            <v>1055323</v>
          </cell>
          <cell r="K34">
            <v>768438.75</v>
          </cell>
          <cell r="L34">
            <v>791492</v>
          </cell>
          <cell r="M34">
            <v>2471405</v>
          </cell>
        </row>
        <row r="35">
          <cell r="B35" t="str">
            <v>UCO</v>
          </cell>
          <cell r="C35" t="str">
            <v>U. de Concepción</v>
          </cell>
          <cell r="D35">
            <v>678852</v>
          </cell>
          <cell r="E35">
            <v>15024380</v>
          </cell>
          <cell r="F35">
            <v>15703232</v>
          </cell>
          <cell r="G35">
            <v>785161.60000000009</v>
          </cell>
          <cell r="H35">
            <v>808716</v>
          </cell>
          <cell r="I35">
            <v>628129.28000000003</v>
          </cell>
          <cell r="J35">
            <v>646973</v>
          </cell>
          <cell r="K35">
            <v>471096.95999999996</v>
          </cell>
          <cell r="L35">
            <v>485230</v>
          </cell>
          <cell r="M35">
            <v>834829</v>
          </cell>
        </row>
        <row r="36">
          <cell r="B36" t="str">
            <v>FSM</v>
          </cell>
          <cell r="C36" t="str">
            <v>U. Téc. Federico Sta.Maria</v>
          </cell>
          <cell r="D36">
            <v>668218</v>
          </cell>
          <cell r="E36">
            <v>11519454</v>
          </cell>
          <cell r="F36">
            <v>12187672</v>
          </cell>
          <cell r="G36">
            <v>609383.6</v>
          </cell>
          <cell r="H36">
            <v>627665</v>
          </cell>
          <cell r="I36">
            <v>487506.88</v>
          </cell>
          <cell r="J36">
            <v>502132</v>
          </cell>
          <cell r="K36">
            <v>365630.16</v>
          </cell>
          <cell r="L36">
            <v>376599</v>
          </cell>
          <cell r="M36">
            <v>796618</v>
          </cell>
        </row>
        <row r="37">
          <cell r="B37" t="str">
            <v>UCV</v>
          </cell>
          <cell r="C37" t="str">
            <v>P.U. Católica de Valparaíso</v>
          </cell>
          <cell r="D37">
            <v>827887</v>
          </cell>
          <cell r="E37">
            <v>11953251</v>
          </cell>
          <cell r="F37">
            <v>12781138</v>
          </cell>
          <cell r="G37">
            <v>639056.9</v>
          </cell>
          <cell r="H37">
            <v>658229</v>
          </cell>
          <cell r="I37">
            <v>511245.52</v>
          </cell>
          <cell r="J37">
            <v>526583</v>
          </cell>
          <cell r="K37">
            <v>383434.14</v>
          </cell>
          <cell r="L37">
            <v>394937</v>
          </cell>
          <cell r="M37">
            <v>534276</v>
          </cell>
        </row>
        <row r="38">
          <cell r="B38" t="str">
            <v>AUS</v>
          </cell>
          <cell r="C38" t="str">
            <v>U. Austral</v>
          </cell>
          <cell r="D38">
            <v>262847</v>
          </cell>
          <cell r="E38">
            <v>9273317</v>
          </cell>
          <cell r="F38">
            <v>9536164</v>
          </cell>
          <cell r="G38">
            <v>476808.2</v>
          </cell>
          <cell r="H38">
            <v>491112</v>
          </cell>
          <cell r="I38">
            <v>381446.56</v>
          </cell>
          <cell r="J38">
            <v>392890</v>
          </cell>
          <cell r="K38">
            <v>286084.92</v>
          </cell>
          <cell r="L38">
            <v>294667</v>
          </cell>
          <cell r="M38">
            <v>308805</v>
          </cell>
        </row>
        <row r="39">
          <cell r="B39" t="str">
            <v>UCN</v>
          </cell>
          <cell r="C39" t="str">
            <v>U. Católica del Norte</v>
          </cell>
          <cell r="D39">
            <v>276812</v>
          </cell>
          <cell r="E39">
            <v>9153031</v>
          </cell>
          <cell r="F39">
            <v>9429843</v>
          </cell>
          <cell r="G39">
            <v>471492.15</v>
          </cell>
          <cell r="H39">
            <v>485637</v>
          </cell>
          <cell r="I39">
            <v>377193.72000000003</v>
          </cell>
          <cell r="J39">
            <v>388510</v>
          </cell>
          <cell r="K39">
            <v>282895.28999999998</v>
          </cell>
          <cell r="L39">
            <v>291382</v>
          </cell>
          <cell r="M39">
            <v>189862</v>
          </cell>
        </row>
        <row r="40">
          <cell r="B40" t="str">
            <v>UCM</v>
          </cell>
          <cell r="C40" t="str">
            <v>U. Católica de Maule</v>
          </cell>
          <cell r="D40">
            <v>162244</v>
          </cell>
          <cell r="E40">
            <v>2153494</v>
          </cell>
          <cell r="F40">
            <v>2315738</v>
          </cell>
          <cell r="G40">
            <v>115786.90000000001</v>
          </cell>
          <cell r="H40">
            <v>119261</v>
          </cell>
          <cell r="I40">
            <v>92629.52</v>
          </cell>
          <cell r="J40">
            <v>95408</v>
          </cell>
          <cell r="K40">
            <v>69472.14</v>
          </cell>
          <cell r="L40">
            <v>71556</v>
          </cell>
          <cell r="M40">
            <v>95377</v>
          </cell>
        </row>
        <row r="41">
          <cell r="B41" t="str">
            <v>UCT</v>
          </cell>
          <cell r="C41" t="str">
            <v>U. Católica de Temuco</v>
          </cell>
          <cell r="D41">
            <v>180819</v>
          </cell>
          <cell r="E41">
            <v>1567205</v>
          </cell>
          <cell r="F41">
            <v>1748023</v>
          </cell>
          <cell r="G41">
            <v>87401.150000000009</v>
          </cell>
          <cell r="H41">
            <v>90023</v>
          </cell>
          <cell r="I41">
            <v>69920.92</v>
          </cell>
          <cell r="J41">
            <v>72019</v>
          </cell>
          <cell r="K41">
            <v>52440.689999999995</v>
          </cell>
          <cell r="L41">
            <v>54014</v>
          </cell>
          <cell r="M41">
            <v>30330</v>
          </cell>
        </row>
        <row r="42">
          <cell r="B42" t="str">
            <v>USC</v>
          </cell>
          <cell r="C42" t="str">
            <v>U. C.de la Sant.Concepción</v>
          </cell>
          <cell r="D42">
            <v>128185</v>
          </cell>
          <cell r="E42">
            <v>1434267</v>
          </cell>
          <cell r="F42">
            <v>1562452</v>
          </cell>
          <cell r="G42">
            <v>78122.600000000006</v>
          </cell>
          <cell r="H42">
            <v>80466</v>
          </cell>
          <cell r="I42">
            <v>62498.080000000002</v>
          </cell>
          <cell r="J42">
            <v>64373</v>
          </cell>
          <cell r="K42">
            <v>46873.56</v>
          </cell>
          <cell r="L42">
            <v>48280</v>
          </cell>
          <cell r="M42">
            <v>76198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ntaje Final FID"/>
      <sheetName val="Criterios Puntajes"/>
      <sheetName val="Promedio Acreditación"/>
      <sheetName val="Porcentaje Matrícula FID"/>
      <sheetName val="Cantidad Matrícula FID"/>
      <sheetName val="Oferta FID"/>
      <sheetName val="Puntaje Postgrado"/>
      <sheetName val="Porcentaje Matrícula Per 1-6"/>
    </sheetNames>
    <sheetDataSet>
      <sheetData sheetId="0">
        <row r="7">
          <cell r="C7" t="str">
            <v>UCV</v>
          </cell>
          <cell r="D7">
            <v>8</v>
          </cell>
          <cell r="E7">
            <v>25</v>
          </cell>
          <cell r="F7">
            <v>6</v>
          </cell>
          <cell r="G7">
            <v>25</v>
          </cell>
          <cell r="H7">
            <v>8</v>
          </cell>
          <cell r="I7">
            <v>12</v>
          </cell>
          <cell r="J7">
            <v>84</v>
          </cell>
          <cell r="K7">
            <v>0.1494661921708185</v>
          </cell>
          <cell r="L7">
            <v>478291.81494661921</v>
          </cell>
          <cell r="M7">
            <v>478292</v>
          </cell>
        </row>
        <row r="8">
          <cell r="C8" t="str">
            <v>UCO</v>
          </cell>
          <cell r="D8">
            <v>6</v>
          </cell>
          <cell r="E8">
            <v>25</v>
          </cell>
          <cell r="F8">
            <v>6</v>
          </cell>
          <cell r="G8">
            <v>25</v>
          </cell>
          <cell r="H8">
            <v>6</v>
          </cell>
          <cell r="I8">
            <v>12</v>
          </cell>
          <cell r="J8">
            <v>80</v>
          </cell>
          <cell r="K8">
            <v>0.14234875444839859</v>
          </cell>
          <cell r="L8">
            <v>455516.0142348755</v>
          </cell>
          <cell r="M8">
            <v>455516</v>
          </cell>
        </row>
        <row r="9">
          <cell r="C9" t="str">
            <v>USC</v>
          </cell>
          <cell r="D9">
            <v>6</v>
          </cell>
          <cell r="E9">
            <v>20</v>
          </cell>
          <cell r="F9">
            <v>6</v>
          </cell>
          <cell r="G9">
            <v>25</v>
          </cell>
          <cell r="H9">
            <v>6</v>
          </cell>
          <cell r="I9">
            <v>15</v>
          </cell>
          <cell r="J9">
            <v>78</v>
          </cell>
          <cell r="K9">
            <v>0.13879003558718861</v>
          </cell>
          <cell r="L9">
            <v>444128.11387900356</v>
          </cell>
          <cell r="M9">
            <v>444128</v>
          </cell>
        </row>
        <row r="10">
          <cell r="C10" t="str">
            <v>UCT</v>
          </cell>
          <cell r="D10">
            <v>8</v>
          </cell>
          <cell r="E10">
            <v>20</v>
          </cell>
          <cell r="F10">
            <v>6</v>
          </cell>
          <cell r="G10">
            <v>25</v>
          </cell>
          <cell r="H10">
            <v>4</v>
          </cell>
          <cell r="I10">
            <v>15</v>
          </cell>
          <cell r="J10">
            <v>78</v>
          </cell>
          <cell r="K10">
            <v>0.13879003558718861</v>
          </cell>
          <cell r="L10">
            <v>444128.11387900356</v>
          </cell>
          <cell r="M10">
            <v>444128</v>
          </cell>
        </row>
        <row r="11">
          <cell r="C11" t="str">
            <v>UCM</v>
          </cell>
          <cell r="D11">
            <v>8</v>
          </cell>
          <cell r="E11">
            <v>20</v>
          </cell>
          <cell r="F11">
            <v>6</v>
          </cell>
          <cell r="G11">
            <v>25</v>
          </cell>
          <cell r="H11">
            <v>4</v>
          </cell>
          <cell r="I11">
            <v>12</v>
          </cell>
          <cell r="J11">
            <v>75</v>
          </cell>
          <cell r="K11">
            <v>0.13345195729537365</v>
          </cell>
          <cell r="L11">
            <v>427046.26334519568</v>
          </cell>
          <cell r="M11">
            <v>427046</v>
          </cell>
        </row>
        <row r="12">
          <cell r="C12" t="str">
            <v>PUC</v>
          </cell>
          <cell r="D12">
            <v>6</v>
          </cell>
          <cell r="E12">
            <v>20</v>
          </cell>
          <cell r="F12">
            <v>3</v>
          </cell>
          <cell r="G12">
            <v>25</v>
          </cell>
          <cell r="H12">
            <v>8</v>
          </cell>
          <cell r="I12">
            <v>9</v>
          </cell>
          <cell r="J12">
            <v>71</v>
          </cell>
          <cell r="K12">
            <v>0.12633451957295375</v>
          </cell>
          <cell r="L12">
            <v>404270.46263345197</v>
          </cell>
          <cell r="M12">
            <v>404270</v>
          </cell>
        </row>
        <row r="13">
          <cell r="C13" t="str">
            <v>AUS</v>
          </cell>
          <cell r="D13">
            <v>6</v>
          </cell>
          <cell r="E13">
            <v>20</v>
          </cell>
          <cell r="F13">
            <v>3</v>
          </cell>
          <cell r="G13">
            <v>15</v>
          </cell>
          <cell r="H13">
            <v>4</v>
          </cell>
          <cell r="I13">
            <v>12</v>
          </cell>
          <cell r="J13">
            <v>60</v>
          </cell>
          <cell r="K13">
            <v>0.10676156583629894</v>
          </cell>
          <cell r="L13">
            <v>341637.01067615661</v>
          </cell>
          <cell r="M13">
            <v>341637</v>
          </cell>
        </row>
        <row r="14">
          <cell r="C14" t="str">
            <v>UCN</v>
          </cell>
          <cell r="D14">
            <v>4</v>
          </cell>
          <cell r="E14">
            <v>10</v>
          </cell>
          <cell r="F14">
            <v>3</v>
          </cell>
          <cell r="G14">
            <v>10</v>
          </cell>
          <cell r="H14">
            <v>0</v>
          </cell>
          <cell r="I14">
            <v>9</v>
          </cell>
          <cell r="J14">
            <v>36</v>
          </cell>
          <cell r="K14">
            <v>6.4056939501779361E-2</v>
          </cell>
          <cell r="L14">
            <v>204982.20640569396</v>
          </cell>
          <cell r="M14">
            <v>204982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Calculo 2017"/>
      <sheetName val="AFI 2016"/>
      <sheetName val="Complejidad"/>
      <sheetName val="Desempeño"/>
      <sheetName val="Categoria 2017"/>
    </sheetNames>
    <sheetDataSet>
      <sheetData sheetId="0">
        <row r="9">
          <cell r="A9" t="str">
            <v>PUC</v>
          </cell>
          <cell r="B9" t="str">
            <v>I</v>
          </cell>
          <cell r="C9">
            <v>2545547.15</v>
          </cell>
          <cell r="D9">
            <v>100000</v>
          </cell>
          <cell r="E9">
            <v>2765502.4711270733</v>
          </cell>
          <cell r="F9">
            <v>5411049.6211270727</v>
          </cell>
          <cell r="G9">
            <v>2806924.3272801177</v>
          </cell>
          <cell r="H9">
            <v>0.1711448851103422</v>
          </cell>
          <cell r="I9">
            <v>8217973.9484071899</v>
          </cell>
          <cell r="J9">
            <v>0.25343224608377446</v>
          </cell>
          <cell r="K9">
            <v>111296.44840718992</v>
          </cell>
          <cell r="L9">
            <v>-111296</v>
          </cell>
          <cell r="M9">
            <v>8106677.9484071899</v>
          </cell>
          <cell r="N9">
            <v>8106678</v>
          </cell>
        </row>
        <row r="10">
          <cell r="A10" t="str">
            <v>UCO</v>
          </cell>
          <cell r="B10" t="str">
            <v>I</v>
          </cell>
          <cell r="C10">
            <v>859873.87</v>
          </cell>
          <cell r="D10">
            <v>100000</v>
          </cell>
          <cell r="E10">
            <v>1994840.3326868757</v>
          </cell>
          <cell r="F10">
            <v>2954714.2026868756</v>
          </cell>
          <cell r="G10">
            <v>2660031.0060532154</v>
          </cell>
          <cell r="H10">
            <v>0.16218844822299111</v>
          </cell>
          <cell r="I10">
            <v>5614745.208740091</v>
          </cell>
          <cell r="J10">
            <v>0.17315186180590297</v>
          </cell>
          <cell r="K10">
            <v>0</v>
          </cell>
          <cell r="L10">
            <v>13912</v>
          </cell>
          <cell r="M10">
            <v>5628657.208740091</v>
          </cell>
          <cell r="N10">
            <v>5628657</v>
          </cell>
        </row>
        <row r="11">
          <cell r="A11" t="str">
            <v>UCV</v>
          </cell>
          <cell r="B11" t="str">
            <v>II</v>
          </cell>
          <cell r="C11">
            <v>550304.28</v>
          </cell>
          <cell r="D11">
            <v>100000</v>
          </cell>
          <cell r="E11">
            <v>1045831.4063898925</v>
          </cell>
          <cell r="F11">
            <v>1696135.6863898924</v>
          </cell>
          <cell r="G11">
            <v>2021845.8416594709</v>
          </cell>
          <cell r="H11">
            <v>0.1232767734130302</v>
          </cell>
          <cell r="I11">
            <v>3717981.5280493633</v>
          </cell>
          <cell r="J11">
            <v>0.11465799422912049</v>
          </cell>
          <cell r="K11">
            <v>0</v>
          </cell>
          <cell r="L11">
            <v>13912</v>
          </cell>
          <cell r="M11">
            <v>3731893.5280493633</v>
          </cell>
          <cell r="N11">
            <v>3731894</v>
          </cell>
        </row>
        <row r="12">
          <cell r="A12" t="str">
            <v>FSM</v>
          </cell>
          <cell r="B12" t="str">
            <v>II</v>
          </cell>
          <cell r="C12">
            <v>820516.54</v>
          </cell>
          <cell r="D12">
            <v>0</v>
          </cell>
          <cell r="E12">
            <v>895871.00638891605</v>
          </cell>
          <cell r="F12">
            <v>1716387.5463889162</v>
          </cell>
          <cell r="G12">
            <v>1921501.9868490747</v>
          </cell>
          <cell r="H12">
            <v>0.11715856875173998</v>
          </cell>
          <cell r="I12">
            <v>3637889.5332379909</v>
          </cell>
          <cell r="J12">
            <v>0.1121880552556208</v>
          </cell>
          <cell r="K12">
            <v>0</v>
          </cell>
          <cell r="L12">
            <v>13912</v>
          </cell>
          <cell r="M12">
            <v>3651801.5332379909</v>
          </cell>
          <cell r="N12">
            <v>3651802</v>
          </cell>
        </row>
        <row r="13">
          <cell r="A13" t="str">
            <v>AUS</v>
          </cell>
          <cell r="B13" t="str">
            <v>II</v>
          </cell>
          <cell r="C13">
            <v>318069.15000000002</v>
          </cell>
          <cell r="D13">
            <v>100000</v>
          </cell>
          <cell r="E13">
            <v>1135077.3954789396</v>
          </cell>
          <cell r="F13">
            <v>1553146.5454789395</v>
          </cell>
          <cell r="G13">
            <v>1855083.0852400064</v>
          </cell>
          <cell r="H13">
            <v>0.11310884957172422</v>
          </cell>
          <cell r="I13">
            <v>3408229.630718946</v>
          </cell>
          <cell r="J13">
            <v>0.10510562529220345</v>
          </cell>
          <cell r="K13">
            <v>0</v>
          </cell>
          <cell r="L13">
            <v>13912</v>
          </cell>
          <cell r="M13">
            <v>3422141.630718946</v>
          </cell>
          <cell r="N13">
            <v>3422142</v>
          </cell>
        </row>
        <row r="14">
          <cell r="A14" t="str">
            <v>UCN</v>
          </cell>
          <cell r="B14" t="str">
            <v>II</v>
          </cell>
          <cell r="C14">
            <v>195557.86000000002</v>
          </cell>
          <cell r="D14">
            <v>100000</v>
          </cell>
          <cell r="E14">
            <v>760144.10722119256</v>
          </cell>
          <cell r="F14">
            <v>1055701.9672211925</v>
          </cell>
          <cell r="G14">
            <v>1784516.53296198</v>
          </cell>
          <cell r="H14">
            <v>0.1088062382170539</v>
          </cell>
          <cell r="I14">
            <v>2840218.5001831725</v>
          </cell>
          <cell r="J14">
            <v>8.7588858079748852E-2</v>
          </cell>
          <cell r="K14">
            <v>0</v>
          </cell>
          <cell r="L14">
            <v>13912</v>
          </cell>
          <cell r="M14">
            <v>2854130.5001831725</v>
          </cell>
          <cell r="N14">
            <v>2854130</v>
          </cell>
        </row>
        <row r="15">
          <cell r="A15" t="str">
            <v>UCT</v>
          </cell>
          <cell r="B15" t="str">
            <v>II</v>
          </cell>
          <cell r="C15">
            <v>31239.9</v>
          </cell>
          <cell r="D15">
            <v>100000</v>
          </cell>
          <cell r="E15">
            <v>400634.70410401205</v>
          </cell>
          <cell r="F15">
            <v>531874.60410401202</v>
          </cell>
          <cell r="G15">
            <v>1528644.7755116911</v>
          </cell>
          <cell r="H15">
            <v>9.3205125602007305E-2</v>
          </cell>
          <cell r="I15">
            <v>2060519.3796157031</v>
          </cell>
          <cell r="J15">
            <v>6.3543892661811929E-2</v>
          </cell>
          <cell r="K15">
            <v>0</v>
          </cell>
          <cell r="L15">
            <v>13912</v>
          </cell>
          <cell r="M15">
            <v>2074431.3796157031</v>
          </cell>
          <cell r="N15">
            <v>2074431</v>
          </cell>
        </row>
        <row r="16">
          <cell r="A16" t="str">
            <v>UCM</v>
          </cell>
          <cell r="B16" t="str">
            <v>III</v>
          </cell>
          <cell r="C16">
            <v>98238.31</v>
          </cell>
          <cell r="D16">
            <v>100000</v>
          </cell>
          <cell r="E16">
            <v>339204.77363107639</v>
          </cell>
          <cell r="F16">
            <v>537443.08363107638</v>
          </cell>
          <cell r="G16">
            <v>954852.8481341314</v>
          </cell>
          <cell r="H16">
            <v>5.8219660360259717E-2</v>
          </cell>
          <cell r="I16">
            <v>1492295.9317652078</v>
          </cell>
          <cell r="J16">
            <v>4.6020577843549591E-2</v>
          </cell>
          <cell r="K16">
            <v>0</v>
          </cell>
          <cell r="L16">
            <v>13912</v>
          </cell>
          <cell r="M16">
            <v>1506207.9317652078</v>
          </cell>
          <cell r="N16">
            <v>1506208</v>
          </cell>
        </row>
        <row r="17">
          <cell r="A17" t="str">
            <v>USC</v>
          </cell>
          <cell r="B17" t="str">
            <v>III</v>
          </cell>
          <cell r="C17">
            <v>78483.94</v>
          </cell>
          <cell r="D17">
            <v>100000</v>
          </cell>
          <cell r="E17">
            <v>390906.80297202163</v>
          </cell>
          <cell r="F17">
            <v>569390.74297202169</v>
          </cell>
          <cell r="G17">
            <v>867465.59631031286</v>
          </cell>
          <cell r="H17">
            <v>5.2891450750851381E-2</v>
          </cell>
          <cell r="I17">
            <v>1436856.3392823345</v>
          </cell>
          <cell r="J17">
            <v>4.4310888748267545E-2</v>
          </cell>
          <cell r="K17">
            <v>0</v>
          </cell>
          <cell r="L17">
            <v>13912</v>
          </cell>
          <cell r="M17">
            <v>1450768.3392823345</v>
          </cell>
          <cell r="N17">
            <v>1450768</v>
          </cell>
        </row>
        <row r="18">
          <cell r="A18" t="str">
            <v>Total</v>
          </cell>
          <cell r="B18">
            <v>0</v>
          </cell>
          <cell r="C18">
            <v>5497831.0000000009</v>
          </cell>
          <cell r="D18">
            <v>800000</v>
          </cell>
          <cell r="E18">
            <v>9728013</v>
          </cell>
          <cell r="F18">
            <v>16025844</v>
          </cell>
          <cell r="G18">
            <v>16400866</v>
          </cell>
          <cell r="H18">
            <v>1</v>
          </cell>
          <cell r="I18">
            <v>32426709.999999996</v>
          </cell>
          <cell r="J18">
            <v>1</v>
          </cell>
          <cell r="K18">
            <v>0</v>
          </cell>
          <cell r="L18">
            <v>0</v>
          </cell>
          <cell r="M18">
            <v>32426709.999999996</v>
          </cell>
          <cell r="N18">
            <v>32426710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_ACRE_31_12_2017"/>
      <sheetName val="PRE_ACRE_31_12_2017"/>
      <sheetName val="MED_ACRE_31_12_2017"/>
      <sheetName val="PED_ACRE_31_12_2017"/>
      <sheetName val="MAG_ACRE_31_12_2017"/>
      <sheetName val="Hoja1"/>
      <sheetName val="Hoja5"/>
      <sheetName val="DOC_ACRE_31_12_2017"/>
    </sheetNames>
    <sheetDataSet>
      <sheetData sheetId="0"/>
      <sheetData sheetId="1"/>
      <sheetData sheetId="2"/>
      <sheetData sheetId="3"/>
      <sheetData sheetId="4"/>
      <sheetData sheetId="5">
        <row r="7">
          <cell r="A7" t="str">
            <v>ANT</v>
          </cell>
          <cell r="B7">
            <v>1</v>
          </cell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2</v>
          </cell>
        </row>
        <row r="8">
          <cell r="A8" t="str">
            <v>FRO</v>
          </cell>
          <cell r="B8">
            <v>2</v>
          </cell>
          <cell r="C8">
            <v>2</v>
          </cell>
          <cell r="D8">
            <v>0</v>
          </cell>
          <cell r="E8">
            <v>1</v>
          </cell>
          <cell r="F8">
            <v>1</v>
          </cell>
          <cell r="G8">
            <v>0</v>
          </cell>
          <cell r="H8">
            <v>1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1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6</v>
          </cell>
        </row>
        <row r="9">
          <cell r="A9" t="str">
            <v>TAL</v>
          </cell>
          <cell r="B9">
            <v>3</v>
          </cell>
          <cell r="C9">
            <v>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3</v>
          </cell>
          <cell r="L9">
            <v>3</v>
          </cell>
          <cell r="M9">
            <v>0</v>
          </cell>
          <cell r="N9">
            <v>1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7</v>
          </cell>
        </row>
        <row r="10">
          <cell r="A10" t="str">
            <v>UBB</v>
          </cell>
          <cell r="B10">
            <v>0</v>
          </cell>
          <cell r="C10">
            <v>0</v>
          </cell>
          <cell r="D10">
            <v>1</v>
          </cell>
          <cell r="E10">
            <v>1</v>
          </cell>
          <cell r="F10">
            <v>2</v>
          </cell>
          <cell r="G10">
            <v>0</v>
          </cell>
          <cell r="H10">
            <v>1</v>
          </cell>
          <cell r="I10">
            <v>1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3</v>
          </cell>
        </row>
        <row r="11">
          <cell r="A11" t="str">
            <v>UCH</v>
          </cell>
          <cell r="B11">
            <v>3</v>
          </cell>
          <cell r="C11">
            <v>3</v>
          </cell>
          <cell r="D11">
            <v>0</v>
          </cell>
          <cell r="E11">
            <v>4</v>
          </cell>
          <cell r="F11">
            <v>4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3</v>
          </cell>
          <cell r="L11">
            <v>3</v>
          </cell>
          <cell r="M11">
            <v>2</v>
          </cell>
          <cell r="N11">
            <v>4</v>
          </cell>
          <cell r="O11">
            <v>6</v>
          </cell>
          <cell r="P11">
            <v>7</v>
          </cell>
          <cell r="Q11">
            <v>7</v>
          </cell>
          <cell r="R11">
            <v>4</v>
          </cell>
          <cell r="S11">
            <v>4</v>
          </cell>
          <cell r="T11">
            <v>1</v>
          </cell>
          <cell r="U11">
            <v>1</v>
          </cell>
          <cell r="V11">
            <v>2</v>
          </cell>
          <cell r="W11">
            <v>0</v>
          </cell>
          <cell r="X11">
            <v>0</v>
          </cell>
          <cell r="Y11">
            <v>35</v>
          </cell>
        </row>
        <row r="12">
          <cell r="A12" t="str">
            <v>ULA</v>
          </cell>
          <cell r="B12">
            <v>1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1</v>
          </cell>
        </row>
        <row r="13">
          <cell r="A13" t="str">
            <v>ULS</v>
          </cell>
          <cell r="B13">
            <v>2</v>
          </cell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3</v>
          </cell>
        </row>
        <row r="14">
          <cell r="A14" t="str">
            <v>UPA</v>
          </cell>
          <cell r="B14">
            <v>1</v>
          </cell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</v>
          </cell>
        </row>
        <row r="15">
          <cell r="A15" t="str">
            <v>USA</v>
          </cell>
          <cell r="B15">
            <v>0</v>
          </cell>
          <cell r="C15">
            <v>0</v>
          </cell>
          <cell r="D15">
            <v>0</v>
          </cell>
          <cell r="E15">
            <v>4</v>
          </cell>
          <cell r="F15">
            <v>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</v>
          </cell>
          <cell r="L15">
            <v>1</v>
          </cell>
          <cell r="M15">
            <v>0</v>
          </cell>
          <cell r="N15">
            <v>2</v>
          </cell>
          <cell r="O15">
            <v>2</v>
          </cell>
          <cell r="P15">
            <v>1</v>
          </cell>
          <cell r="Q15">
            <v>1</v>
          </cell>
          <cell r="R15">
            <v>0</v>
          </cell>
          <cell r="S15">
            <v>0</v>
          </cell>
          <cell r="T15">
            <v>1</v>
          </cell>
          <cell r="U15">
            <v>1</v>
          </cell>
          <cell r="V15">
            <v>2</v>
          </cell>
          <cell r="W15">
            <v>0</v>
          </cell>
          <cell r="X15">
            <v>0</v>
          </cell>
          <cell r="Y15">
            <v>10</v>
          </cell>
        </row>
        <row r="16">
          <cell r="A16" t="str">
            <v>UTA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</v>
          </cell>
        </row>
        <row r="17">
          <cell r="A17" t="str">
            <v>UVA</v>
          </cell>
          <cell r="B17">
            <v>2</v>
          </cell>
          <cell r="C17">
            <v>2</v>
          </cell>
          <cell r="D17">
            <v>0</v>
          </cell>
          <cell r="E17">
            <v>2</v>
          </cell>
          <cell r="F17">
            <v>2</v>
          </cell>
          <cell r="G17">
            <v>2</v>
          </cell>
          <cell r="H17">
            <v>0</v>
          </cell>
          <cell r="I17">
            <v>2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7</v>
          </cell>
        </row>
        <row r="18">
          <cell r="A18" t="str">
            <v>CRUCH-Privada</v>
          </cell>
          <cell r="B18">
            <v>7</v>
          </cell>
          <cell r="C18">
            <v>7</v>
          </cell>
          <cell r="D18">
            <v>3</v>
          </cell>
          <cell r="E18">
            <v>16</v>
          </cell>
          <cell r="F18">
            <v>19</v>
          </cell>
          <cell r="G18">
            <v>3</v>
          </cell>
          <cell r="H18">
            <v>11</v>
          </cell>
          <cell r="I18">
            <v>14</v>
          </cell>
          <cell r="J18">
            <v>1</v>
          </cell>
          <cell r="K18">
            <v>12</v>
          </cell>
          <cell r="L18">
            <v>13</v>
          </cell>
          <cell r="M18">
            <v>6</v>
          </cell>
          <cell r="N18">
            <v>8</v>
          </cell>
          <cell r="O18">
            <v>14</v>
          </cell>
          <cell r="P18">
            <v>13</v>
          </cell>
          <cell r="Q18">
            <v>13</v>
          </cell>
          <cell r="R18">
            <v>6</v>
          </cell>
          <cell r="S18">
            <v>6</v>
          </cell>
          <cell r="T18">
            <v>0</v>
          </cell>
          <cell r="U18">
            <v>1</v>
          </cell>
          <cell r="V18">
            <v>1</v>
          </cell>
          <cell r="W18">
            <v>2</v>
          </cell>
          <cell r="X18">
            <v>2</v>
          </cell>
          <cell r="Y18">
            <v>89</v>
          </cell>
        </row>
        <row r="19">
          <cell r="A19" t="str">
            <v>AUS</v>
          </cell>
          <cell r="B19">
            <v>1</v>
          </cell>
          <cell r="C19">
            <v>1</v>
          </cell>
          <cell r="D19">
            <v>0</v>
          </cell>
          <cell r="E19">
            <v>3</v>
          </cell>
          <cell r="F19">
            <v>3</v>
          </cell>
          <cell r="G19">
            <v>0</v>
          </cell>
          <cell r="H19">
            <v>1</v>
          </cell>
          <cell r="I19">
            <v>1</v>
          </cell>
          <cell r="J19">
            <v>0</v>
          </cell>
          <cell r="K19">
            <v>1</v>
          </cell>
          <cell r="L19">
            <v>1</v>
          </cell>
          <cell r="M19">
            <v>0</v>
          </cell>
          <cell r="N19">
            <v>2</v>
          </cell>
          <cell r="O19">
            <v>2</v>
          </cell>
          <cell r="P19">
            <v>1</v>
          </cell>
          <cell r="Q19">
            <v>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9</v>
          </cell>
        </row>
        <row r="20">
          <cell r="A20" t="str">
            <v>FSM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2</v>
          </cell>
          <cell r="H20">
            <v>0</v>
          </cell>
          <cell r="I20">
            <v>2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1</v>
          </cell>
          <cell r="P20">
            <v>1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</v>
          </cell>
          <cell r="X20">
            <v>1</v>
          </cell>
          <cell r="Y20">
            <v>5</v>
          </cell>
        </row>
        <row r="21">
          <cell r="A21" t="str">
            <v>PUC</v>
          </cell>
          <cell r="B21">
            <v>1</v>
          </cell>
          <cell r="C21">
            <v>1</v>
          </cell>
          <cell r="D21">
            <v>0</v>
          </cell>
          <cell r="E21">
            <v>6</v>
          </cell>
          <cell r="F21">
            <v>6</v>
          </cell>
          <cell r="G21">
            <v>0</v>
          </cell>
          <cell r="H21">
            <v>5</v>
          </cell>
          <cell r="I21">
            <v>5</v>
          </cell>
          <cell r="J21">
            <v>0</v>
          </cell>
          <cell r="K21">
            <v>7</v>
          </cell>
          <cell r="L21">
            <v>7</v>
          </cell>
          <cell r="M21">
            <v>1</v>
          </cell>
          <cell r="N21">
            <v>3</v>
          </cell>
          <cell r="O21">
            <v>4</v>
          </cell>
          <cell r="P21">
            <v>7</v>
          </cell>
          <cell r="Q21">
            <v>7</v>
          </cell>
          <cell r="R21">
            <v>3</v>
          </cell>
          <cell r="S21">
            <v>3</v>
          </cell>
          <cell r="T21">
            <v>0</v>
          </cell>
          <cell r="U21">
            <v>1</v>
          </cell>
          <cell r="V21">
            <v>1</v>
          </cell>
          <cell r="W21">
            <v>0</v>
          </cell>
          <cell r="X21">
            <v>0</v>
          </cell>
          <cell r="Y21">
            <v>34</v>
          </cell>
        </row>
        <row r="22">
          <cell r="A22" t="str">
            <v>UCM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</v>
          </cell>
        </row>
        <row r="23">
          <cell r="A23" t="str">
            <v>UCN</v>
          </cell>
          <cell r="B23">
            <v>1</v>
          </cell>
          <cell r="C23">
            <v>1</v>
          </cell>
          <cell r="D23">
            <v>0</v>
          </cell>
          <cell r="E23">
            <v>1</v>
          </cell>
          <cell r="F23">
            <v>1</v>
          </cell>
          <cell r="G23">
            <v>0</v>
          </cell>
          <cell r="H23">
            <v>1</v>
          </cell>
          <cell r="I23">
            <v>1</v>
          </cell>
          <cell r="J23">
            <v>1</v>
          </cell>
          <cell r="K23">
            <v>0</v>
          </cell>
          <cell r="L23">
            <v>1</v>
          </cell>
          <cell r="M23">
            <v>2</v>
          </cell>
          <cell r="N23">
            <v>0</v>
          </cell>
          <cell r="O23">
            <v>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6</v>
          </cell>
        </row>
        <row r="24">
          <cell r="A24" t="str">
            <v>UCO</v>
          </cell>
          <cell r="B24">
            <v>3</v>
          </cell>
          <cell r="C24">
            <v>3</v>
          </cell>
          <cell r="D24">
            <v>0</v>
          </cell>
          <cell r="E24">
            <v>5</v>
          </cell>
          <cell r="F24">
            <v>5</v>
          </cell>
          <cell r="G24">
            <v>0</v>
          </cell>
          <cell r="H24">
            <v>2</v>
          </cell>
          <cell r="I24">
            <v>2</v>
          </cell>
          <cell r="J24">
            <v>0</v>
          </cell>
          <cell r="K24">
            <v>4</v>
          </cell>
          <cell r="L24">
            <v>4</v>
          </cell>
          <cell r="M24">
            <v>0</v>
          </cell>
          <cell r="N24">
            <v>3</v>
          </cell>
          <cell r="O24">
            <v>3</v>
          </cell>
          <cell r="P24">
            <v>2</v>
          </cell>
          <cell r="Q24">
            <v>2</v>
          </cell>
          <cell r="R24">
            <v>3</v>
          </cell>
          <cell r="S24">
            <v>3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22</v>
          </cell>
        </row>
        <row r="25">
          <cell r="A25" t="str">
            <v>UCT</v>
          </cell>
          <cell r="B25">
            <v>1</v>
          </cell>
          <cell r="C25">
            <v>1</v>
          </cell>
          <cell r="D25">
            <v>1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</v>
          </cell>
        </row>
        <row r="26">
          <cell r="A26" t="str">
            <v>UCV</v>
          </cell>
          <cell r="B26">
            <v>0</v>
          </cell>
          <cell r="C26">
            <v>0</v>
          </cell>
          <cell r="D26">
            <v>0</v>
          </cell>
          <cell r="E26">
            <v>1</v>
          </cell>
          <cell r="F26">
            <v>1</v>
          </cell>
          <cell r="G26">
            <v>1</v>
          </cell>
          <cell r="H26">
            <v>2</v>
          </cell>
          <cell r="I26">
            <v>3</v>
          </cell>
          <cell r="J26">
            <v>0</v>
          </cell>
          <cell r="K26">
            <v>0</v>
          </cell>
          <cell r="L26">
            <v>0</v>
          </cell>
          <cell r="M26">
            <v>2</v>
          </cell>
          <cell r="N26">
            <v>0</v>
          </cell>
          <cell r="O26">
            <v>2</v>
          </cell>
          <cell r="P26">
            <v>2</v>
          </cell>
          <cell r="Q26">
            <v>2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</v>
          </cell>
          <cell r="X26">
            <v>1</v>
          </cell>
          <cell r="Y26">
            <v>9</v>
          </cell>
        </row>
        <row r="27">
          <cell r="A27" t="str">
            <v>USC</v>
          </cell>
          <cell r="B27">
            <v>0</v>
          </cell>
          <cell r="C27">
            <v>0</v>
          </cell>
          <cell r="D27">
            <v>1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</v>
          </cell>
        </row>
        <row r="28">
          <cell r="A28" t="str">
            <v>U. PRIVADA</v>
          </cell>
          <cell r="B28">
            <v>3</v>
          </cell>
          <cell r="C28">
            <v>3</v>
          </cell>
          <cell r="D28">
            <v>0</v>
          </cell>
          <cell r="E28">
            <v>2</v>
          </cell>
          <cell r="F28">
            <v>2</v>
          </cell>
          <cell r="G28">
            <v>2</v>
          </cell>
          <cell r="H28">
            <v>0</v>
          </cell>
          <cell r="I28">
            <v>2</v>
          </cell>
          <cell r="J28">
            <v>0</v>
          </cell>
          <cell r="K28">
            <v>1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8</v>
          </cell>
        </row>
        <row r="29">
          <cell r="A29" t="str">
            <v>UAH</v>
          </cell>
          <cell r="B29">
            <v>0</v>
          </cell>
          <cell r="C29">
            <v>0</v>
          </cell>
          <cell r="D29">
            <v>0</v>
          </cell>
          <cell r="E29">
            <v>1</v>
          </cell>
          <cell r="F29">
            <v>1</v>
          </cell>
          <cell r="G29">
            <v>1</v>
          </cell>
          <cell r="H29">
            <v>0</v>
          </cell>
          <cell r="I29">
            <v>1</v>
          </cell>
          <cell r="J29">
            <v>0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3</v>
          </cell>
        </row>
        <row r="30">
          <cell r="A30" t="str">
            <v>UAU</v>
          </cell>
          <cell r="B30">
            <v>1</v>
          </cell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1</v>
          </cell>
        </row>
        <row r="31">
          <cell r="A31" t="str">
            <v>UDP</v>
          </cell>
          <cell r="B31">
            <v>2</v>
          </cell>
          <cell r="C31">
            <v>2</v>
          </cell>
          <cell r="D31">
            <v>0</v>
          </cell>
          <cell r="E31">
            <v>1</v>
          </cell>
          <cell r="F31">
            <v>1</v>
          </cell>
          <cell r="G31">
            <v>1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4</v>
          </cell>
        </row>
      </sheetData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ielo.Chile"/>
      <sheetName val="WOS"/>
      <sheetName val="SCOPUS"/>
    </sheetNames>
    <sheetDataSet>
      <sheetData sheetId="0"/>
      <sheetData sheetId="1"/>
      <sheetData sheetId="2">
        <row r="6">
          <cell r="B6" t="str">
            <v>Código</v>
          </cell>
          <cell r="C6" t="str">
            <v>PAPER</v>
          </cell>
          <cell r="D6" t="str">
            <v>CITAS</v>
          </cell>
          <cell r="E6" t="str">
            <v>PAPER</v>
          </cell>
          <cell r="F6" t="str">
            <v>CITAS</v>
          </cell>
          <cell r="G6" t="str">
            <v>PAPER</v>
          </cell>
          <cell r="H6" t="str">
            <v>CITAS</v>
          </cell>
          <cell r="I6" t="str">
            <v>PAPER</v>
          </cell>
          <cell r="J6" t="str">
            <v>CITAS</v>
          </cell>
          <cell r="K6" t="str">
            <v>PAPER</v>
          </cell>
        </row>
        <row r="7">
          <cell r="B7" t="str">
            <v>UCH</v>
          </cell>
          <cell r="C7">
            <v>1949</v>
          </cell>
          <cell r="D7">
            <v>24577</v>
          </cell>
          <cell r="E7">
            <v>1945</v>
          </cell>
          <cell r="F7">
            <v>19357</v>
          </cell>
          <cell r="G7">
            <v>2324</v>
          </cell>
          <cell r="H7">
            <v>15312</v>
          </cell>
          <cell r="I7">
            <v>2487</v>
          </cell>
          <cell r="J7">
            <v>9745</v>
          </cell>
          <cell r="K7">
            <v>2598</v>
          </cell>
          <cell r="L7">
            <v>4391</v>
          </cell>
          <cell r="M7">
            <v>11303</v>
          </cell>
          <cell r="N7">
            <v>73382</v>
          </cell>
        </row>
        <row r="8">
          <cell r="B8" t="str">
            <v>PUC</v>
          </cell>
          <cell r="C8">
            <v>1731</v>
          </cell>
          <cell r="D8">
            <v>30466</v>
          </cell>
          <cell r="E8">
            <v>1735</v>
          </cell>
          <cell r="F8">
            <v>19641</v>
          </cell>
          <cell r="G8">
            <v>2007</v>
          </cell>
          <cell r="H8">
            <v>15727</v>
          </cell>
          <cell r="I8">
            <v>2012</v>
          </cell>
          <cell r="J8">
            <v>9772</v>
          </cell>
          <cell r="K8">
            <v>2233</v>
          </cell>
          <cell r="L8">
            <v>4775</v>
          </cell>
          <cell r="M8">
            <v>9718</v>
          </cell>
          <cell r="N8">
            <v>80381</v>
          </cell>
        </row>
        <row r="9">
          <cell r="B9" t="str">
            <v>UCO</v>
          </cell>
          <cell r="C9">
            <v>922</v>
          </cell>
          <cell r="D9">
            <v>9338</v>
          </cell>
          <cell r="E9">
            <v>903</v>
          </cell>
          <cell r="F9">
            <v>8408</v>
          </cell>
          <cell r="G9">
            <v>981</v>
          </cell>
          <cell r="H9">
            <v>5808</v>
          </cell>
          <cell r="I9">
            <v>1001</v>
          </cell>
          <cell r="J9">
            <v>3539</v>
          </cell>
          <cell r="K9">
            <v>1085</v>
          </cell>
          <cell r="L9">
            <v>1418</v>
          </cell>
          <cell r="M9">
            <v>4892</v>
          </cell>
          <cell r="N9">
            <v>28511</v>
          </cell>
        </row>
        <row r="10">
          <cell r="B10" t="str">
            <v>FSM</v>
          </cell>
          <cell r="C10">
            <v>572</v>
          </cell>
          <cell r="D10">
            <v>13658</v>
          </cell>
          <cell r="E10">
            <v>438</v>
          </cell>
          <cell r="F10">
            <v>6645</v>
          </cell>
          <cell r="G10">
            <v>468</v>
          </cell>
          <cell r="H10">
            <v>4294</v>
          </cell>
          <cell r="I10">
            <v>546</v>
          </cell>
          <cell r="J10">
            <v>3424</v>
          </cell>
          <cell r="K10">
            <v>598</v>
          </cell>
          <cell r="L10">
            <v>1556</v>
          </cell>
          <cell r="M10">
            <v>2622</v>
          </cell>
          <cell r="N10">
            <v>29577</v>
          </cell>
        </row>
        <row r="11">
          <cell r="B11" t="str">
            <v>USA</v>
          </cell>
          <cell r="C11">
            <v>430</v>
          </cell>
          <cell r="D11">
            <v>3940</v>
          </cell>
          <cell r="E11">
            <v>448</v>
          </cell>
          <cell r="F11">
            <v>2655</v>
          </cell>
          <cell r="G11">
            <v>504</v>
          </cell>
          <cell r="H11">
            <v>1911</v>
          </cell>
          <cell r="I11">
            <v>500</v>
          </cell>
          <cell r="J11">
            <v>1358</v>
          </cell>
          <cell r="K11">
            <v>624</v>
          </cell>
          <cell r="L11">
            <v>742</v>
          </cell>
          <cell r="M11">
            <v>2506</v>
          </cell>
          <cell r="N11">
            <v>10606</v>
          </cell>
        </row>
        <row r="12">
          <cell r="B12" t="str">
            <v>AUS</v>
          </cell>
          <cell r="C12">
            <v>402</v>
          </cell>
          <cell r="D12">
            <v>4423</v>
          </cell>
          <cell r="E12">
            <v>445</v>
          </cell>
          <cell r="F12">
            <v>3544</v>
          </cell>
          <cell r="G12">
            <v>461</v>
          </cell>
          <cell r="H12">
            <v>2752</v>
          </cell>
          <cell r="I12">
            <v>481</v>
          </cell>
          <cell r="J12">
            <v>1440</v>
          </cell>
          <cell r="K12">
            <v>522</v>
          </cell>
          <cell r="L12">
            <v>686</v>
          </cell>
          <cell r="M12">
            <v>2311</v>
          </cell>
          <cell r="N12">
            <v>12845</v>
          </cell>
        </row>
        <row r="13">
          <cell r="B13" t="str">
            <v>UCV</v>
          </cell>
          <cell r="C13">
            <v>303</v>
          </cell>
          <cell r="D13">
            <v>2376</v>
          </cell>
          <cell r="E13">
            <v>375</v>
          </cell>
          <cell r="F13">
            <v>2334</v>
          </cell>
          <cell r="G13">
            <v>462</v>
          </cell>
          <cell r="H13">
            <v>2362</v>
          </cell>
          <cell r="I13">
            <v>526</v>
          </cell>
          <cell r="J13">
            <v>1348</v>
          </cell>
          <cell r="K13">
            <v>619</v>
          </cell>
          <cell r="L13">
            <v>596</v>
          </cell>
          <cell r="M13">
            <v>2285</v>
          </cell>
          <cell r="N13">
            <v>9016</v>
          </cell>
        </row>
        <row r="14">
          <cell r="B14" t="str">
            <v>FRO</v>
          </cell>
          <cell r="C14">
            <v>300</v>
          </cell>
          <cell r="D14">
            <v>2066</v>
          </cell>
          <cell r="E14">
            <v>304</v>
          </cell>
          <cell r="F14">
            <v>2576</v>
          </cell>
          <cell r="G14">
            <v>376</v>
          </cell>
          <cell r="H14">
            <v>2711</v>
          </cell>
          <cell r="I14">
            <v>440</v>
          </cell>
          <cell r="J14">
            <v>1388</v>
          </cell>
          <cell r="K14">
            <v>457</v>
          </cell>
          <cell r="L14">
            <v>585</v>
          </cell>
          <cell r="M14">
            <v>1877</v>
          </cell>
          <cell r="N14">
            <v>9326</v>
          </cell>
        </row>
        <row r="15">
          <cell r="B15" t="str">
            <v>UVA</v>
          </cell>
          <cell r="C15">
            <v>274</v>
          </cell>
          <cell r="D15">
            <v>5343</v>
          </cell>
          <cell r="E15">
            <v>283</v>
          </cell>
          <cell r="F15">
            <v>2353</v>
          </cell>
          <cell r="G15">
            <v>339</v>
          </cell>
          <cell r="H15">
            <v>2033</v>
          </cell>
          <cell r="I15">
            <v>370</v>
          </cell>
          <cell r="J15">
            <v>1476</v>
          </cell>
          <cell r="K15">
            <v>399</v>
          </cell>
          <cell r="L15">
            <v>741</v>
          </cell>
          <cell r="M15">
            <v>1665</v>
          </cell>
          <cell r="N15">
            <v>11946</v>
          </cell>
        </row>
        <row r="16">
          <cell r="B16" t="str">
            <v>TAL</v>
          </cell>
          <cell r="C16">
            <v>209</v>
          </cell>
          <cell r="D16">
            <v>1379</v>
          </cell>
          <cell r="E16">
            <v>292</v>
          </cell>
          <cell r="F16">
            <v>1957</v>
          </cell>
          <cell r="G16">
            <v>307</v>
          </cell>
          <cell r="H16">
            <v>1370</v>
          </cell>
          <cell r="I16">
            <v>365</v>
          </cell>
          <cell r="J16">
            <v>994</v>
          </cell>
          <cell r="K16">
            <v>377</v>
          </cell>
          <cell r="L16">
            <v>344</v>
          </cell>
          <cell r="M16">
            <v>1550</v>
          </cell>
          <cell r="N16">
            <v>6044</v>
          </cell>
        </row>
        <row r="17">
          <cell r="B17" t="str">
            <v>UCN</v>
          </cell>
          <cell r="C17">
            <v>264</v>
          </cell>
          <cell r="D17">
            <v>2093</v>
          </cell>
          <cell r="E17">
            <v>265</v>
          </cell>
          <cell r="F17">
            <v>1728</v>
          </cell>
          <cell r="G17">
            <v>302</v>
          </cell>
          <cell r="H17">
            <v>1476</v>
          </cell>
          <cell r="I17">
            <v>329</v>
          </cell>
          <cell r="J17">
            <v>841</v>
          </cell>
          <cell r="K17">
            <v>305</v>
          </cell>
          <cell r="L17">
            <v>275</v>
          </cell>
          <cell r="M17">
            <v>1465</v>
          </cell>
          <cell r="N17">
            <v>6413</v>
          </cell>
        </row>
        <row r="18">
          <cell r="B18" t="str">
            <v>UTA</v>
          </cell>
          <cell r="C18">
            <v>131</v>
          </cell>
          <cell r="D18">
            <v>1235</v>
          </cell>
          <cell r="E18">
            <v>167</v>
          </cell>
          <cell r="F18">
            <v>877</v>
          </cell>
          <cell r="G18">
            <v>199</v>
          </cell>
          <cell r="H18">
            <v>912</v>
          </cell>
          <cell r="I18">
            <v>200</v>
          </cell>
          <cell r="J18">
            <v>482</v>
          </cell>
          <cell r="K18">
            <v>203</v>
          </cell>
          <cell r="L18">
            <v>173</v>
          </cell>
          <cell r="M18">
            <v>900</v>
          </cell>
          <cell r="N18">
            <v>3679</v>
          </cell>
        </row>
        <row r="19">
          <cell r="B19" t="str">
            <v>UBB</v>
          </cell>
          <cell r="C19">
            <v>142</v>
          </cell>
          <cell r="D19">
            <v>1030</v>
          </cell>
          <cell r="E19">
            <v>147</v>
          </cell>
          <cell r="F19">
            <v>704</v>
          </cell>
          <cell r="G19">
            <v>169</v>
          </cell>
          <cell r="H19">
            <v>604</v>
          </cell>
          <cell r="I19">
            <v>184</v>
          </cell>
          <cell r="J19">
            <v>310</v>
          </cell>
          <cell r="K19">
            <v>227</v>
          </cell>
          <cell r="L19">
            <v>202</v>
          </cell>
          <cell r="M19">
            <v>869</v>
          </cell>
          <cell r="N19">
            <v>2850</v>
          </cell>
        </row>
        <row r="20">
          <cell r="B20" t="str">
            <v>ANT</v>
          </cell>
          <cell r="C20">
            <v>110</v>
          </cell>
          <cell r="D20">
            <v>684</v>
          </cell>
          <cell r="E20">
            <v>109</v>
          </cell>
          <cell r="F20">
            <v>781</v>
          </cell>
          <cell r="G20">
            <v>131</v>
          </cell>
          <cell r="H20">
            <v>708</v>
          </cell>
          <cell r="I20">
            <v>154</v>
          </cell>
          <cell r="J20">
            <v>679</v>
          </cell>
          <cell r="K20">
            <v>191</v>
          </cell>
          <cell r="L20">
            <v>388</v>
          </cell>
          <cell r="M20">
            <v>695</v>
          </cell>
          <cell r="N20">
            <v>3240</v>
          </cell>
        </row>
        <row r="21">
          <cell r="B21" t="str">
            <v>ULS</v>
          </cell>
          <cell r="C21">
            <v>110</v>
          </cell>
          <cell r="D21">
            <v>1678</v>
          </cell>
          <cell r="E21">
            <v>97</v>
          </cell>
          <cell r="F21">
            <v>703</v>
          </cell>
          <cell r="G21">
            <v>109</v>
          </cell>
          <cell r="H21">
            <v>633</v>
          </cell>
          <cell r="I21">
            <v>113</v>
          </cell>
          <cell r="J21">
            <v>343</v>
          </cell>
          <cell r="K21">
            <v>129</v>
          </cell>
          <cell r="L21">
            <v>200</v>
          </cell>
          <cell r="M21">
            <v>558</v>
          </cell>
          <cell r="N21">
            <v>3557</v>
          </cell>
        </row>
        <row r="22">
          <cell r="B22" t="str">
            <v>UCT</v>
          </cell>
          <cell r="C22">
            <v>86</v>
          </cell>
          <cell r="D22">
            <v>378</v>
          </cell>
          <cell r="E22">
            <v>92</v>
          </cell>
          <cell r="F22">
            <v>320</v>
          </cell>
          <cell r="G22">
            <v>98</v>
          </cell>
          <cell r="H22">
            <v>248</v>
          </cell>
          <cell r="I22">
            <v>119</v>
          </cell>
          <cell r="J22">
            <v>262</v>
          </cell>
          <cell r="K22">
            <v>121</v>
          </cell>
          <cell r="L22">
            <v>88</v>
          </cell>
          <cell r="M22">
            <v>516</v>
          </cell>
          <cell r="N22">
            <v>1296</v>
          </cell>
        </row>
        <row r="23">
          <cell r="B23" t="str">
            <v>ULA</v>
          </cell>
          <cell r="C23">
            <v>66</v>
          </cell>
          <cell r="D23">
            <v>375</v>
          </cell>
          <cell r="E23">
            <v>55</v>
          </cell>
          <cell r="F23">
            <v>332</v>
          </cell>
          <cell r="G23">
            <v>69</v>
          </cell>
          <cell r="H23">
            <v>282</v>
          </cell>
          <cell r="I23">
            <v>90</v>
          </cell>
          <cell r="J23">
            <v>183</v>
          </cell>
          <cell r="K23">
            <v>101</v>
          </cell>
          <cell r="L23">
            <v>93</v>
          </cell>
          <cell r="M23">
            <v>381</v>
          </cell>
          <cell r="N23">
            <v>1265</v>
          </cell>
        </row>
        <row r="24">
          <cell r="B24" t="str">
            <v>USC</v>
          </cell>
          <cell r="C24">
            <v>65</v>
          </cell>
          <cell r="D24">
            <v>412</v>
          </cell>
          <cell r="E24">
            <v>60</v>
          </cell>
          <cell r="F24">
            <v>202</v>
          </cell>
          <cell r="G24">
            <v>66</v>
          </cell>
          <cell r="H24">
            <v>221</v>
          </cell>
          <cell r="I24">
            <v>83</v>
          </cell>
          <cell r="J24">
            <v>115</v>
          </cell>
          <cell r="K24">
            <v>95</v>
          </cell>
          <cell r="L24">
            <v>105</v>
          </cell>
          <cell r="M24">
            <v>369</v>
          </cell>
          <cell r="N24">
            <v>1055</v>
          </cell>
        </row>
        <row r="25">
          <cell r="B25" t="str">
            <v>UCM</v>
          </cell>
          <cell r="C25">
            <v>72</v>
          </cell>
          <cell r="D25">
            <v>358</v>
          </cell>
          <cell r="E25">
            <v>68</v>
          </cell>
          <cell r="F25">
            <v>478</v>
          </cell>
          <cell r="G25">
            <v>70</v>
          </cell>
          <cell r="H25">
            <v>327</v>
          </cell>
          <cell r="I25">
            <v>67</v>
          </cell>
          <cell r="J25">
            <v>115</v>
          </cell>
          <cell r="K25">
            <v>83</v>
          </cell>
          <cell r="L25">
            <v>45</v>
          </cell>
          <cell r="M25">
            <v>360</v>
          </cell>
          <cell r="N25">
            <v>1323</v>
          </cell>
        </row>
        <row r="26">
          <cell r="B26" t="str">
            <v>MAG</v>
          </cell>
          <cell r="C26">
            <v>49</v>
          </cell>
          <cell r="D26">
            <v>304</v>
          </cell>
          <cell r="E26">
            <v>33</v>
          </cell>
          <cell r="F26">
            <v>120</v>
          </cell>
          <cell r="G26">
            <v>63</v>
          </cell>
          <cell r="H26">
            <v>254</v>
          </cell>
          <cell r="I26">
            <v>87</v>
          </cell>
          <cell r="J26">
            <v>297</v>
          </cell>
          <cell r="K26">
            <v>118</v>
          </cell>
          <cell r="L26">
            <v>180</v>
          </cell>
          <cell r="M26">
            <v>350</v>
          </cell>
          <cell r="N26">
            <v>1155</v>
          </cell>
        </row>
        <row r="27">
          <cell r="B27" t="str">
            <v>UPA</v>
          </cell>
          <cell r="C27">
            <v>18</v>
          </cell>
          <cell r="D27">
            <v>120</v>
          </cell>
          <cell r="E27">
            <v>32</v>
          </cell>
          <cell r="F27">
            <v>94</v>
          </cell>
          <cell r="G27">
            <v>67</v>
          </cell>
          <cell r="H27">
            <v>144</v>
          </cell>
          <cell r="I27">
            <v>113</v>
          </cell>
          <cell r="J27">
            <v>226</v>
          </cell>
          <cell r="K27">
            <v>103</v>
          </cell>
          <cell r="L27">
            <v>55</v>
          </cell>
          <cell r="M27">
            <v>333</v>
          </cell>
          <cell r="N27">
            <v>639</v>
          </cell>
        </row>
        <row r="28">
          <cell r="B28" t="str">
            <v>UAP</v>
          </cell>
          <cell r="C28">
            <v>51</v>
          </cell>
          <cell r="D28">
            <v>529</v>
          </cell>
          <cell r="E28">
            <v>49</v>
          </cell>
          <cell r="F28">
            <v>441</v>
          </cell>
          <cell r="G28">
            <v>58</v>
          </cell>
          <cell r="H28">
            <v>141</v>
          </cell>
          <cell r="I28">
            <v>58</v>
          </cell>
          <cell r="J28">
            <v>144</v>
          </cell>
          <cell r="K28">
            <v>75</v>
          </cell>
          <cell r="L28">
            <v>58</v>
          </cell>
          <cell r="M28">
            <v>291</v>
          </cell>
          <cell r="N28">
            <v>1313</v>
          </cell>
        </row>
        <row r="29">
          <cell r="B29" t="str">
            <v>UMC</v>
          </cell>
          <cell r="C29">
            <v>38</v>
          </cell>
          <cell r="D29">
            <v>150</v>
          </cell>
          <cell r="E29">
            <v>40</v>
          </cell>
          <cell r="F29">
            <v>238</v>
          </cell>
          <cell r="G29">
            <v>46</v>
          </cell>
          <cell r="H29">
            <v>78</v>
          </cell>
          <cell r="I29">
            <v>72</v>
          </cell>
          <cell r="J29">
            <v>186</v>
          </cell>
          <cell r="K29">
            <v>75</v>
          </cell>
          <cell r="L29">
            <v>21</v>
          </cell>
          <cell r="M29">
            <v>271</v>
          </cell>
          <cell r="N29">
            <v>673</v>
          </cell>
        </row>
        <row r="30">
          <cell r="B30" t="str">
            <v>ATA</v>
          </cell>
          <cell r="C30">
            <v>17</v>
          </cell>
          <cell r="D30">
            <v>77</v>
          </cell>
          <cell r="E30">
            <v>19</v>
          </cell>
          <cell r="F30">
            <v>75</v>
          </cell>
          <cell r="G30">
            <v>28</v>
          </cell>
          <cell r="H30">
            <v>102</v>
          </cell>
          <cell r="I30">
            <v>27</v>
          </cell>
          <cell r="J30">
            <v>63</v>
          </cell>
          <cell r="K30">
            <v>51</v>
          </cell>
          <cell r="L30">
            <v>75</v>
          </cell>
          <cell r="M30">
            <v>142</v>
          </cell>
          <cell r="N30">
            <v>392</v>
          </cell>
        </row>
        <row r="31">
          <cell r="B31" t="str">
            <v>UTM</v>
          </cell>
          <cell r="C31">
            <v>8</v>
          </cell>
          <cell r="D31">
            <v>48</v>
          </cell>
          <cell r="E31">
            <v>17</v>
          </cell>
          <cell r="F31">
            <v>267</v>
          </cell>
          <cell r="G31">
            <v>10</v>
          </cell>
          <cell r="H31">
            <v>28</v>
          </cell>
          <cell r="I31">
            <v>20</v>
          </cell>
          <cell r="J31">
            <v>35</v>
          </cell>
          <cell r="K31">
            <v>36</v>
          </cell>
          <cell r="L31">
            <v>17</v>
          </cell>
          <cell r="M31">
            <v>91</v>
          </cell>
          <cell r="N31">
            <v>395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 a)"/>
      <sheetName val="Indicador b)"/>
      <sheetName val="Indicador b.1)"/>
      <sheetName val="Indicador c)"/>
      <sheetName val="Indicador c.1)"/>
      <sheetName val="Indicador g)"/>
      <sheetName val="Indicador h)"/>
      <sheetName val="Indicador i)"/>
      <sheetName val="Indicador i.1)"/>
      <sheetName val="Indicador j)"/>
    </sheetNames>
    <sheetDataSet>
      <sheetData sheetId="0">
        <row r="2">
          <cell r="D2">
            <v>0</v>
          </cell>
          <cell r="E2" t="str">
            <v>NO</v>
          </cell>
          <cell r="F2">
            <v>22</v>
          </cell>
          <cell r="G2">
            <v>982</v>
          </cell>
        </row>
        <row r="3">
          <cell r="D3" t="str">
            <v>UFT</v>
          </cell>
          <cell r="E3" t="str">
            <v>Sí</v>
          </cell>
          <cell r="F3">
            <v>109</v>
          </cell>
          <cell r="G3">
            <v>8145</v>
          </cell>
        </row>
        <row r="4">
          <cell r="D4" t="str">
            <v>UDP</v>
          </cell>
          <cell r="E4" t="str">
            <v>Sí</v>
          </cell>
          <cell r="F4">
            <v>317</v>
          </cell>
          <cell r="G4">
            <v>16901</v>
          </cell>
        </row>
        <row r="5">
          <cell r="D5" t="str">
            <v>UCE</v>
          </cell>
          <cell r="E5" t="str">
            <v>NO</v>
          </cell>
          <cell r="F5">
            <v>219</v>
          </cell>
          <cell r="G5">
            <v>12375</v>
          </cell>
        </row>
        <row r="6">
          <cell r="D6">
            <v>0</v>
          </cell>
          <cell r="E6" t="str">
            <v>NO</v>
          </cell>
          <cell r="F6">
            <v>28</v>
          </cell>
          <cell r="G6">
            <v>4618</v>
          </cell>
        </row>
        <row r="7">
          <cell r="D7">
            <v>0</v>
          </cell>
          <cell r="E7" t="str">
            <v>NO</v>
          </cell>
          <cell r="F7">
            <v>40</v>
          </cell>
          <cell r="G7">
            <v>7014</v>
          </cell>
        </row>
        <row r="8">
          <cell r="D8" t="str">
            <v>UMA</v>
          </cell>
          <cell r="E8" t="str">
            <v>NO</v>
          </cell>
          <cell r="F8">
            <v>464</v>
          </cell>
          <cell r="G8">
            <v>22308</v>
          </cell>
        </row>
        <row r="9">
          <cell r="D9" t="str">
            <v>AHC</v>
          </cell>
          <cell r="E9" t="str">
            <v>Sí</v>
          </cell>
          <cell r="F9">
            <v>39</v>
          </cell>
          <cell r="G9">
            <v>3699</v>
          </cell>
        </row>
        <row r="10">
          <cell r="D10" t="str">
            <v>UST</v>
          </cell>
          <cell r="E10" t="str">
            <v>NO</v>
          </cell>
          <cell r="F10">
            <v>447</v>
          </cell>
          <cell r="G10">
            <v>30195</v>
          </cell>
        </row>
        <row r="11">
          <cell r="D11">
            <v>0</v>
          </cell>
          <cell r="E11" t="str">
            <v>NO</v>
          </cell>
          <cell r="F11">
            <v>64</v>
          </cell>
          <cell r="G11">
            <v>4914</v>
          </cell>
        </row>
        <row r="12">
          <cell r="D12">
            <v>0</v>
          </cell>
          <cell r="E12" t="str">
            <v>NO</v>
          </cell>
          <cell r="F12">
            <v>60</v>
          </cell>
          <cell r="G12">
            <v>5655</v>
          </cell>
        </row>
        <row r="13">
          <cell r="D13">
            <v>0</v>
          </cell>
          <cell r="E13" t="str">
            <v>NO</v>
          </cell>
          <cell r="F13">
            <v>524</v>
          </cell>
          <cell r="G13">
            <v>24400</v>
          </cell>
        </row>
        <row r="14">
          <cell r="D14" t="str">
            <v>UAB</v>
          </cell>
          <cell r="E14" t="str">
            <v>NO</v>
          </cell>
          <cell r="F14">
            <v>903</v>
          </cell>
          <cell r="G14">
            <v>46804</v>
          </cell>
        </row>
        <row r="15">
          <cell r="D15" t="str">
            <v>UVM</v>
          </cell>
          <cell r="E15" t="str">
            <v>NO</v>
          </cell>
          <cell r="F15">
            <v>177</v>
          </cell>
          <cell r="G15">
            <v>9035</v>
          </cell>
        </row>
        <row r="16">
          <cell r="D16" t="str">
            <v>UAI</v>
          </cell>
          <cell r="E16" t="str">
            <v>NO</v>
          </cell>
          <cell r="F16">
            <v>273</v>
          </cell>
          <cell r="G16">
            <v>11496</v>
          </cell>
        </row>
        <row r="17">
          <cell r="D17" t="str">
            <v>UIB</v>
          </cell>
          <cell r="E17" t="str">
            <v>NO</v>
          </cell>
          <cell r="F17">
            <v>91</v>
          </cell>
          <cell r="G17">
            <v>2667</v>
          </cell>
        </row>
        <row r="18">
          <cell r="D18">
            <v>0</v>
          </cell>
          <cell r="E18" t="str">
            <v>NO</v>
          </cell>
          <cell r="F18">
            <v>41</v>
          </cell>
          <cell r="G18">
            <v>4130</v>
          </cell>
        </row>
        <row r="19">
          <cell r="D19">
            <v>0</v>
          </cell>
          <cell r="E19" t="str">
            <v>NO</v>
          </cell>
          <cell r="F19">
            <v>7</v>
          </cell>
          <cell r="G19">
            <v>168</v>
          </cell>
        </row>
        <row r="20">
          <cell r="D20">
            <v>0</v>
          </cell>
          <cell r="E20" t="str">
            <v>NO</v>
          </cell>
          <cell r="F20">
            <v>28</v>
          </cell>
          <cell r="G20">
            <v>2855</v>
          </cell>
        </row>
        <row r="21">
          <cell r="D21" t="str">
            <v>UAU</v>
          </cell>
          <cell r="E21" t="str">
            <v>Sí</v>
          </cell>
          <cell r="F21">
            <v>434</v>
          </cell>
          <cell r="G21">
            <v>22236</v>
          </cell>
        </row>
        <row r="22">
          <cell r="D22" t="str">
            <v>UAN</v>
          </cell>
          <cell r="E22" t="str">
            <v>NO</v>
          </cell>
          <cell r="F22">
            <v>185</v>
          </cell>
          <cell r="G22">
            <v>8625</v>
          </cell>
        </row>
        <row r="23">
          <cell r="D23">
            <v>0</v>
          </cell>
          <cell r="E23" t="str">
            <v>NO</v>
          </cell>
          <cell r="F23">
            <v>83</v>
          </cell>
          <cell r="G23">
            <v>1954</v>
          </cell>
        </row>
        <row r="24">
          <cell r="D24" t="str">
            <v>USS</v>
          </cell>
          <cell r="E24" t="str">
            <v>NO</v>
          </cell>
          <cell r="F24">
            <v>655</v>
          </cell>
          <cell r="G24">
            <v>28425</v>
          </cell>
        </row>
        <row r="25">
          <cell r="D25">
            <v>0</v>
          </cell>
          <cell r="E25" t="str">
            <v>NO</v>
          </cell>
          <cell r="F25">
            <v>17</v>
          </cell>
          <cell r="G25">
            <v>926</v>
          </cell>
        </row>
        <row r="26">
          <cell r="D26" t="str">
            <v>UCS</v>
          </cell>
          <cell r="E26" t="str">
            <v>Sí</v>
          </cell>
          <cell r="F26">
            <v>38</v>
          </cell>
          <cell r="G26">
            <v>5955</v>
          </cell>
        </row>
        <row r="27">
          <cell r="D27" t="str">
            <v>UDD</v>
          </cell>
          <cell r="E27" t="str">
            <v>NO</v>
          </cell>
          <cell r="F27">
            <v>400</v>
          </cell>
          <cell r="G27">
            <v>16280</v>
          </cell>
        </row>
        <row r="28">
          <cell r="D28">
            <v>0</v>
          </cell>
          <cell r="E28" t="str">
            <v>NO</v>
          </cell>
          <cell r="F28">
            <v>16</v>
          </cell>
          <cell r="G28">
            <v>7178</v>
          </cell>
        </row>
        <row r="29">
          <cell r="D29" t="str">
            <v>UPO</v>
          </cell>
          <cell r="E29" t="str">
            <v>NO</v>
          </cell>
          <cell r="F29">
            <v>85</v>
          </cell>
          <cell r="G29">
            <v>3953</v>
          </cell>
        </row>
        <row r="30">
          <cell r="D30">
            <v>0</v>
          </cell>
          <cell r="E30" t="str">
            <v>NO</v>
          </cell>
          <cell r="F30">
            <v>8</v>
          </cell>
          <cell r="G30">
            <v>1973</v>
          </cell>
        </row>
        <row r="31">
          <cell r="D31" t="str">
            <v>UBO</v>
          </cell>
          <cell r="E31" t="str">
            <v>NO</v>
          </cell>
          <cell r="F31">
            <v>153</v>
          </cell>
          <cell r="G31">
            <v>5565</v>
          </cell>
        </row>
        <row r="32">
          <cell r="D32" t="str">
            <v>UTC</v>
          </cell>
          <cell r="E32" t="str">
            <v>NO</v>
          </cell>
          <cell r="F32">
            <v>12</v>
          </cell>
          <cell r="G32">
            <v>35366</v>
          </cell>
        </row>
        <row r="33">
          <cell r="D33">
            <v>0</v>
          </cell>
          <cell r="E33" t="str">
            <v>NO</v>
          </cell>
          <cell r="F33">
            <v>12</v>
          </cell>
          <cell r="G33">
            <v>1803</v>
          </cell>
        </row>
        <row r="34">
          <cell r="D34" t="str">
            <v>UAH</v>
          </cell>
          <cell r="E34" t="str">
            <v>Sí</v>
          </cell>
          <cell r="F34">
            <v>134</v>
          </cell>
          <cell r="G34">
            <v>7456</v>
          </cell>
        </row>
        <row r="35">
          <cell r="D35" t="str">
            <v>UCH</v>
          </cell>
          <cell r="E35" t="str">
            <v>Sí</v>
          </cell>
          <cell r="F35">
            <v>1522</v>
          </cell>
          <cell r="G35">
            <v>38687</v>
          </cell>
        </row>
        <row r="36">
          <cell r="D36" t="str">
            <v>USA</v>
          </cell>
          <cell r="E36" t="str">
            <v>Sí</v>
          </cell>
          <cell r="F36">
            <v>604</v>
          </cell>
          <cell r="G36">
            <v>23003</v>
          </cell>
        </row>
        <row r="37">
          <cell r="D37" t="str">
            <v>UVA</v>
          </cell>
          <cell r="E37" t="str">
            <v>Sí</v>
          </cell>
          <cell r="F37">
            <v>567</v>
          </cell>
          <cell r="G37">
            <v>16207</v>
          </cell>
        </row>
        <row r="38">
          <cell r="D38" t="str">
            <v>ANT</v>
          </cell>
          <cell r="E38" t="str">
            <v>Sí</v>
          </cell>
          <cell r="F38">
            <v>316</v>
          </cell>
          <cell r="G38">
            <v>7239</v>
          </cell>
        </row>
        <row r="39">
          <cell r="D39" t="str">
            <v>ULS</v>
          </cell>
          <cell r="E39" t="str">
            <v>Sí</v>
          </cell>
          <cell r="F39">
            <v>213</v>
          </cell>
          <cell r="G39">
            <v>7235</v>
          </cell>
        </row>
        <row r="40">
          <cell r="D40" t="str">
            <v>UBB</v>
          </cell>
          <cell r="E40" t="str">
            <v>Sí</v>
          </cell>
          <cell r="F40">
            <v>451</v>
          </cell>
          <cell r="G40">
            <v>12335</v>
          </cell>
        </row>
        <row r="41">
          <cell r="D41" t="str">
            <v>FRO</v>
          </cell>
          <cell r="E41" t="str">
            <v>Sí</v>
          </cell>
          <cell r="F41">
            <v>288</v>
          </cell>
          <cell r="G41">
            <v>10292</v>
          </cell>
        </row>
        <row r="42">
          <cell r="D42" t="str">
            <v>MAG</v>
          </cell>
          <cell r="E42" t="str">
            <v>Sí</v>
          </cell>
          <cell r="F42">
            <v>179</v>
          </cell>
          <cell r="G42">
            <v>4521</v>
          </cell>
        </row>
        <row r="43">
          <cell r="D43" t="str">
            <v>TAL</v>
          </cell>
          <cell r="E43" t="str">
            <v>Sí</v>
          </cell>
          <cell r="F43">
            <v>352</v>
          </cell>
          <cell r="G43">
            <v>10624</v>
          </cell>
        </row>
        <row r="44">
          <cell r="D44" t="str">
            <v>ATA</v>
          </cell>
          <cell r="E44" t="str">
            <v>Sí</v>
          </cell>
          <cell r="F44">
            <v>239</v>
          </cell>
          <cell r="G44">
            <v>6373</v>
          </cell>
        </row>
        <row r="45">
          <cell r="D45" t="str">
            <v>UTA</v>
          </cell>
          <cell r="E45" t="str">
            <v>Sí</v>
          </cell>
          <cell r="F45">
            <v>316</v>
          </cell>
          <cell r="G45">
            <v>8502</v>
          </cell>
        </row>
        <row r="46">
          <cell r="D46" t="str">
            <v>UAP</v>
          </cell>
          <cell r="E46" t="str">
            <v>Sí</v>
          </cell>
          <cell r="F46">
            <v>244</v>
          </cell>
          <cell r="G46">
            <v>13869</v>
          </cell>
        </row>
        <row r="47">
          <cell r="D47" t="str">
            <v>UMC</v>
          </cell>
          <cell r="E47" t="str">
            <v>Sí</v>
          </cell>
          <cell r="F47">
            <v>211</v>
          </cell>
          <cell r="G47">
            <v>4769</v>
          </cell>
        </row>
        <row r="48">
          <cell r="D48" t="str">
            <v>UPA</v>
          </cell>
          <cell r="E48" t="str">
            <v>Sí</v>
          </cell>
          <cell r="F48">
            <v>315</v>
          </cell>
          <cell r="G48">
            <v>8329</v>
          </cell>
        </row>
        <row r="49">
          <cell r="D49" t="str">
            <v>ULA</v>
          </cell>
          <cell r="E49" t="str">
            <v>Sí</v>
          </cell>
          <cell r="F49">
            <v>266</v>
          </cell>
          <cell r="G49">
            <v>9371</v>
          </cell>
        </row>
        <row r="50">
          <cell r="D50" t="str">
            <v>UTM</v>
          </cell>
          <cell r="E50" t="str">
            <v>Sí</v>
          </cell>
          <cell r="F50">
            <v>191</v>
          </cell>
          <cell r="G50">
            <v>8427</v>
          </cell>
        </row>
        <row r="51">
          <cell r="D51" t="str">
            <v>PUC</v>
          </cell>
          <cell r="E51" t="str">
            <v>Sí</v>
          </cell>
          <cell r="F51">
            <v>1547</v>
          </cell>
          <cell r="G51">
            <v>32795</v>
          </cell>
        </row>
        <row r="52">
          <cell r="D52" t="str">
            <v>UCO</v>
          </cell>
          <cell r="E52" t="str">
            <v>Sí</v>
          </cell>
          <cell r="F52">
            <v>1106</v>
          </cell>
          <cell r="G52">
            <v>27044</v>
          </cell>
        </row>
        <row r="53">
          <cell r="D53" t="str">
            <v>FSM</v>
          </cell>
          <cell r="E53" t="str">
            <v>Sí</v>
          </cell>
          <cell r="F53">
            <v>442</v>
          </cell>
          <cell r="G53">
            <v>19058</v>
          </cell>
        </row>
        <row r="54">
          <cell r="D54" t="str">
            <v>UCV</v>
          </cell>
          <cell r="E54" t="str">
            <v>Sí</v>
          </cell>
          <cell r="F54">
            <v>494</v>
          </cell>
          <cell r="G54">
            <v>15494</v>
          </cell>
        </row>
        <row r="55">
          <cell r="D55" t="str">
            <v>AUS</v>
          </cell>
          <cell r="E55" t="str">
            <v>Sí</v>
          </cell>
          <cell r="F55">
            <v>765</v>
          </cell>
          <cell r="G55">
            <v>14472</v>
          </cell>
        </row>
        <row r="56">
          <cell r="D56" t="str">
            <v>UCN</v>
          </cell>
          <cell r="E56" t="str">
            <v>Sí</v>
          </cell>
          <cell r="F56">
            <v>416</v>
          </cell>
          <cell r="G56">
            <v>10830</v>
          </cell>
        </row>
        <row r="57">
          <cell r="D57" t="str">
            <v>UCM</v>
          </cell>
          <cell r="E57" t="str">
            <v>Sí</v>
          </cell>
          <cell r="F57">
            <v>286</v>
          </cell>
          <cell r="G57">
            <v>7663</v>
          </cell>
        </row>
        <row r="58">
          <cell r="D58" t="str">
            <v>USC</v>
          </cell>
          <cell r="E58" t="str">
            <v>Sí</v>
          </cell>
          <cell r="F58">
            <v>283</v>
          </cell>
          <cell r="G58">
            <v>13985</v>
          </cell>
        </row>
        <row r="59">
          <cell r="D59" t="str">
            <v>UCT</v>
          </cell>
          <cell r="E59" t="str">
            <v>Sí</v>
          </cell>
          <cell r="F59">
            <v>310</v>
          </cell>
          <cell r="G59">
            <v>10282</v>
          </cell>
        </row>
        <row r="60">
          <cell r="D60">
            <v>0</v>
          </cell>
          <cell r="E60" t="str">
            <v>NO</v>
          </cell>
          <cell r="F60">
            <v>6</v>
          </cell>
          <cell r="G60">
            <v>416</v>
          </cell>
        </row>
      </sheetData>
      <sheetData sheetId="1">
        <row r="2">
          <cell r="D2">
            <v>0</v>
          </cell>
          <cell r="E2" t="str">
            <v>NO</v>
          </cell>
          <cell r="F2">
            <v>12.15</v>
          </cell>
          <cell r="G2">
            <v>56.903295454545507</v>
          </cell>
        </row>
        <row r="3">
          <cell r="D3" t="str">
            <v>UFT</v>
          </cell>
          <cell r="E3" t="str">
            <v>Sí</v>
          </cell>
          <cell r="F3">
            <v>38.217613174431833</v>
          </cell>
          <cell r="G3">
            <v>416.67761712547269</v>
          </cell>
        </row>
        <row r="4">
          <cell r="D4" t="str">
            <v>UDP</v>
          </cell>
          <cell r="E4" t="str">
            <v>Sí</v>
          </cell>
          <cell r="F4">
            <v>194.47113636363639</v>
          </cell>
          <cell r="G4">
            <v>653.40081664865022</v>
          </cell>
        </row>
        <row r="5">
          <cell r="D5" t="str">
            <v>UCE</v>
          </cell>
          <cell r="E5" t="str">
            <v>NO</v>
          </cell>
          <cell r="F5">
            <v>48.409090909090907</v>
          </cell>
          <cell r="G5">
            <v>424.06818181817908</v>
          </cell>
        </row>
        <row r="6">
          <cell r="D6">
            <v>0</v>
          </cell>
          <cell r="E6" t="str">
            <v>NO</v>
          </cell>
          <cell r="F6">
            <v>2.1363636363636362</v>
          </cell>
          <cell r="G6">
            <v>128.71954545454608</v>
          </cell>
        </row>
        <row r="7">
          <cell r="D7">
            <v>0</v>
          </cell>
          <cell r="E7" t="str">
            <v>NO</v>
          </cell>
          <cell r="F7">
            <v>7.0681818181818175</v>
          </cell>
          <cell r="G7">
            <v>320.65931818181588</v>
          </cell>
        </row>
        <row r="8">
          <cell r="D8" t="str">
            <v>UMA</v>
          </cell>
          <cell r="E8" t="str">
            <v>NO</v>
          </cell>
          <cell r="F8">
            <v>60.503452805909092</v>
          </cell>
          <cell r="G8">
            <v>1316.0549610945905</v>
          </cell>
        </row>
        <row r="9">
          <cell r="D9" t="str">
            <v>AHC</v>
          </cell>
          <cell r="E9" t="str">
            <v>Sí</v>
          </cell>
          <cell r="F9">
            <v>20.977272727272723</v>
          </cell>
          <cell r="G9">
            <v>117.63636363636408</v>
          </cell>
        </row>
        <row r="10">
          <cell r="D10" t="str">
            <v>UST</v>
          </cell>
          <cell r="E10" t="str">
            <v>NO</v>
          </cell>
          <cell r="F10">
            <v>83.45221590909081</v>
          </cell>
          <cell r="G10">
            <v>1124.9167943174791</v>
          </cell>
        </row>
        <row r="11">
          <cell r="D11">
            <v>0</v>
          </cell>
          <cell r="E11" t="str">
            <v>NO</v>
          </cell>
          <cell r="F11">
            <v>10.477272727272728</v>
          </cell>
          <cell r="G11">
            <v>174.72727272727209</v>
          </cell>
        </row>
        <row r="12">
          <cell r="D12">
            <v>0</v>
          </cell>
          <cell r="E12" t="str">
            <v>NO</v>
          </cell>
          <cell r="F12">
            <v>14.113636363636363</v>
          </cell>
          <cell r="G12">
            <v>140.88727272727218</v>
          </cell>
        </row>
        <row r="13">
          <cell r="D13">
            <v>0</v>
          </cell>
          <cell r="E13" t="str">
            <v>NO</v>
          </cell>
          <cell r="F13">
            <v>17.830909090909099</v>
          </cell>
          <cell r="G13">
            <v>980.20837121201862</v>
          </cell>
        </row>
        <row r="14">
          <cell r="D14" t="str">
            <v>UAB</v>
          </cell>
          <cell r="E14" t="str">
            <v>NO</v>
          </cell>
          <cell r="F14">
            <v>343.95454545454515</v>
          </cell>
          <cell r="G14">
            <v>1891.0939204545139</v>
          </cell>
        </row>
        <row r="15">
          <cell r="D15" t="str">
            <v>UVM</v>
          </cell>
          <cell r="E15" t="str">
            <v>NO</v>
          </cell>
          <cell r="F15">
            <v>24.955454545454554</v>
          </cell>
          <cell r="G15">
            <v>344.86026724699542</v>
          </cell>
        </row>
        <row r="16">
          <cell r="D16" t="str">
            <v>UAI</v>
          </cell>
          <cell r="E16" t="str">
            <v>NO</v>
          </cell>
          <cell r="F16">
            <v>197.31840909090988</v>
          </cell>
          <cell r="G16">
            <v>324.88772727273283</v>
          </cell>
        </row>
        <row r="17">
          <cell r="D17" t="str">
            <v>UIB</v>
          </cell>
          <cell r="E17" t="str">
            <v>NO</v>
          </cell>
          <cell r="F17">
            <v>8.6590909090909083</v>
          </cell>
          <cell r="G17">
            <v>170.31818181818207</v>
          </cell>
        </row>
        <row r="18">
          <cell r="D18">
            <v>0</v>
          </cell>
          <cell r="E18" t="str">
            <v>NO</v>
          </cell>
          <cell r="F18">
            <v>2.7431201156818181</v>
          </cell>
          <cell r="G18">
            <v>135.42805073299988</v>
          </cell>
        </row>
        <row r="19">
          <cell r="D19">
            <v>0</v>
          </cell>
          <cell r="E19" t="str">
            <v>NO</v>
          </cell>
          <cell r="F19">
            <v>0.59090909090909094</v>
          </cell>
          <cell r="G19">
            <v>20.217727272727263</v>
          </cell>
        </row>
        <row r="20">
          <cell r="D20">
            <v>0</v>
          </cell>
          <cell r="E20" t="str">
            <v>NO</v>
          </cell>
          <cell r="F20">
            <v>2.0318181818181822</v>
          </cell>
          <cell r="G20">
            <v>77.575227272727886</v>
          </cell>
        </row>
        <row r="21">
          <cell r="D21" t="str">
            <v>UAU</v>
          </cell>
          <cell r="E21" t="str">
            <v>Sí</v>
          </cell>
          <cell r="F21">
            <v>113.56818181818176</v>
          </cell>
          <cell r="G21">
            <v>857.93181818181006</v>
          </cell>
        </row>
        <row r="22">
          <cell r="D22" t="str">
            <v>UAN</v>
          </cell>
          <cell r="E22" t="str">
            <v>NO</v>
          </cell>
          <cell r="F22">
            <v>146.67068181818183</v>
          </cell>
          <cell r="G22">
            <v>573.50045454544284</v>
          </cell>
        </row>
        <row r="23">
          <cell r="D23">
            <v>0</v>
          </cell>
          <cell r="E23" t="str">
            <v>NO</v>
          </cell>
          <cell r="F23">
            <v>10.295454545454545</v>
          </cell>
          <cell r="G23">
            <v>129.38636363636368</v>
          </cell>
        </row>
        <row r="24">
          <cell r="D24" t="str">
            <v>USS</v>
          </cell>
          <cell r="E24" t="str">
            <v>NO</v>
          </cell>
          <cell r="F24">
            <v>102.7376325756816</v>
          </cell>
          <cell r="G24">
            <v>1699.7131756443441</v>
          </cell>
        </row>
        <row r="25">
          <cell r="D25">
            <v>0</v>
          </cell>
          <cell r="E25" t="str">
            <v>NO</v>
          </cell>
          <cell r="F25">
            <v>1.8420454545454543</v>
          </cell>
          <cell r="G25">
            <v>43.920380943409157</v>
          </cell>
        </row>
        <row r="26">
          <cell r="D26" t="str">
            <v>UCS</v>
          </cell>
          <cell r="E26" t="str">
            <v>Sí</v>
          </cell>
          <cell r="F26">
            <v>27.613636363636353</v>
          </cell>
          <cell r="G26">
            <v>280.22772727272559</v>
          </cell>
        </row>
        <row r="27">
          <cell r="D27" t="str">
            <v>UDD</v>
          </cell>
          <cell r="E27" t="str">
            <v>NO</v>
          </cell>
          <cell r="F27">
            <v>121.95613636363609</v>
          </cell>
          <cell r="G27">
            <v>1022.9347727272585</v>
          </cell>
        </row>
        <row r="28">
          <cell r="D28">
            <v>0</v>
          </cell>
          <cell r="E28" t="str">
            <v>NO</v>
          </cell>
          <cell r="F28">
            <v>1.0454545454545454</v>
          </cell>
          <cell r="G28">
            <v>187.60272727272786</v>
          </cell>
        </row>
        <row r="29">
          <cell r="D29" t="str">
            <v>UPO</v>
          </cell>
          <cell r="E29" t="str">
            <v>NO</v>
          </cell>
          <cell r="F29">
            <v>9.2352272727272737</v>
          </cell>
          <cell r="G29">
            <v>155.85982007574893</v>
          </cell>
        </row>
        <row r="30">
          <cell r="D30">
            <v>0</v>
          </cell>
          <cell r="E30" t="str">
            <v>NO</v>
          </cell>
          <cell r="F30">
            <v>0</v>
          </cell>
          <cell r="G30">
            <v>49.579090909090816</v>
          </cell>
        </row>
        <row r="31">
          <cell r="D31" t="str">
            <v>UBO</v>
          </cell>
          <cell r="E31" t="str">
            <v>NO</v>
          </cell>
          <cell r="F31">
            <v>42.960454545454546</v>
          </cell>
          <cell r="G31">
            <v>283.38001728431777</v>
          </cell>
        </row>
        <row r="32">
          <cell r="D32" t="str">
            <v>UTC</v>
          </cell>
          <cell r="E32" t="str">
            <v>NO</v>
          </cell>
          <cell r="F32">
            <v>6.4542269489562836</v>
          </cell>
          <cell r="G32">
            <v>833.06764626722975</v>
          </cell>
        </row>
        <row r="33">
          <cell r="D33">
            <v>0</v>
          </cell>
          <cell r="E33" t="str">
            <v>NO</v>
          </cell>
          <cell r="F33">
            <v>1.4545454545454546</v>
          </cell>
          <cell r="G33">
            <v>34.659090909090729</v>
          </cell>
        </row>
        <row r="34">
          <cell r="D34" t="str">
            <v>UAH</v>
          </cell>
          <cell r="E34" t="str">
            <v>Sí</v>
          </cell>
          <cell r="F34">
            <v>101.9573863636362</v>
          </cell>
          <cell r="G34">
            <v>225.42909090909353</v>
          </cell>
        </row>
        <row r="35">
          <cell r="D35" t="str">
            <v>UCH</v>
          </cell>
          <cell r="E35" t="str">
            <v>Sí</v>
          </cell>
          <cell r="F35">
            <v>1106.0574999999994</v>
          </cell>
          <cell r="G35">
            <v>2191.6145454544994</v>
          </cell>
        </row>
        <row r="36">
          <cell r="D36" t="str">
            <v>USA</v>
          </cell>
          <cell r="E36" t="str">
            <v>Sí</v>
          </cell>
          <cell r="F36">
            <v>442.61545454545433</v>
          </cell>
          <cell r="G36">
            <v>1074.8049206670617</v>
          </cell>
        </row>
        <row r="37">
          <cell r="D37" t="str">
            <v>UVA</v>
          </cell>
          <cell r="E37" t="str">
            <v>Sí</v>
          </cell>
          <cell r="F37">
            <v>219.48409090909092</v>
          </cell>
          <cell r="G37">
            <v>923.35325068871066</v>
          </cell>
        </row>
        <row r="38">
          <cell r="D38" t="str">
            <v>ANT</v>
          </cell>
          <cell r="E38" t="str">
            <v>Sí</v>
          </cell>
          <cell r="F38">
            <v>128.09090909090909</v>
          </cell>
          <cell r="G38">
            <v>380.80704545454535</v>
          </cell>
        </row>
        <row r="39">
          <cell r="D39" t="str">
            <v>ULS</v>
          </cell>
          <cell r="E39" t="str">
            <v>Sí</v>
          </cell>
          <cell r="F39">
            <v>102.29568181818183</v>
          </cell>
          <cell r="G39">
            <v>353.50022727272528</v>
          </cell>
        </row>
        <row r="40">
          <cell r="D40" t="str">
            <v>UBB</v>
          </cell>
          <cell r="E40" t="str">
            <v>Sí</v>
          </cell>
          <cell r="F40">
            <v>214.18181818181819</v>
          </cell>
          <cell r="G40">
            <v>506.97727272727258</v>
          </cell>
        </row>
        <row r="41">
          <cell r="D41" t="str">
            <v>FRO</v>
          </cell>
          <cell r="E41" t="str">
            <v>Sí</v>
          </cell>
          <cell r="F41">
            <v>185.04545454545456</v>
          </cell>
          <cell r="G41">
            <v>389.06840909090903</v>
          </cell>
        </row>
        <row r="42">
          <cell r="D42" t="str">
            <v>MAG</v>
          </cell>
          <cell r="E42" t="str">
            <v>Sí</v>
          </cell>
          <cell r="F42">
            <v>55.615000000000002</v>
          </cell>
          <cell r="G42">
            <v>265.12272747440812</v>
          </cell>
        </row>
        <row r="43">
          <cell r="D43" t="str">
            <v>TAL</v>
          </cell>
          <cell r="E43" t="str">
            <v>Sí</v>
          </cell>
          <cell r="F43">
            <v>219.47727272727272</v>
          </cell>
          <cell r="G43">
            <v>449.95499999999885</v>
          </cell>
        </row>
        <row r="44">
          <cell r="D44" t="str">
            <v>ATA</v>
          </cell>
          <cell r="E44" t="str">
            <v>Sí</v>
          </cell>
          <cell r="F44">
            <v>47.93181818181818</v>
          </cell>
          <cell r="G44">
            <v>261.18181818181813</v>
          </cell>
        </row>
        <row r="45">
          <cell r="D45" t="str">
            <v>UTA</v>
          </cell>
          <cell r="E45" t="str">
            <v>Sí</v>
          </cell>
          <cell r="F45">
            <v>119.5</v>
          </cell>
          <cell r="G45">
            <v>355.54545454545411</v>
          </cell>
        </row>
        <row r="46">
          <cell r="D46" t="str">
            <v>UAP</v>
          </cell>
          <cell r="E46" t="str">
            <v>Sí</v>
          </cell>
          <cell r="F46">
            <v>64.340909090909093</v>
          </cell>
          <cell r="G46">
            <v>443.13636363636192</v>
          </cell>
        </row>
        <row r="47">
          <cell r="D47" t="str">
            <v>UMC</v>
          </cell>
          <cell r="E47" t="str">
            <v>Sí</v>
          </cell>
          <cell r="F47">
            <v>70.92613636363636</v>
          </cell>
          <cell r="G47">
            <v>306.05306818181759</v>
          </cell>
        </row>
        <row r="48">
          <cell r="D48" t="str">
            <v>UPA</v>
          </cell>
          <cell r="E48" t="str">
            <v>Sí</v>
          </cell>
          <cell r="F48">
            <v>119.60045454545454</v>
          </cell>
          <cell r="G48">
            <v>452.82724370986261</v>
          </cell>
        </row>
        <row r="49">
          <cell r="D49" t="str">
            <v>ULA</v>
          </cell>
          <cell r="E49" t="str">
            <v>Sí</v>
          </cell>
          <cell r="F49">
            <v>78.65921409204546</v>
          </cell>
          <cell r="G49">
            <v>407.16585665401942</v>
          </cell>
        </row>
        <row r="50">
          <cell r="D50" t="str">
            <v>UTM</v>
          </cell>
          <cell r="E50" t="str">
            <v>Sí</v>
          </cell>
          <cell r="F50">
            <v>55.66477272727272</v>
          </cell>
          <cell r="G50">
            <v>299.57431818181692</v>
          </cell>
        </row>
        <row r="51">
          <cell r="D51" t="str">
            <v>PUC</v>
          </cell>
          <cell r="E51" t="str">
            <v>Sí</v>
          </cell>
          <cell r="F51">
            <v>1008.2046021222045</v>
          </cell>
          <cell r="G51">
            <v>2197.0455112130708</v>
          </cell>
        </row>
        <row r="52">
          <cell r="D52" t="str">
            <v>UCO</v>
          </cell>
          <cell r="E52" t="str">
            <v>Sí</v>
          </cell>
          <cell r="F52">
            <v>712.93181818181824</v>
          </cell>
          <cell r="G52">
            <v>1406.4775000000002</v>
          </cell>
        </row>
        <row r="53">
          <cell r="D53" t="str">
            <v>FSM</v>
          </cell>
          <cell r="E53" t="str">
            <v>Sí</v>
          </cell>
          <cell r="F53">
            <v>233.03176136363675</v>
          </cell>
          <cell r="G53">
            <v>689.78201954531869</v>
          </cell>
        </row>
        <row r="54">
          <cell r="D54" t="str">
            <v>UCV</v>
          </cell>
          <cell r="E54" t="str">
            <v>Sí</v>
          </cell>
          <cell r="F54">
            <v>363.26727272727271</v>
          </cell>
          <cell r="G54">
            <v>629.42090909092508</v>
          </cell>
        </row>
        <row r="55">
          <cell r="D55" t="str">
            <v>AUS</v>
          </cell>
          <cell r="E55" t="str">
            <v>Sí</v>
          </cell>
          <cell r="F55">
            <v>370.52272727272725</v>
          </cell>
          <cell r="G55">
            <v>983.18181818181677</v>
          </cell>
        </row>
        <row r="56">
          <cell r="D56" t="str">
            <v>UCN</v>
          </cell>
          <cell r="E56" t="str">
            <v>Sí</v>
          </cell>
          <cell r="F56">
            <v>197.81818181818181</v>
          </cell>
          <cell r="G56">
            <v>570.45454545454629</v>
          </cell>
        </row>
        <row r="57">
          <cell r="D57" t="str">
            <v>UCM</v>
          </cell>
          <cell r="E57" t="str">
            <v>Sí</v>
          </cell>
          <cell r="F57">
            <v>122</v>
          </cell>
          <cell r="G57">
            <v>393.49999999999864</v>
          </cell>
        </row>
        <row r="58">
          <cell r="D58" t="str">
            <v>USC</v>
          </cell>
          <cell r="E58" t="str">
            <v>Sí</v>
          </cell>
          <cell r="F58">
            <v>131.06818181818181</v>
          </cell>
          <cell r="G58">
            <v>581.02272727271691</v>
          </cell>
        </row>
        <row r="59">
          <cell r="D59" t="str">
            <v>UCT</v>
          </cell>
          <cell r="E59" t="str">
            <v>Sí</v>
          </cell>
          <cell r="F59">
            <v>141.48909090909092</v>
          </cell>
          <cell r="G59">
            <v>462.63207649113673</v>
          </cell>
        </row>
        <row r="60">
          <cell r="D60">
            <v>0</v>
          </cell>
          <cell r="E60" t="str">
            <v>NO</v>
          </cell>
          <cell r="F60">
            <v>1.4545454545454546</v>
          </cell>
          <cell r="G60">
            <v>16.954545454545471</v>
          </cell>
        </row>
      </sheetData>
      <sheetData sheetId="2"/>
      <sheetData sheetId="3">
        <row r="2">
          <cell r="D2">
            <v>0</v>
          </cell>
          <cell r="E2" t="str">
            <v>NO</v>
          </cell>
          <cell r="F2">
            <v>12.15</v>
          </cell>
          <cell r="G2">
            <v>22.016704545454544</v>
          </cell>
          <cell r="H2">
            <v>0.12045454545454545</v>
          </cell>
        </row>
        <row r="3">
          <cell r="D3" t="str">
            <v>UFT</v>
          </cell>
          <cell r="E3" t="str">
            <v>Sí</v>
          </cell>
          <cell r="F3">
            <v>38.217613174431804</v>
          </cell>
          <cell r="G3">
            <v>125.90916760265983</v>
          </cell>
          <cell r="H3">
            <v>50.356453184681833</v>
          </cell>
        </row>
        <row r="4">
          <cell r="D4" t="str">
            <v>UDP</v>
          </cell>
          <cell r="E4" t="str">
            <v>Sí</v>
          </cell>
          <cell r="F4">
            <v>194.47113636363619</v>
          </cell>
          <cell r="G4">
            <v>252.79980227020343</v>
          </cell>
          <cell r="H4">
            <v>51.504586190454539</v>
          </cell>
        </row>
        <row r="5">
          <cell r="D5" t="str">
            <v>UCE</v>
          </cell>
          <cell r="E5" t="str">
            <v>NO</v>
          </cell>
          <cell r="F5">
            <v>48.409090909090921</v>
          </cell>
          <cell r="G5">
            <v>250.97727272727298</v>
          </cell>
          <cell r="H5">
            <v>1</v>
          </cell>
        </row>
        <row r="6">
          <cell r="D6">
            <v>0</v>
          </cell>
          <cell r="E6" t="str">
            <v>NO</v>
          </cell>
          <cell r="F6">
            <v>2.1363636363636362</v>
          </cell>
          <cell r="G6">
            <v>29.594545454545496</v>
          </cell>
          <cell r="H6">
            <v>7.1818181818181799</v>
          </cell>
        </row>
        <row r="7">
          <cell r="D7">
            <v>0</v>
          </cell>
          <cell r="E7" t="str">
            <v>NO</v>
          </cell>
          <cell r="F7">
            <v>7.0681818181818175</v>
          </cell>
          <cell r="G7">
            <v>87.068409090908702</v>
          </cell>
          <cell r="H7">
            <v>28.977272727272709</v>
          </cell>
        </row>
        <row r="8">
          <cell r="D8" t="str">
            <v>UMA</v>
          </cell>
          <cell r="E8" t="str">
            <v>NO</v>
          </cell>
          <cell r="F8">
            <v>60.503452805909085</v>
          </cell>
          <cell r="G8">
            <v>399.21867976513511</v>
          </cell>
          <cell r="H8">
            <v>119.86497522825002</v>
          </cell>
        </row>
        <row r="9">
          <cell r="D9" t="str">
            <v>AHC</v>
          </cell>
          <cell r="E9" t="str">
            <v>Sí</v>
          </cell>
          <cell r="F9">
            <v>20.977272727272741</v>
          </cell>
          <cell r="G9">
            <v>42.204545454545475</v>
          </cell>
          <cell r="H9">
            <v>0.29545454545454547</v>
          </cell>
        </row>
        <row r="10">
          <cell r="D10" t="str">
            <v>UST</v>
          </cell>
          <cell r="E10" t="str">
            <v>NO</v>
          </cell>
          <cell r="F10">
            <v>83.452215909091052</v>
          </cell>
          <cell r="G10">
            <v>444.75681750399724</v>
          </cell>
          <cell r="H10">
            <v>1.3704545454545456</v>
          </cell>
        </row>
        <row r="11">
          <cell r="D11">
            <v>0</v>
          </cell>
          <cell r="E11" t="str">
            <v>NO</v>
          </cell>
          <cell r="F11">
            <v>10.47727272727273</v>
          </cell>
          <cell r="G11">
            <v>51.499999999999972</v>
          </cell>
          <cell r="H11">
            <v>1.1590909090909092</v>
          </cell>
        </row>
        <row r="12">
          <cell r="D12">
            <v>0</v>
          </cell>
          <cell r="E12" t="str">
            <v>NO</v>
          </cell>
          <cell r="F12">
            <v>14.113636363636363</v>
          </cell>
          <cell r="G12">
            <v>66.762499999999847</v>
          </cell>
          <cell r="H12">
            <v>0.30681818181818177</v>
          </cell>
        </row>
        <row r="13">
          <cell r="D13">
            <v>0</v>
          </cell>
          <cell r="E13" t="str">
            <v>NO</v>
          </cell>
          <cell r="F13">
            <v>17.830909090909088</v>
          </cell>
          <cell r="G13">
            <v>379.10325757568512</v>
          </cell>
          <cell r="H13">
            <v>1.1704545454545454</v>
          </cell>
        </row>
        <row r="14">
          <cell r="D14" t="str">
            <v>UAB</v>
          </cell>
          <cell r="E14" t="str">
            <v>NO</v>
          </cell>
          <cell r="F14">
            <v>343.95454545454436</v>
          </cell>
          <cell r="G14">
            <v>755.38801136362417</v>
          </cell>
          <cell r="H14">
            <v>156.52272727272793</v>
          </cell>
        </row>
        <row r="15">
          <cell r="D15" t="str">
            <v>UVM</v>
          </cell>
          <cell r="E15" t="str">
            <v>NO</v>
          </cell>
          <cell r="F15">
            <v>24.95545454545455</v>
          </cell>
          <cell r="G15">
            <v>129.6759226399092</v>
          </cell>
          <cell r="H15">
            <v>5.2897054280681823</v>
          </cell>
        </row>
        <row r="16">
          <cell r="D16" t="str">
            <v>UAI</v>
          </cell>
          <cell r="E16" t="str">
            <v>NO</v>
          </cell>
          <cell r="F16">
            <v>197.31840909090991</v>
          </cell>
          <cell r="G16">
            <v>99.796590909090824</v>
          </cell>
          <cell r="H16">
            <v>4.5454545454545456E-2</v>
          </cell>
        </row>
        <row r="17">
          <cell r="D17" t="str">
            <v>UIB</v>
          </cell>
          <cell r="E17" t="str">
            <v>NO</v>
          </cell>
          <cell r="F17">
            <v>8.6590909090909083</v>
          </cell>
          <cell r="G17">
            <v>40.522727272727266</v>
          </cell>
          <cell r="H17">
            <v>9.0909090909090912E-2</v>
          </cell>
        </row>
        <row r="18">
          <cell r="D18">
            <v>0</v>
          </cell>
          <cell r="E18" t="str">
            <v>NO</v>
          </cell>
          <cell r="F18">
            <v>2.7431201156818181</v>
          </cell>
          <cell r="G18">
            <v>49.630873599113727</v>
          </cell>
          <cell r="H18">
            <v>0.18204545454545454</v>
          </cell>
        </row>
        <row r="19">
          <cell r="D19">
            <v>0</v>
          </cell>
          <cell r="E19" t="str">
            <v>NO</v>
          </cell>
          <cell r="F19">
            <v>0.59090909090909094</v>
          </cell>
          <cell r="G19">
            <v>5.7840909090909083</v>
          </cell>
          <cell r="H19">
            <v>0</v>
          </cell>
        </row>
        <row r="20">
          <cell r="D20">
            <v>0</v>
          </cell>
          <cell r="E20" t="str">
            <v>NO</v>
          </cell>
          <cell r="F20">
            <v>2.0318181818181822</v>
          </cell>
          <cell r="G20">
            <v>38.345681818181816</v>
          </cell>
          <cell r="H20">
            <v>0.18181818181818182</v>
          </cell>
        </row>
        <row r="21">
          <cell r="D21" t="str">
            <v>UAU</v>
          </cell>
          <cell r="E21" t="str">
            <v>Sí</v>
          </cell>
          <cell r="F21">
            <v>113.56818181818193</v>
          </cell>
          <cell r="G21">
            <v>430.9772727272711</v>
          </cell>
          <cell r="H21">
            <v>37.613636363636374</v>
          </cell>
        </row>
        <row r="22">
          <cell r="D22" t="str">
            <v>UAN</v>
          </cell>
          <cell r="E22" t="str">
            <v>NO</v>
          </cell>
          <cell r="F22">
            <v>146.67068181818195</v>
          </cell>
          <cell r="G22">
            <v>136.89772727272765</v>
          </cell>
          <cell r="H22">
            <v>140.40909090909082</v>
          </cell>
        </row>
        <row r="23">
          <cell r="D23">
            <v>0</v>
          </cell>
          <cell r="E23" t="str">
            <v>NO</v>
          </cell>
          <cell r="F23">
            <v>10.295454545454547</v>
          </cell>
          <cell r="G23">
            <v>71.840909090909022</v>
          </cell>
          <cell r="H23">
            <v>0</v>
          </cell>
        </row>
        <row r="24">
          <cell r="D24" t="str">
            <v>USS</v>
          </cell>
          <cell r="E24" t="str">
            <v>NO</v>
          </cell>
          <cell r="F24">
            <v>102.73763257568193</v>
          </cell>
          <cell r="G24">
            <v>584.82601196090752</v>
          </cell>
          <cell r="H24">
            <v>115.29613581197718</v>
          </cell>
        </row>
        <row r="25">
          <cell r="D25">
            <v>0</v>
          </cell>
          <cell r="E25" t="str">
            <v>NO</v>
          </cell>
          <cell r="F25">
            <v>1.8420454545454543</v>
          </cell>
          <cell r="G25">
            <v>10.428087121136366</v>
          </cell>
          <cell r="H25">
            <v>0</v>
          </cell>
        </row>
        <row r="26">
          <cell r="D26" t="str">
            <v>UCS</v>
          </cell>
          <cell r="E26" t="str">
            <v>Sí</v>
          </cell>
          <cell r="F26">
            <v>27.613636363636388</v>
          </cell>
          <cell r="G26">
            <v>163.34113636363568</v>
          </cell>
          <cell r="H26">
            <v>0</v>
          </cell>
        </row>
        <row r="27">
          <cell r="D27" t="str">
            <v>UDD</v>
          </cell>
          <cell r="E27" t="str">
            <v>NO</v>
          </cell>
          <cell r="F27">
            <v>121.95613636363643</v>
          </cell>
          <cell r="G27">
            <v>413.36477272727558</v>
          </cell>
          <cell r="H27">
            <v>223.06840909090997</v>
          </cell>
        </row>
        <row r="28">
          <cell r="D28">
            <v>0</v>
          </cell>
          <cell r="E28" t="str">
            <v>NO</v>
          </cell>
          <cell r="F28">
            <v>1.0454545454545454</v>
          </cell>
          <cell r="G28">
            <v>20.613863636363636</v>
          </cell>
          <cell r="H28">
            <v>0</v>
          </cell>
        </row>
        <row r="29">
          <cell r="D29" t="str">
            <v>UPO</v>
          </cell>
          <cell r="E29" t="str">
            <v>NO</v>
          </cell>
          <cell r="F29">
            <v>9.2352272727272737</v>
          </cell>
          <cell r="G29">
            <v>82.88224431818179</v>
          </cell>
          <cell r="H29">
            <v>0</v>
          </cell>
        </row>
        <row r="30">
          <cell r="D30">
            <v>0</v>
          </cell>
          <cell r="E30" t="str">
            <v>NO</v>
          </cell>
          <cell r="F30">
            <v>0</v>
          </cell>
          <cell r="G30">
            <v>17.534090909090907</v>
          </cell>
          <cell r="H30">
            <v>0.18181818181818182</v>
          </cell>
        </row>
        <row r="31">
          <cell r="D31" t="str">
            <v>UBO</v>
          </cell>
          <cell r="E31" t="str">
            <v>NO</v>
          </cell>
          <cell r="F31">
            <v>42.960454545454546</v>
          </cell>
          <cell r="G31">
            <v>123.12001728431781</v>
          </cell>
          <cell r="H31">
            <v>0</v>
          </cell>
        </row>
        <row r="32">
          <cell r="D32" t="str">
            <v>UTC</v>
          </cell>
          <cell r="E32" t="str">
            <v>NO</v>
          </cell>
          <cell r="F32">
            <v>6.4542269489562845</v>
          </cell>
          <cell r="G32">
            <v>183.35203578656836</v>
          </cell>
          <cell r="H32">
            <v>0</v>
          </cell>
        </row>
        <row r="33">
          <cell r="D33">
            <v>0</v>
          </cell>
          <cell r="E33" t="str">
            <v>NO</v>
          </cell>
          <cell r="F33">
            <v>1.4545454545454546</v>
          </cell>
          <cell r="G33">
            <v>24.522727272727273</v>
          </cell>
          <cell r="H33">
            <v>0</v>
          </cell>
        </row>
        <row r="34">
          <cell r="D34" t="str">
            <v>UAH</v>
          </cell>
          <cell r="E34" t="str">
            <v>Sí</v>
          </cell>
          <cell r="F34">
            <v>101.95738636363625</v>
          </cell>
          <cell r="G34">
            <v>79.600909090908999</v>
          </cell>
          <cell r="H34">
            <v>0.10795454545454544</v>
          </cell>
        </row>
        <row r="35">
          <cell r="D35" t="str">
            <v>UCH</v>
          </cell>
          <cell r="E35" t="str">
            <v>Sí</v>
          </cell>
          <cell r="F35">
            <v>1106.057500000006</v>
          </cell>
          <cell r="G35">
            <v>405.04545454545342</v>
          </cell>
          <cell r="H35">
            <v>132.61363636363603</v>
          </cell>
        </row>
        <row r="36">
          <cell r="D36" t="str">
            <v>USA</v>
          </cell>
          <cell r="E36" t="str">
            <v>Sí</v>
          </cell>
          <cell r="F36">
            <v>442.61545454545308</v>
          </cell>
          <cell r="G36">
            <v>250.71045454545529</v>
          </cell>
          <cell r="H36">
            <v>43.290375212477272</v>
          </cell>
        </row>
        <row r="37">
          <cell r="D37" t="str">
            <v>UVA</v>
          </cell>
          <cell r="E37" t="str">
            <v>Sí</v>
          </cell>
          <cell r="F37">
            <v>219.48409090909092</v>
          </cell>
          <cell r="G37">
            <v>336.32568181818078</v>
          </cell>
          <cell r="H37">
            <v>74.852272727272705</v>
          </cell>
        </row>
        <row r="38">
          <cell r="D38" t="str">
            <v>ANT</v>
          </cell>
          <cell r="E38" t="str">
            <v>Sí</v>
          </cell>
          <cell r="F38">
            <v>128.09090909090909</v>
          </cell>
          <cell r="G38">
            <v>116.38636363636365</v>
          </cell>
          <cell r="H38">
            <v>17.863636363636363</v>
          </cell>
        </row>
        <row r="39">
          <cell r="D39" t="str">
            <v>ULS</v>
          </cell>
          <cell r="E39" t="str">
            <v>Sí</v>
          </cell>
          <cell r="F39">
            <v>102.29568181818181</v>
          </cell>
          <cell r="G39">
            <v>102.20454545454545</v>
          </cell>
          <cell r="H39">
            <v>4.1363636363636358</v>
          </cell>
        </row>
        <row r="40">
          <cell r="D40" t="str">
            <v>UBB</v>
          </cell>
          <cell r="E40" t="str">
            <v>Sí</v>
          </cell>
          <cell r="F40">
            <v>214.18181818181822</v>
          </cell>
          <cell r="G40">
            <v>214.45454545454555</v>
          </cell>
          <cell r="H40">
            <v>0</v>
          </cell>
        </row>
        <row r="41">
          <cell r="D41" t="str">
            <v>FRO</v>
          </cell>
          <cell r="E41" t="str">
            <v>Sí</v>
          </cell>
          <cell r="F41">
            <v>185.04545454545456</v>
          </cell>
          <cell r="G41">
            <v>97.749999999999986</v>
          </cell>
          <cell r="H41">
            <v>31.5</v>
          </cell>
        </row>
        <row r="42">
          <cell r="D42" t="str">
            <v>MAG</v>
          </cell>
          <cell r="E42" t="str">
            <v>Sí</v>
          </cell>
          <cell r="F42">
            <v>55.614999999999995</v>
          </cell>
          <cell r="G42">
            <v>68.05642210945453</v>
          </cell>
          <cell r="H42">
            <v>0.78340909090909094</v>
          </cell>
        </row>
        <row r="43">
          <cell r="D43" t="str">
            <v>TAL</v>
          </cell>
          <cell r="E43" t="str">
            <v>Sí</v>
          </cell>
          <cell r="F43">
            <v>219.4772727272728</v>
          </cell>
          <cell r="G43">
            <v>195.47772727272741</v>
          </cell>
          <cell r="H43">
            <v>20.181818181818176</v>
          </cell>
        </row>
        <row r="44">
          <cell r="D44" t="str">
            <v>ATA</v>
          </cell>
          <cell r="E44" t="str">
            <v>Sí</v>
          </cell>
          <cell r="F44">
            <v>47.93181818181818</v>
          </cell>
          <cell r="G44">
            <v>69.545454545454561</v>
          </cell>
          <cell r="H44">
            <v>0.11363636363636363</v>
          </cell>
        </row>
        <row r="45">
          <cell r="D45" t="str">
            <v>UTA</v>
          </cell>
          <cell r="E45" t="str">
            <v>Sí</v>
          </cell>
          <cell r="F45">
            <v>119.5</v>
          </cell>
          <cell r="G45">
            <v>176.47727272727275</v>
          </cell>
          <cell r="H45">
            <v>2.1818181818181817</v>
          </cell>
        </row>
        <row r="46">
          <cell r="D46" t="str">
            <v>UAP</v>
          </cell>
          <cell r="E46" t="str">
            <v>Sí</v>
          </cell>
          <cell r="F46">
            <v>64.340909090909093</v>
          </cell>
          <cell r="G46">
            <v>157.68181818181813</v>
          </cell>
          <cell r="H46">
            <v>0</v>
          </cell>
        </row>
        <row r="47">
          <cell r="D47" t="str">
            <v>UMC</v>
          </cell>
          <cell r="E47" t="str">
            <v>Sí</v>
          </cell>
          <cell r="F47">
            <v>70.926136363636346</v>
          </cell>
          <cell r="G47">
            <v>144.6365909090909</v>
          </cell>
          <cell r="H47">
            <v>5.113636363636364E-2</v>
          </cell>
        </row>
        <row r="48">
          <cell r="D48" t="str">
            <v>UPA</v>
          </cell>
          <cell r="E48" t="str">
            <v>Sí</v>
          </cell>
          <cell r="F48">
            <v>119.60045454545444</v>
          </cell>
          <cell r="G48">
            <v>211.76071969697759</v>
          </cell>
          <cell r="H48">
            <v>2.9984090909090906</v>
          </cell>
        </row>
        <row r="49">
          <cell r="D49" t="str">
            <v>ULA</v>
          </cell>
          <cell r="E49" t="str">
            <v>Sí</v>
          </cell>
          <cell r="F49">
            <v>78.659214092045474</v>
          </cell>
          <cell r="G49">
            <v>153.40931818181835</v>
          </cell>
          <cell r="H49">
            <v>0</v>
          </cell>
        </row>
        <row r="50">
          <cell r="D50" t="str">
            <v>UTM</v>
          </cell>
          <cell r="E50" t="str">
            <v>Sí</v>
          </cell>
          <cell r="F50">
            <v>55.664772727272712</v>
          </cell>
          <cell r="G50">
            <v>133.10840909090919</v>
          </cell>
          <cell r="H50">
            <v>0</v>
          </cell>
        </row>
        <row r="51">
          <cell r="D51" t="str">
            <v>PUC</v>
          </cell>
          <cell r="E51" t="str">
            <v>Sí</v>
          </cell>
          <cell r="F51">
            <v>1008.2046021222039</v>
          </cell>
          <cell r="G51">
            <v>502.74999999999977</v>
          </cell>
          <cell r="H51">
            <v>404.74999999999994</v>
          </cell>
        </row>
        <row r="52">
          <cell r="D52" t="str">
            <v>UCO</v>
          </cell>
          <cell r="E52" t="str">
            <v>Sí</v>
          </cell>
          <cell r="F52">
            <v>712.9318181818179</v>
          </cell>
          <cell r="G52">
            <v>398.74999999999983</v>
          </cell>
          <cell r="H52">
            <v>89.522954545454382</v>
          </cell>
        </row>
        <row r="53">
          <cell r="D53" t="str">
            <v>FSM</v>
          </cell>
          <cell r="E53" t="str">
            <v>Sí</v>
          </cell>
          <cell r="F53">
            <v>233.03176136363638</v>
          </cell>
          <cell r="G53">
            <v>181.67680190659109</v>
          </cell>
          <cell r="H53">
            <v>0</v>
          </cell>
        </row>
        <row r="54">
          <cell r="D54" t="str">
            <v>UCV</v>
          </cell>
          <cell r="E54" t="str">
            <v>Sí</v>
          </cell>
          <cell r="F54">
            <v>363.26727272727271</v>
          </cell>
          <cell r="G54">
            <v>151.25590909090971</v>
          </cell>
          <cell r="H54">
            <v>0.5625</v>
          </cell>
        </row>
        <row r="55">
          <cell r="D55" t="str">
            <v>AUS</v>
          </cell>
          <cell r="E55" t="str">
            <v>Sí</v>
          </cell>
          <cell r="F55">
            <v>370.52272727272702</v>
          </cell>
          <cell r="G55">
            <v>257.27272727272737</v>
          </cell>
          <cell r="H55">
            <v>69.590909090909079</v>
          </cell>
        </row>
        <row r="56">
          <cell r="D56" t="str">
            <v>UCN</v>
          </cell>
          <cell r="E56" t="str">
            <v>Sí</v>
          </cell>
          <cell r="F56">
            <v>197.81818181818181</v>
          </cell>
          <cell r="G56">
            <v>158.47727272727283</v>
          </cell>
          <cell r="H56">
            <v>20</v>
          </cell>
        </row>
        <row r="57">
          <cell r="D57" t="str">
            <v>UCM</v>
          </cell>
          <cell r="E57" t="str">
            <v>Sí</v>
          </cell>
          <cell r="F57">
            <v>122</v>
          </cell>
          <cell r="G57">
            <v>155.06818181818193</v>
          </cell>
          <cell r="H57">
            <v>32.86363636363636</v>
          </cell>
        </row>
        <row r="58">
          <cell r="D58" t="str">
            <v>USC</v>
          </cell>
          <cell r="E58" t="str">
            <v>Sí</v>
          </cell>
          <cell r="F58">
            <v>131.0681818181819</v>
          </cell>
          <cell r="G58">
            <v>198.02272727272728</v>
          </cell>
          <cell r="H58">
            <v>25.886363636363644</v>
          </cell>
        </row>
        <row r="59">
          <cell r="D59" t="str">
            <v>UCT</v>
          </cell>
          <cell r="E59" t="str">
            <v>Sí</v>
          </cell>
          <cell r="F59">
            <v>141.48909090909089</v>
          </cell>
          <cell r="G59">
            <v>176.41729458113636</v>
          </cell>
          <cell r="H59">
            <v>0.20454545454545456</v>
          </cell>
        </row>
        <row r="60">
          <cell r="D60">
            <v>0</v>
          </cell>
          <cell r="E60" t="str">
            <v>NO</v>
          </cell>
          <cell r="F60">
            <v>1.4545454545454546</v>
          </cell>
          <cell r="G60">
            <v>9.8636363636363615</v>
          </cell>
          <cell r="H60">
            <v>0</v>
          </cell>
        </row>
      </sheetData>
      <sheetData sheetId="4"/>
      <sheetData sheetId="5">
        <row r="7">
          <cell r="F7" t="str">
            <v>Código</v>
          </cell>
          <cell r="G7" t="str">
            <v>Gratuidad</v>
          </cell>
          <cell r="I7">
            <v>2012</v>
          </cell>
          <cell r="J7">
            <v>2013</v>
          </cell>
          <cell r="K7">
            <v>2014</v>
          </cell>
          <cell r="L7">
            <v>2015</v>
          </cell>
          <cell r="M7">
            <v>2016</v>
          </cell>
          <cell r="N7">
            <v>2012</v>
          </cell>
          <cell r="O7">
            <v>2013</v>
          </cell>
          <cell r="P7">
            <v>2014</v>
          </cell>
          <cell r="Q7">
            <v>2015</v>
          </cell>
          <cell r="R7">
            <v>2016</v>
          </cell>
          <cell r="S7">
            <v>2012</v>
          </cell>
          <cell r="T7">
            <v>2013</v>
          </cell>
          <cell r="U7">
            <v>2014</v>
          </cell>
          <cell r="V7">
            <v>2015</v>
          </cell>
          <cell r="W7">
            <v>2016</v>
          </cell>
        </row>
        <row r="8">
          <cell r="F8" t="str">
            <v>PUC</v>
          </cell>
          <cell r="G8" t="str">
            <v>Sí</v>
          </cell>
          <cell r="I8">
            <v>0.20474837662337661</v>
          </cell>
          <cell r="J8">
            <v>0.24707462113945905</v>
          </cell>
          <cell r="K8">
            <v>0.25753792971000578</v>
          </cell>
          <cell r="L8">
            <v>0.23735555976510703</v>
          </cell>
          <cell r="M8">
            <v>0.27635899306822326</v>
          </cell>
          <cell r="N8">
            <v>4928</v>
          </cell>
          <cell r="O8">
            <v>5213</v>
          </cell>
          <cell r="P8">
            <v>5207</v>
          </cell>
          <cell r="Q8">
            <v>5279</v>
          </cell>
          <cell r="R8">
            <v>5482</v>
          </cell>
          <cell r="S8">
            <v>1009</v>
          </cell>
          <cell r="T8">
            <v>1288</v>
          </cell>
          <cell r="U8">
            <v>1341</v>
          </cell>
          <cell r="V8">
            <v>1253</v>
          </cell>
          <cell r="W8">
            <v>1515</v>
          </cell>
        </row>
        <row r="9">
          <cell r="F9" t="str">
            <v>UCV</v>
          </cell>
          <cell r="G9" t="str">
            <v>Sí</v>
          </cell>
          <cell r="I9">
            <v>0.55459098497495829</v>
          </cell>
          <cell r="J9">
            <v>0.58203368683718026</v>
          </cell>
          <cell r="K9">
            <v>0.5748987854251012</v>
          </cell>
          <cell r="L9">
            <v>0.57042896257986009</v>
          </cell>
          <cell r="M9">
            <v>0.5692036438436674</v>
          </cell>
          <cell r="N9">
            <v>2995</v>
          </cell>
          <cell r="O9">
            <v>3206</v>
          </cell>
          <cell r="P9">
            <v>3211</v>
          </cell>
          <cell r="Q9">
            <v>3287</v>
          </cell>
          <cell r="R9">
            <v>3403</v>
          </cell>
          <cell r="S9">
            <v>1661</v>
          </cell>
          <cell r="T9">
            <v>1866</v>
          </cell>
          <cell r="U9">
            <v>1846</v>
          </cell>
          <cell r="V9">
            <v>1875</v>
          </cell>
          <cell r="W9">
            <v>1937</v>
          </cell>
        </row>
        <row r="10">
          <cell r="F10" t="str">
            <v>UAP</v>
          </cell>
          <cell r="G10" t="str">
            <v>Sí</v>
          </cell>
          <cell r="I10">
            <v>0.52252252252252251</v>
          </cell>
          <cell r="J10">
            <v>0.57024793388429751</v>
          </cell>
          <cell r="K10">
            <v>0.63697967086156826</v>
          </cell>
          <cell r="L10">
            <v>0.64012738853503182</v>
          </cell>
          <cell r="M10">
            <v>0.68143459915611815</v>
          </cell>
          <cell r="N10">
            <v>999</v>
          </cell>
          <cell r="O10">
            <v>968</v>
          </cell>
          <cell r="P10">
            <v>1033</v>
          </cell>
          <cell r="Q10">
            <v>942</v>
          </cell>
          <cell r="R10">
            <v>948</v>
          </cell>
          <cell r="S10">
            <v>522</v>
          </cell>
          <cell r="T10">
            <v>552</v>
          </cell>
          <cell r="U10">
            <v>658</v>
          </cell>
          <cell r="V10">
            <v>603</v>
          </cell>
          <cell r="W10">
            <v>646</v>
          </cell>
        </row>
        <row r="11">
          <cell r="F11" t="str">
            <v>AUS</v>
          </cell>
          <cell r="G11" t="str">
            <v>Sí</v>
          </cell>
          <cell r="I11">
            <v>0.62584175084175087</v>
          </cell>
          <cell r="J11">
            <v>0.63309885227693452</v>
          </cell>
          <cell r="K11">
            <v>0.64667393675027263</v>
          </cell>
          <cell r="L11">
            <v>0.61967994552264216</v>
          </cell>
          <cell r="M11">
            <v>0.65958200495926322</v>
          </cell>
          <cell r="N11">
            <v>2376</v>
          </cell>
          <cell r="O11">
            <v>2701</v>
          </cell>
          <cell r="P11">
            <v>2751</v>
          </cell>
          <cell r="Q11">
            <v>2937</v>
          </cell>
          <cell r="R11">
            <v>2823</v>
          </cell>
          <cell r="S11">
            <v>1487</v>
          </cell>
          <cell r="T11">
            <v>1710</v>
          </cell>
          <cell r="U11">
            <v>1779</v>
          </cell>
          <cell r="V11">
            <v>1820</v>
          </cell>
          <cell r="W11">
            <v>1862</v>
          </cell>
        </row>
        <row r="12">
          <cell r="F12" t="str">
            <v>USC</v>
          </cell>
          <cell r="G12" t="str">
            <v>Sí</v>
          </cell>
          <cell r="I12">
            <v>0.75</v>
          </cell>
          <cell r="J12">
            <v>0.79628400796284005</v>
          </cell>
          <cell r="K12">
            <v>0.83381924198250734</v>
          </cell>
          <cell r="L12">
            <v>0.77976523197316938</v>
          </cell>
          <cell r="M12">
            <v>0.76919060052219324</v>
          </cell>
          <cell r="N12">
            <v>1876</v>
          </cell>
          <cell r="O12">
            <v>1507</v>
          </cell>
          <cell r="P12">
            <v>1715</v>
          </cell>
          <cell r="Q12">
            <v>1789</v>
          </cell>
          <cell r="R12">
            <v>1915</v>
          </cell>
          <cell r="S12">
            <v>1407</v>
          </cell>
          <cell r="T12">
            <v>1200</v>
          </cell>
          <cell r="U12">
            <v>1430</v>
          </cell>
          <cell r="V12">
            <v>1395</v>
          </cell>
          <cell r="W12">
            <v>1473</v>
          </cell>
        </row>
        <row r="13">
          <cell r="F13" t="str">
            <v>UCT</v>
          </cell>
          <cell r="G13" t="str">
            <v>Sí</v>
          </cell>
          <cell r="I13">
            <v>0.76699029126213591</v>
          </cell>
          <cell r="J13">
            <v>0.79551667577911422</v>
          </cell>
          <cell r="K13">
            <v>0.80553918680023573</v>
          </cell>
          <cell r="L13">
            <v>0.7954309449636553</v>
          </cell>
          <cell r="M13">
            <v>0.8040130657956136</v>
          </cell>
          <cell r="N13">
            <v>1648</v>
          </cell>
          <cell r="O13">
            <v>1829</v>
          </cell>
          <cell r="P13">
            <v>1697</v>
          </cell>
          <cell r="Q13">
            <v>1926</v>
          </cell>
          <cell r="R13">
            <v>2143</v>
          </cell>
          <cell r="S13">
            <v>1264</v>
          </cell>
          <cell r="T13">
            <v>1455</v>
          </cell>
          <cell r="U13">
            <v>1367</v>
          </cell>
          <cell r="V13">
            <v>1532</v>
          </cell>
          <cell r="W13">
            <v>1723</v>
          </cell>
        </row>
        <row r="14">
          <cell r="F14" t="str">
            <v>UCM</v>
          </cell>
          <cell r="G14" t="str">
            <v>Sí</v>
          </cell>
          <cell r="I14">
            <v>0.75</v>
          </cell>
          <cell r="J14">
            <v>0.765474552957359</v>
          </cell>
          <cell r="K14">
            <v>0.79557195571955719</v>
          </cell>
          <cell r="L14">
            <v>0.77298444130127297</v>
          </cell>
          <cell r="M14">
            <v>0.79132473622508792</v>
          </cell>
          <cell r="N14">
            <v>1308</v>
          </cell>
          <cell r="O14">
            <v>1454</v>
          </cell>
          <cell r="P14">
            <v>1355</v>
          </cell>
          <cell r="Q14">
            <v>1414</v>
          </cell>
          <cell r="R14">
            <v>1706</v>
          </cell>
          <cell r="S14">
            <v>981</v>
          </cell>
          <cell r="T14">
            <v>1113</v>
          </cell>
          <cell r="U14">
            <v>1078</v>
          </cell>
          <cell r="V14">
            <v>1093</v>
          </cell>
          <cell r="W14">
            <v>1350</v>
          </cell>
        </row>
        <row r="15">
          <cell r="F15" t="str">
            <v>UCN</v>
          </cell>
          <cell r="G15" t="str">
            <v>Sí</v>
          </cell>
          <cell r="I15">
            <v>0.43885714285714283</v>
          </cell>
          <cell r="J15">
            <v>0.45280082987551867</v>
          </cell>
          <cell r="K15">
            <v>0.4891015417331207</v>
          </cell>
          <cell r="L15">
            <v>0.46512820512820513</v>
          </cell>
          <cell r="M15">
            <v>0.51402321083172142</v>
          </cell>
          <cell r="N15">
            <v>1750</v>
          </cell>
          <cell r="O15">
            <v>1928</v>
          </cell>
          <cell r="P15">
            <v>1881</v>
          </cell>
          <cell r="Q15">
            <v>1950</v>
          </cell>
          <cell r="R15">
            <v>2068</v>
          </cell>
          <cell r="S15">
            <v>768</v>
          </cell>
          <cell r="T15">
            <v>873</v>
          </cell>
          <cell r="U15">
            <v>920</v>
          </cell>
          <cell r="V15">
            <v>907</v>
          </cell>
          <cell r="W15">
            <v>1063</v>
          </cell>
        </row>
        <row r="16">
          <cell r="F16" t="str">
            <v>ANT</v>
          </cell>
          <cell r="G16" t="str">
            <v>Sí</v>
          </cell>
          <cell r="I16">
            <v>0.37237237237237236</v>
          </cell>
          <cell r="J16">
            <v>0.41467889908256883</v>
          </cell>
          <cell r="K16">
            <v>0.42173913043478262</v>
          </cell>
          <cell r="L16">
            <v>0.38935810810810811</v>
          </cell>
          <cell r="M16">
            <v>0.46887009992313605</v>
          </cell>
          <cell r="N16">
            <v>999</v>
          </cell>
          <cell r="O16">
            <v>1090</v>
          </cell>
          <cell r="P16">
            <v>1150</v>
          </cell>
          <cell r="Q16">
            <v>1184</v>
          </cell>
          <cell r="R16">
            <v>1301</v>
          </cell>
          <cell r="S16">
            <v>372</v>
          </cell>
          <cell r="T16">
            <v>452</v>
          </cell>
          <cell r="U16">
            <v>485</v>
          </cell>
          <cell r="V16">
            <v>461</v>
          </cell>
          <cell r="W16">
            <v>610</v>
          </cell>
        </row>
        <row r="17">
          <cell r="F17" t="str">
            <v>ATA</v>
          </cell>
          <cell r="G17" t="str">
            <v>Sí</v>
          </cell>
          <cell r="I17">
            <v>0.56559766763848396</v>
          </cell>
          <cell r="J17">
            <v>0.54754754754754753</v>
          </cell>
          <cell r="K17">
            <v>0.56735496558505405</v>
          </cell>
          <cell r="L17">
            <v>0.56243854473942967</v>
          </cell>
          <cell r="M17">
            <v>0.64114832535885169</v>
          </cell>
          <cell r="N17">
            <v>686</v>
          </cell>
          <cell r="O17">
            <v>999</v>
          </cell>
          <cell r="P17">
            <v>1017</v>
          </cell>
          <cell r="Q17">
            <v>1017</v>
          </cell>
          <cell r="R17">
            <v>1045</v>
          </cell>
          <cell r="S17">
            <v>388</v>
          </cell>
          <cell r="T17">
            <v>547</v>
          </cell>
          <cell r="U17">
            <v>577</v>
          </cell>
          <cell r="V17">
            <v>572</v>
          </cell>
          <cell r="W17">
            <v>670</v>
          </cell>
        </row>
        <row r="18">
          <cell r="F18" t="str">
            <v>UCH</v>
          </cell>
          <cell r="G18" t="str">
            <v>Sí</v>
          </cell>
          <cell r="I18">
            <v>0.41156530408773678</v>
          </cell>
          <cell r="J18">
            <v>0.44507683551508254</v>
          </cell>
          <cell r="K18">
            <v>0.45997140814867765</v>
          </cell>
          <cell r="L18">
            <v>0.45439659407237598</v>
          </cell>
          <cell r="M18">
            <v>0.48905738411166638</v>
          </cell>
          <cell r="N18">
            <v>5015</v>
          </cell>
          <cell r="O18">
            <v>5271</v>
          </cell>
          <cell r="P18">
            <v>5596</v>
          </cell>
          <cell r="Q18">
            <v>6107</v>
          </cell>
          <cell r="R18">
            <v>5803</v>
          </cell>
          <cell r="S18">
            <v>2064</v>
          </cell>
          <cell r="T18">
            <v>2346</v>
          </cell>
          <cell r="U18">
            <v>2574</v>
          </cell>
          <cell r="V18">
            <v>2775</v>
          </cell>
          <cell r="W18">
            <v>2838</v>
          </cell>
        </row>
        <row r="19">
          <cell r="F19" t="str">
            <v>UCO</v>
          </cell>
          <cell r="G19" t="str">
            <v>Sí</v>
          </cell>
          <cell r="I19">
            <v>0.68837209302325586</v>
          </cell>
          <cell r="J19">
            <v>0.6852334201562813</v>
          </cell>
          <cell r="K19">
            <v>0.70620748299319724</v>
          </cell>
          <cell r="L19">
            <v>0.67432321575061527</v>
          </cell>
          <cell r="M19">
            <v>0.66373450619752095</v>
          </cell>
          <cell r="N19">
            <v>4730</v>
          </cell>
          <cell r="O19">
            <v>4991</v>
          </cell>
          <cell r="P19">
            <v>4704</v>
          </cell>
          <cell r="Q19">
            <v>4876</v>
          </cell>
          <cell r="R19">
            <v>5002</v>
          </cell>
          <cell r="S19">
            <v>3256</v>
          </cell>
          <cell r="T19">
            <v>3420</v>
          </cell>
          <cell r="U19">
            <v>3322</v>
          </cell>
          <cell r="V19">
            <v>3288</v>
          </cell>
          <cell r="W19">
            <v>3320</v>
          </cell>
        </row>
        <row r="20">
          <cell r="F20" t="str">
            <v>FRO</v>
          </cell>
          <cell r="G20" t="str">
            <v>Sí</v>
          </cell>
          <cell r="I20">
            <v>0.66393022062596208</v>
          </cell>
          <cell r="J20">
            <v>0.67006629270780216</v>
          </cell>
          <cell r="K20">
            <v>0.73853452820242493</v>
          </cell>
          <cell r="L20">
            <v>0.70067372473532241</v>
          </cell>
          <cell r="M20">
            <v>0.70987951807228911</v>
          </cell>
          <cell r="N20">
            <v>1949</v>
          </cell>
          <cell r="O20">
            <v>1961</v>
          </cell>
          <cell r="P20">
            <v>1897</v>
          </cell>
          <cell r="Q20">
            <v>2078</v>
          </cell>
          <cell r="R20">
            <v>2075</v>
          </cell>
          <cell r="S20">
            <v>1294</v>
          </cell>
          <cell r="T20">
            <v>1314</v>
          </cell>
          <cell r="U20">
            <v>1401</v>
          </cell>
          <cell r="V20">
            <v>1456</v>
          </cell>
          <cell r="W20">
            <v>1473</v>
          </cell>
        </row>
        <row r="21">
          <cell r="F21" t="str">
            <v>ULS</v>
          </cell>
          <cell r="G21" t="str">
            <v>Sí</v>
          </cell>
          <cell r="I21">
            <v>0.62411347517730498</v>
          </cell>
          <cell r="J21">
            <v>0.63164400494437578</v>
          </cell>
          <cell r="K21">
            <v>0.66666666666666663</v>
          </cell>
          <cell r="L21">
            <v>0.64916615194564542</v>
          </cell>
          <cell r="M21">
            <v>0.70626865671641792</v>
          </cell>
          <cell r="N21">
            <v>1551</v>
          </cell>
          <cell r="O21">
            <v>1618</v>
          </cell>
          <cell r="P21">
            <v>1548</v>
          </cell>
          <cell r="Q21">
            <v>1619</v>
          </cell>
          <cell r="R21">
            <v>1675</v>
          </cell>
          <cell r="S21">
            <v>968</v>
          </cell>
          <cell r="T21">
            <v>1022</v>
          </cell>
          <cell r="U21">
            <v>1032</v>
          </cell>
          <cell r="V21">
            <v>1051</v>
          </cell>
          <cell r="W21">
            <v>1183</v>
          </cell>
        </row>
        <row r="22">
          <cell r="F22" t="str">
            <v>ULA</v>
          </cell>
          <cell r="G22" t="str">
            <v>Sí</v>
          </cell>
          <cell r="I22">
            <v>0.77881619937694702</v>
          </cell>
          <cell r="J22">
            <v>0.79407806191117092</v>
          </cell>
          <cell r="K22">
            <v>0.81355932203389836</v>
          </cell>
          <cell r="L22">
            <v>0.81936245572609212</v>
          </cell>
          <cell r="M22">
            <v>0.82191780821917804</v>
          </cell>
          <cell r="N22">
            <v>642</v>
          </cell>
          <cell r="O22">
            <v>743</v>
          </cell>
          <cell r="P22">
            <v>885</v>
          </cell>
          <cell r="Q22">
            <v>847</v>
          </cell>
          <cell r="R22">
            <v>1022</v>
          </cell>
          <cell r="S22">
            <v>500</v>
          </cell>
          <cell r="T22">
            <v>590</v>
          </cell>
          <cell r="U22">
            <v>720</v>
          </cell>
          <cell r="V22">
            <v>694</v>
          </cell>
          <cell r="W22">
            <v>840</v>
          </cell>
        </row>
        <row r="23">
          <cell r="F23" t="str">
            <v>MAG</v>
          </cell>
          <cell r="G23" t="str">
            <v>Sí</v>
          </cell>
          <cell r="I23">
            <v>0.4375</v>
          </cell>
          <cell r="J23">
            <v>0.48929159802306427</v>
          </cell>
          <cell r="K23">
            <v>0.51520572450805013</v>
          </cell>
          <cell r="L23">
            <v>0.48652694610778441</v>
          </cell>
          <cell r="M23">
            <v>0.5879194630872483</v>
          </cell>
          <cell r="N23">
            <v>448</v>
          </cell>
          <cell r="O23">
            <v>607</v>
          </cell>
          <cell r="P23">
            <v>559</v>
          </cell>
          <cell r="Q23">
            <v>668</v>
          </cell>
          <cell r="R23">
            <v>745</v>
          </cell>
          <cell r="S23">
            <v>196</v>
          </cell>
          <cell r="T23">
            <v>297</v>
          </cell>
          <cell r="U23">
            <v>288</v>
          </cell>
          <cell r="V23">
            <v>325</v>
          </cell>
          <cell r="W23">
            <v>438</v>
          </cell>
        </row>
        <row r="24">
          <cell r="F24" t="str">
            <v>UPA</v>
          </cell>
          <cell r="G24" t="str">
            <v>Sí</v>
          </cell>
          <cell r="I24">
            <v>0.73523421588594706</v>
          </cell>
          <cell r="J24">
            <v>0.75209497206703912</v>
          </cell>
          <cell r="K24">
            <v>0.74582172701949856</v>
          </cell>
          <cell r="L24">
            <v>0.71997690531177827</v>
          </cell>
          <cell r="M24">
            <v>0.77956690727373679</v>
          </cell>
          <cell r="N24">
            <v>1473</v>
          </cell>
          <cell r="O24">
            <v>1432</v>
          </cell>
          <cell r="P24">
            <v>1436</v>
          </cell>
          <cell r="Q24">
            <v>1732</v>
          </cell>
          <cell r="R24">
            <v>1801</v>
          </cell>
          <cell r="S24">
            <v>1083</v>
          </cell>
          <cell r="T24">
            <v>1077</v>
          </cell>
          <cell r="U24">
            <v>1071</v>
          </cell>
          <cell r="V24">
            <v>1247</v>
          </cell>
          <cell r="W24">
            <v>1404</v>
          </cell>
        </row>
        <row r="25">
          <cell r="F25" t="str">
            <v>USA</v>
          </cell>
          <cell r="G25" t="str">
            <v>Sí</v>
          </cell>
          <cell r="I25">
            <v>0.59645351961311122</v>
          </cell>
          <cell r="J25">
            <v>0.65202598206000617</v>
          </cell>
          <cell r="K25">
            <v>0.70588235294117652</v>
          </cell>
          <cell r="L25">
            <v>0.65954346770276828</v>
          </cell>
          <cell r="M25">
            <v>0.68323504633529908</v>
          </cell>
          <cell r="N25">
            <v>3722</v>
          </cell>
          <cell r="O25">
            <v>3233</v>
          </cell>
          <cell r="P25">
            <v>3791</v>
          </cell>
          <cell r="Q25">
            <v>4118</v>
          </cell>
          <cell r="R25">
            <v>3561</v>
          </cell>
          <cell r="S25">
            <v>2220</v>
          </cell>
          <cell r="T25">
            <v>2108</v>
          </cell>
          <cell r="U25">
            <v>2676</v>
          </cell>
          <cell r="V25">
            <v>2716</v>
          </cell>
          <cell r="W25">
            <v>2433</v>
          </cell>
        </row>
        <row r="26">
          <cell r="F26" t="str">
            <v>TAL</v>
          </cell>
          <cell r="G26" t="str">
            <v>Sí</v>
          </cell>
          <cell r="I26">
            <v>0.71533258173618941</v>
          </cell>
          <cell r="J26">
            <v>0.73406694176983034</v>
          </cell>
          <cell r="K26">
            <v>0.73735632183908051</v>
          </cell>
          <cell r="L26">
            <v>0.70734341252699784</v>
          </cell>
          <cell r="M26">
            <v>0.72519893899204246</v>
          </cell>
          <cell r="N26">
            <v>1774</v>
          </cell>
          <cell r="O26">
            <v>2181</v>
          </cell>
          <cell r="P26">
            <v>1740</v>
          </cell>
          <cell r="Q26">
            <v>1852</v>
          </cell>
          <cell r="R26">
            <v>1885</v>
          </cell>
          <cell r="S26">
            <v>1269</v>
          </cell>
          <cell r="T26">
            <v>1601</v>
          </cell>
          <cell r="U26">
            <v>1283</v>
          </cell>
          <cell r="V26">
            <v>1310</v>
          </cell>
          <cell r="W26">
            <v>1367</v>
          </cell>
        </row>
        <row r="27">
          <cell r="F27" t="str">
            <v>UTA</v>
          </cell>
          <cell r="G27" t="str">
            <v>Sí</v>
          </cell>
          <cell r="I27">
            <v>0.67118644067796607</v>
          </cell>
          <cell r="J27">
            <v>0.66928618205631962</v>
          </cell>
          <cell r="K27">
            <v>0.6847405112316034</v>
          </cell>
          <cell r="L27">
            <v>0.66709928617780667</v>
          </cell>
          <cell r="M27">
            <v>0.72246153846153849</v>
          </cell>
          <cell r="N27">
            <v>1475</v>
          </cell>
          <cell r="O27">
            <v>1527</v>
          </cell>
          <cell r="P27">
            <v>1291</v>
          </cell>
          <cell r="Q27">
            <v>1541</v>
          </cell>
          <cell r="R27">
            <v>1625</v>
          </cell>
          <cell r="S27">
            <v>990</v>
          </cell>
          <cell r="T27">
            <v>1022</v>
          </cell>
          <cell r="U27">
            <v>884</v>
          </cell>
          <cell r="V27">
            <v>1028</v>
          </cell>
          <cell r="W27">
            <v>1174</v>
          </cell>
        </row>
        <row r="28">
          <cell r="F28" t="str">
            <v>UVA</v>
          </cell>
          <cell r="G28" t="str">
            <v>Sí</v>
          </cell>
          <cell r="I28">
            <v>0.62751065124771754</v>
          </cell>
          <cell r="J28">
            <v>0.64366290643662905</v>
          </cell>
          <cell r="K28">
            <v>0.64736842105263159</v>
          </cell>
          <cell r="L28">
            <v>0.60130718954248363</v>
          </cell>
          <cell r="M28">
            <v>0.6721548238012709</v>
          </cell>
          <cell r="N28">
            <v>3286</v>
          </cell>
          <cell r="O28">
            <v>3014</v>
          </cell>
          <cell r="P28">
            <v>2850</v>
          </cell>
          <cell r="Q28">
            <v>3060</v>
          </cell>
          <cell r="R28">
            <v>3462</v>
          </cell>
          <cell r="S28">
            <v>2062</v>
          </cell>
          <cell r="T28">
            <v>1940</v>
          </cell>
          <cell r="U28">
            <v>1845</v>
          </cell>
          <cell r="V28">
            <v>1840</v>
          </cell>
          <cell r="W28">
            <v>2327</v>
          </cell>
        </row>
        <row r="29">
          <cell r="F29" t="str">
            <v>UBB</v>
          </cell>
          <cell r="G29" t="str">
            <v>Sí</v>
          </cell>
          <cell r="I29">
            <v>0.79146919431279616</v>
          </cell>
          <cell r="J29">
            <v>0.82854617764030047</v>
          </cell>
          <cell r="K29">
            <v>0.84066193853427895</v>
          </cell>
          <cell r="L29">
            <v>0.79973935708079935</v>
          </cell>
          <cell r="M29">
            <v>0.79578392621870886</v>
          </cell>
          <cell r="N29">
            <v>2110</v>
          </cell>
          <cell r="O29">
            <v>2263</v>
          </cell>
          <cell r="P29">
            <v>2115</v>
          </cell>
          <cell r="Q29">
            <v>2302</v>
          </cell>
          <cell r="R29">
            <v>2277</v>
          </cell>
          <cell r="S29">
            <v>1670</v>
          </cell>
          <cell r="T29">
            <v>1875</v>
          </cell>
          <cell r="U29">
            <v>1778</v>
          </cell>
          <cell r="V29">
            <v>1841</v>
          </cell>
          <cell r="W29">
            <v>1812</v>
          </cell>
        </row>
        <row r="30">
          <cell r="F30" t="str">
            <v>UMC</v>
          </cell>
          <cell r="G30" t="str">
            <v>Sí</v>
          </cell>
          <cell r="I30">
            <v>0.65916069600818838</v>
          </cell>
          <cell r="J30">
            <v>0.67375231053604434</v>
          </cell>
          <cell r="K30">
            <v>0.64559386973180077</v>
          </cell>
          <cell r="L30">
            <v>0.65847457627118644</v>
          </cell>
          <cell r="M30">
            <v>0.66479400749063666</v>
          </cell>
          <cell r="N30">
            <v>977</v>
          </cell>
          <cell r="O30">
            <v>1082</v>
          </cell>
          <cell r="P30">
            <v>1044</v>
          </cell>
          <cell r="Q30">
            <v>1180</v>
          </cell>
          <cell r="R30">
            <v>1068</v>
          </cell>
          <cell r="S30">
            <v>644</v>
          </cell>
          <cell r="T30">
            <v>729</v>
          </cell>
          <cell r="U30">
            <v>674</v>
          </cell>
          <cell r="V30">
            <v>777</v>
          </cell>
          <cell r="W30">
            <v>710</v>
          </cell>
        </row>
        <row r="31">
          <cell r="F31" t="str">
            <v>FSM</v>
          </cell>
          <cell r="G31" t="str">
            <v>Sí</v>
          </cell>
          <cell r="I31">
            <v>0.47096774193548385</v>
          </cell>
          <cell r="J31">
            <v>0.49862863411958308</v>
          </cell>
          <cell r="K31">
            <v>0.51072961373390557</v>
          </cell>
          <cell r="L31">
            <v>0.49270664505672607</v>
          </cell>
          <cell r="M31">
            <v>0.54303278688524592</v>
          </cell>
          <cell r="N31">
            <v>2170</v>
          </cell>
          <cell r="O31">
            <v>1823</v>
          </cell>
          <cell r="P31">
            <v>1864</v>
          </cell>
          <cell r="Q31">
            <v>1851</v>
          </cell>
          <cell r="R31">
            <v>1952</v>
          </cell>
          <cell r="S31">
            <v>1022</v>
          </cell>
          <cell r="T31">
            <v>909</v>
          </cell>
          <cell r="U31">
            <v>952</v>
          </cell>
          <cell r="V31">
            <v>912</v>
          </cell>
          <cell r="W31">
            <v>1060</v>
          </cell>
        </row>
        <row r="32">
          <cell r="F32" t="str">
            <v>UTM</v>
          </cell>
          <cell r="G32" t="str">
            <v>Sí</v>
          </cell>
          <cell r="I32">
            <v>0.72512755102040816</v>
          </cell>
          <cell r="J32">
            <v>0.75057208237986273</v>
          </cell>
          <cell r="K32">
            <v>0.75785482123510295</v>
          </cell>
          <cell r="L32">
            <v>0.74829600778967864</v>
          </cell>
          <cell r="M32">
            <v>0.75609756097560976</v>
          </cell>
          <cell r="N32">
            <v>1568</v>
          </cell>
          <cell r="O32">
            <v>1748</v>
          </cell>
          <cell r="P32">
            <v>1846</v>
          </cell>
          <cell r="Q32">
            <v>2054</v>
          </cell>
          <cell r="R32">
            <v>2255</v>
          </cell>
          <cell r="S32">
            <v>1137</v>
          </cell>
          <cell r="T32">
            <v>1312</v>
          </cell>
          <cell r="U32">
            <v>1399</v>
          </cell>
          <cell r="V32">
            <v>1537</v>
          </cell>
          <cell r="W32">
            <v>1705</v>
          </cell>
        </row>
        <row r="33">
          <cell r="F33">
            <v>0</v>
          </cell>
          <cell r="G33">
            <v>0</v>
          </cell>
          <cell r="I33">
            <v>0.57637975407492137</v>
          </cell>
          <cell r="J33">
            <v>0.59971685451102241</v>
          </cell>
          <cell r="K33">
            <v>0.61606038794455831</v>
          </cell>
          <cell r="L33">
            <v>0.59552161083145283</v>
          </cell>
          <cell r="M33">
            <v>0.6255377527861522</v>
          </cell>
          <cell r="N33">
            <v>52455</v>
          </cell>
          <cell r="O33">
            <v>54389</v>
          </cell>
          <cell r="P33">
            <v>54183</v>
          </cell>
          <cell r="Q33">
            <v>57610</v>
          </cell>
          <cell r="R33">
            <v>59042</v>
          </cell>
          <cell r="S33">
            <v>30234</v>
          </cell>
          <cell r="T33">
            <v>32618</v>
          </cell>
          <cell r="U33">
            <v>33380</v>
          </cell>
          <cell r="V33">
            <v>34308</v>
          </cell>
          <cell r="W33">
            <v>36933</v>
          </cell>
        </row>
        <row r="34">
          <cell r="F34" t="str">
            <v>AHC</v>
          </cell>
          <cell r="G34" t="str">
            <v>Sí</v>
          </cell>
          <cell r="I34">
            <v>0.60610687022900767</v>
          </cell>
          <cell r="J34">
            <v>0.59277504105090317</v>
          </cell>
          <cell r="K34">
            <v>0.57954545454545459</v>
          </cell>
          <cell r="L34">
            <v>0.53125</v>
          </cell>
          <cell r="M34">
            <v>0.52682926829268295</v>
          </cell>
          <cell r="N34">
            <v>655</v>
          </cell>
          <cell r="O34">
            <v>609</v>
          </cell>
          <cell r="P34">
            <v>616</v>
          </cell>
          <cell r="Q34">
            <v>768</v>
          </cell>
          <cell r="R34">
            <v>615</v>
          </cell>
          <cell r="S34">
            <v>397</v>
          </cell>
          <cell r="T34">
            <v>361</v>
          </cell>
          <cell r="U34">
            <v>357</v>
          </cell>
          <cell r="V34">
            <v>408</v>
          </cell>
          <cell r="W34">
            <v>324</v>
          </cell>
        </row>
        <row r="35">
          <cell r="F35" t="str">
            <v>UAI</v>
          </cell>
          <cell r="G35" t="str">
            <v>NO</v>
          </cell>
          <cell r="I35">
            <v>7.758186397984887E-2</v>
          </cell>
          <cell r="J35">
            <v>0.11235059760956176</v>
          </cell>
          <cell r="K35">
            <v>0.11445279866332497</v>
          </cell>
          <cell r="L35">
            <v>0.1</v>
          </cell>
          <cell r="M35">
            <v>0.10378787878787879</v>
          </cell>
          <cell r="N35">
            <v>1985</v>
          </cell>
          <cell r="O35">
            <v>1255</v>
          </cell>
          <cell r="P35">
            <v>1197</v>
          </cell>
          <cell r="Q35">
            <v>1220</v>
          </cell>
          <cell r="R35">
            <v>1320</v>
          </cell>
          <cell r="S35">
            <v>154</v>
          </cell>
          <cell r="T35">
            <v>141</v>
          </cell>
          <cell r="U35">
            <v>137</v>
          </cell>
          <cell r="V35">
            <v>122</v>
          </cell>
          <cell r="W35">
            <v>137</v>
          </cell>
        </row>
        <row r="36">
          <cell r="F36">
            <v>0</v>
          </cell>
          <cell r="G36" t="str">
            <v>NO</v>
          </cell>
          <cell r="I36">
            <v>0.55631399317406138</v>
          </cell>
          <cell r="J36">
            <v>0.65957446808510634</v>
          </cell>
          <cell r="K36">
            <v>0.73421052631578942</v>
          </cell>
          <cell r="L36">
            <v>0.73087818696883855</v>
          </cell>
          <cell r="M36">
            <v>0.61197916666666663</v>
          </cell>
          <cell r="N36">
            <v>293</v>
          </cell>
          <cell r="O36">
            <v>376</v>
          </cell>
          <cell r="P36">
            <v>380</v>
          </cell>
          <cell r="Q36">
            <v>353</v>
          </cell>
          <cell r="R36">
            <v>384</v>
          </cell>
          <cell r="S36">
            <v>163</v>
          </cell>
          <cell r="T36">
            <v>248</v>
          </cell>
          <cell r="U36">
            <v>279</v>
          </cell>
          <cell r="V36">
            <v>258</v>
          </cell>
          <cell r="W36">
            <v>235</v>
          </cell>
        </row>
        <row r="37">
          <cell r="F37" t="str">
            <v>UAH</v>
          </cell>
          <cell r="G37" t="str">
            <v>Sí</v>
          </cell>
          <cell r="I37">
            <v>0.52495697074010328</v>
          </cell>
          <cell r="J37">
            <v>0.54051863857374394</v>
          </cell>
          <cell r="K37">
            <v>0.54968454258675081</v>
          </cell>
          <cell r="L37">
            <v>0.5496598639455782</v>
          </cell>
          <cell r="M37">
            <v>0.67025733093955719</v>
          </cell>
          <cell r="N37">
            <v>1162</v>
          </cell>
          <cell r="O37">
            <v>1234</v>
          </cell>
          <cell r="P37">
            <v>1268</v>
          </cell>
          <cell r="Q37">
            <v>1470</v>
          </cell>
          <cell r="R37">
            <v>1671</v>
          </cell>
          <cell r="S37">
            <v>610</v>
          </cell>
          <cell r="T37">
            <v>667</v>
          </cell>
          <cell r="U37">
            <v>697</v>
          </cell>
          <cell r="V37">
            <v>808</v>
          </cell>
          <cell r="W37">
            <v>1120</v>
          </cell>
        </row>
        <row r="38">
          <cell r="F38" t="str">
            <v>UAB</v>
          </cell>
          <cell r="G38" t="str">
            <v>NO</v>
          </cell>
          <cell r="I38">
            <v>0.43491799875441145</v>
          </cell>
          <cell r="J38">
            <v>0.50858263854830799</v>
          </cell>
          <cell r="K38">
            <v>0.52253866465484722</v>
          </cell>
          <cell r="L38">
            <v>0.52252151559181848</v>
          </cell>
          <cell r="M38">
            <v>0.46727048167970359</v>
          </cell>
          <cell r="N38">
            <v>9634</v>
          </cell>
          <cell r="O38">
            <v>10195</v>
          </cell>
          <cell r="P38">
            <v>10604</v>
          </cell>
          <cell r="Q38">
            <v>8947</v>
          </cell>
          <cell r="R38">
            <v>9716</v>
          </cell>
          <cell r="S38">
            <v>4190</v>
          </cell>
          <cell r="T38">
            <v>5185</v>
          </cell>
          <cell r="U38">
            <v>5541</v>
          </cell>
          <cell r="V38">
            <v>4675</v>
          </cell>
          <cell r="W38">
            <v>4540</v>
          </cell>
        </row>
        <row r="39">
          <cell r="F39" t="str">
            <v>UAU</v>
          </cell>
          <cell r="G39" t="str">
            <v>Sí</v>
          </cell>
          <cell r="I39">
            <v>0.70137795275590553</v>
          </cell>
          <cell r="J39">
            <v>0.71059954464963315</v>
          </cell>
          <cell r="K39">
            <v>0.69373988127361041</v>
          </cell>
          <cell r="L39">
            <v>0.66383701188455013</v>
          </cell>
          <cell r="M39">
            <v>0.79819161215852252</v>
          </cell>
          <cell r="N39">
            <v>5080</v>
          </cell>
          <cell r="O39">
            <v>3953</v>
          </cell>
          <cell r="P39">
            <v>3706</v>
          </cell>
          <cell r="Q39">
            <v>4123</v>
          </cell>
          <cell r="R39">
            <v>5198</v>
          </cell>
          <cell r="S39">
            <v>3563</v>
          </cell>
          <cell r="T39">
            <v>2809</v>
          </cell>
          <cell r="U39">
            <v>2571</v>
          </cell>
          <cell r="V39">
            <v>2737</v>
          </cell>
          <cell r="W39">
            <v>4149</v>
          </cell>
        </row>
        <row r="40">
          <cell r="F40" t="str">
            <v>UBO</v>
          </cell>
          <cell r="G40" t="str">
            <v>NO</v>
          </cell>
          <cell r="I40">
            <v>0.53852596314907875</v>
          </cell>
          <cell r="J40">
            <v>0.37</v>
          </cell>
          <cell r="K40">
            <v>0.52112676056338025</v>
          </cell>
          <cell r="L40">
            <v>0.57673667205169632</v>
          </cell>
          <cell r="M40">
            <v>0.58879184861717615</v>
          </cell>
          <cell r="N40">
            <v>1194</v>
          </cell>
          <cell r="O40">
            <v>400</v>
          </cell>
          <cell r="P40">
            <v>1278</v>
          </cell>
          <cell r="Q40">
            <v>1238</v>
          </cell>
          <cell r="R40">
            <v>1374</v>
          </cell>
          <cell r="S40">
            <v>643</v>
          </cell>
          <cell r="T40">
            <v>148</v>
          </cell>
          <cell r="U40">
            <v>666</v>
          </cell>
          <cell r="V40">
            <v>714</v>
          </cell>
          <cell r="W40">
            <v>809</v>
          </cell>
        </row>
        <row r="41">
          <cell r="F41">
            <v>0</v>
          </cell>
          <cell r="G41" t="str">
            <v>NO</v>
          </cell>
          <cell r="I41">
            <v>0.17765042979942694</v>
          </cell>
          <cell r="J41">
            <v>0.2058252427184466</v>
          </cell>
          <cell r="K41">
            <v>0.17391304347826086</v>
          </cell>
          <cell r="L41">
            <v>0.23798076923076922</v>
          </cell>
          <cell r="M41">
            <v>0.28729838709677419</v>
          </cell>
          <cell r="N41">
            <v>349</v>
          </cell>
          <cell r="O41">
            <v>1030</v>
          </cell>
          <cell r="P41">
            <v>460</v>
          </cell>
          <cell r="Q41">
            <v>416</v>
          </cell>
          <cell r="R41">
            <v>992</v>
          </cell>
          <cell r="S41">
            <v>62</v>
          </cell>
          <cell r="T41">
            <v>212</v>
          </cell>
          <cell r="U41">
            <v>80</v>
          </cell>
          <cell r="V41">
            <v>99</v>
          </cell>
          <cell r="W41">
            <v>285</v>
          </cell>
        </row>
        <row r="42">
          <cell r="F42" t="str">
            <v>UCS</v>
          </cell>
          <cell r="G42" t="str">
            <v>Sí</v>
          </cell>
          <cell r="I42">
            <v>0.44831223628691985</v>
          </cell>
          <cell r="J42">
            <v>0.55592105263157898</v>
          </cell>
          <cell r="K42">
            <v>0.54957507082152979</v>
          </cell>
          <cell r="L42">
            <v>0.58289241622574961</v>
          </cell>
          <cell r="M42">
            <v>0.81757656458055927</v>
          </cell>
          <cell r="N42">
            <v>948</v>
          </cell>
          <cell r="O42">
            <v>912</v>
          </cell>
          <cell r="P42">
            <v>1059</v>
          </cell>
          <cell r="Q42">
            <v>1134</v>
          </cell>
          <cell r="R42">
            <v>1502</v>
          </cell>
          <cell r="S42">
            <v>425</v>
          </cell>
          <cell r="T42">
            <v>507</v>
          </cell>
          <cell r="U42">
            <v>582</v>
          </cell>
          <cell r="V42">
            <v>661</v>
          </cell>
          <cell r="W42">
            <v>1228</v>
          </cell>
        </row>
        <row r="43">
          <cell r="F43" t="str">
            <v>UCE</v>
          </cell>
          <cell r="G43" t="str">
            <v>NO</v>
          </cell>
          <cell r="I43">
            <v>0.54289166331051153</v>
          </cell>
          <cell r="J43">
            <v>0.5735115431348724</v>
          </cell>
          <cell r="K43">
            <v>0.59445337620578775</v>
          </cell>
          <cell r="L43">
            <v>0.53638344226579515</v>
          </cell>
          <cell r="M43">
            <v>0.50074074074074071</v>
          </cell>
          <cell r="N43">
            <v>2483</v>
          </cell>
          <cell r="O43">
            <v>2469</v>
          </cell>
          <cell r="P43">
            <v>2488</v>
          </cell>
          <cell r="Q43">
            <v>2295</v>
          </cell>
          <cell r="R43">
            <v>2025</v>
          </cell>
          <cell r="S43">
            <v>1348</v>
          </cell>
          <cell r="T43">
            <v>1416</v>
          </cell>
          <cell r="U43">
            <v>1479</v>
          </cell>
          <cell r="V43">
            <v>1231</v>
          </cell>
          <cell r="W43">
            <v>1014</v>
          </cell>
        </row>
        <row r="44">
          <cell r="F44">
            <v>0</v>
          </cell>
          <cell r="G44" t="str">
            <v>NO</v>
          </cell>
          <cell r="I44">
            <v>0.10752688172043011</v>
          </cell>
          <cell r="J44">
            <v>0.12380952380952381</v>
          </cell>
          <cell r="K44">
            <v>0.20143884892086331</v>
          </cell>
          <cell r="L44">
            <v>0.18939393939393939</v>
          </cell>
          <cell r="M44">
            <v>0.20833333333333334</v>
          </cell>
          <cell r="N44">
            <v>93</v>
          </cell>
          <cell r="O44">
            <v>105</v>
          </cell>
          <cell r="P44">
            <v>139</v>
          </cell>
          <cell r="Q44">
            <v>132</v>
          </cell>
          <cell r="R44">
            <v>120</v>
          </cell>
          <cell r="S44">
            <v>10</v>
          </cell>
          <cell r="T44">
            <v>13</v>
          </cell>
          <cell r="U44">
            <v>28</v>
          </cell>
          <cell r="V44">
            <v>25</v>
          </cell>
          <cell r="W44">
            <v>25</v>
          </cell>
        </row>
        <row r="45">
          <cell r="F45">
            <v>0</v>
          </cell>
          <cell r="G45" t="str">
            <v>NO</v>
          </cell>
          <cell r="I45">
            <v>0.18237082066869301</v>
          </cell>
          <cell r="J45">
            <v>0.18704379562043796</v>
          </cell>
          <cell r="K45">
            <v>0.25979680696661828</v>
          </cell>
          <cell r="L45">
            <v>0.30434782608695654</v>
          </cell>
          <cell r="M45">
            <v>0.33590308370044053</v>
          </cell>
          <cell r="N45">
            <v>1316</v>
          </cell>
          <cell r="O45">
            <v>1096</v>
          </cell>
          <cell r="P45">
            <v>689</v>
          </cell>
          <cell r="Q45">
            <v>1081</v>
          </cell>
          <cell r="R45">
            <v>908</v>
          </cell>
          <cell r="S45">
            <v>240</v>
          </cell>
          <cell r="T45">
            <v>205</v>
          </cell>
          <cell r="U45">
            <v>179</v>
          </cell>
          <cell r="V45">
            <v>329</v>
          </cell>
          <cell r="W45">
            <v>305</v>
          </cell>
        </row>
        <row r="46">
          <cell r="F46">
            <v>0</v>
          </cell>
          <cell r="G46" t="str">
            <v>NO</v>
          </cell>
          <cell r="I46">
            <v>0.417940876656473</v>
          </cell>
          <cell r="J46">
            <v>0.46642246642246643</v>
          </cell>
          <cell r="K46">
            <v>0.4796854521625164</v>
          </cell>
          <cell r="L46">
            <v>0</v>
          </cell>
          <cell r="M46">
            <v>0.33333333333333331</v>
          </cell>
          <cell r="N46">
            <v>981</v>
          </cell>
          <cell r="O46">
            <v>819</v>
          </cell>
          <cell r="P46">
            <v>763</v>
          </cell>
          <cell r="Q46">
            <v>0</v>
          </cell>
          <cell r="R46">
            <v>33</v>
          </cell>
          <cell r="S46">
            <v>410</v>
          </cell>
          <cell r="T46">
            <v>382</v>
          </cell>
          <cell r="U46">
            <v>366</v>
          </cell>
          <cell r="V46">
            <v>0</v>
          </cell>
          <cell r="W46">
            <v>11</v>
          </cell>
        </row>
        <row r="47">
          <cell r="F47">
            <v>0</v>
          </cell>
          <cell r="G47" t="str">
            <v>NO</v>
          </cell>
          <cell r="I47">
            <v>0.11253196930946291</v>
          </cell>
          <cell r="J47">
            <v>0.14606741573033707</v>
          </cell>
          <cell r="K47">
            <v>0.20357142857142857</v>
          </cell>
          <cell r="L47">
            <v>0.22479564032697547</v>
          </cell>
          <cell r="M47">
            <v>0.24376731301939059</v>
          </cell>
          <cell r="N47">
            <v>782</v>
          </cell>
          <cell r="O47">
            <v>534</v>
          </cell>
          <cell r="P47">
            <v>560</v>
          </cell>
          <cell r="Q47">
            <v>734</v>
          </cell>
          <cell r="R47">
            <v>722</v>
          </cell>
          <cell r="S47">
            <v>88</v>
          </cell>
          <cell r="T47">
            <v>78</v>
          </cell>
          <cell r="U47">
            <v>114</v>
          </cell>
          <cell r="V47">
            <v>165</v>
          </cell>
          <cell r="W47">
            <v>176</v>
          </cell>
        </row>
        <row r="48">
          <cell r="F48">
            <v>0</v>
          </cell>
          <cell r="G48" t="str">
            <v>NO</v>
          </cell>
          <cell r="I48">
            <v>0.45065838141736941</v>
          </cell>
          <cell r="J48">
            <v>0.48454070201643018</v>
          </cell>
          <cell r="K48">
            <v>0.3836967808930426</v>
          </cell>
          <cell r="L48">
            <v>0.39352226720647776</v>
          </cell>
          <cell r="M48">
            <v>0.48015034061545692</v>
          </cell>
          <cell r="N48">
            <v>6759</v>
          </cell>
          <cell r="O48">
            <v>6695</v>
          </cell>
          <cell r="P48">
            <v>3852</v>
          </cell>
          <cell r="Q48">
            <v>3705</v>
          </cell>
          <cell r="R48">
            <v>4257</v>
          </cell>
          <cell r="S48">
            <v>3046</v>
          </cell>
          <cell r="T48">
            <v>3244</v>
          </cell>
          <cell r="U48">
            <v>1478</v>
          </cell>
          <cell r="V48">
            <v>1458</v>
          </cell>
          <cell r="W48">
            <v>2044</v>
          </cell>
        </row>
        <row r="49">
          <cell r="F49" t="str">
            <v>UAN</v>
          </cell>
          <cell r="G49" t="str">
            <v>NO</v>
          </cell>
          <cell r="I49">
            <v>0.10035419126328217</v>
          </cell>
          <cell r="J49">
            <v>9.9911582670203364E-2</v>
          </cell>
          <cell r="K49">
            <v>9.3648208469055375E-2</v>
          </cell>
          <cell r="L49">
            <v>9.5973154362416102E-2</v>
          </cell>
          <cell r="M49">
            <v>0.10396825396825397</v>
          </cell>
          <cell r="N49">
            <v>847</v>
          </cell>
          <cell r="O49">
            <v>1131</v>
          </cell>
          <cell r="P49">
            <v>1228</v>
          </cell>
          <cell r="Q49">
            <v>1490</v>
          </cell>
          <cell r="R49">
            <v>1260</v>
          </cell>
          <cell r="S49">
            <v>85</v>
          </cell>
          <cell r="T49">
            <v>113</v>
          </cell>
          <cell r="U49">
            <v>115</v>
          </cell>
          <cell r="V49">
            <v>143</v>
          </cell>
          <cell r="W49">
            <v>131</v>
          </cell>
        </row>
        <row r="50">
          <cell r="F50" t="str">
            <v>UVM</v>
          </cell>
          <cell r="G50" t="str">
            <v>NO</v>
          </cell>
          <cell r="I50">
            <v>0.48609625668449197</v>
          </cell>
          <cell r="J50">
            <v>0.54300168634064083</v>
          </cell>
          <cell r="K50">
            <v>0.56441717791411039</v>
          </cell>
          <cell r="L50">
            <v>0.56050955414012738</v>
          </cell>
          <cell r="M50">
            <v>0.57415355269432522</v>
          </cell>
          <cell r="N50">
            <v>1870</v>
          </cell>
          <cell r="O50">
            <v>1186</v>
          </cell>
          <cell r="P50">
            <v>1956</v>
          </cell>
          <cell r="Q50">
            <v>1884</v>
          </cell>
          <cell r="R50">
            <v>2097</v>
          </cell>
          <cell r="S50">
            <v>909</v>
          </cell>
          <cell r="T50">
            <v>644</v>
          </cell>
          <cell r="U50">
            <v>1104</v>
          </cell>
          <cell r="V50">
            <v>1056</v>
          </cell>
          <cell r="W50">
            <v>1204</v>
          </cell>
        </row>
        <row r="51">
          <cell r="F51" t="str">
            <v>UDD</v>
          </cell>
          <cell r="G51" t="str">
            <v>NO</v>
          </cell>
          <cell r="I51">
            <v>0.17700112739571588</v>
          </cell>
          <cell r="J51">
            <v>0.17885532591414943</v>
          </cell>
          <cell r="K51">
            <v>0.19187898089171976</v>
          </cell>
          <cell r="L51">
            <v>0.19924953095684803</v>
          </cell>
          <cell r="M51">
            <v>0.1906147690069116</v>
          </cell>
          <cell r="N51">
            <v>2661</v>
          </cell>
          <cell r="O51">
            <v>2516</v>
          </cell>
          <cell r="P51">
            <v>2512</v>
          </cell>
          <cell r="Q51">
            <v>2665</v>
          </cell>
          <cell r="R51">
            <v>2749</v>
          </cell>
          <cell r="S51">
            <v>471</v>
          </cell>
          <cell r="T51">
            <v>450</v>
          </cell>
          <cell r="U51">
            <v>482</v>
          </cell>
          <cell r="V51">
            <v>531</v>
          </cell>
          <cell r="W51">
            <v>524</v>
          </cell>
        </row>
        <row r="52">
          <cell r="F52">
            <v>0</v>
          </cell>
          <cell r="G52" t="str">
            <v>NO</v>
          </cell>
          <cell r="I52">
            <v>0.38678387390118218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3299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1276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F53" t="str">
            <v>UPO</v>
          </cell>
          <cell r="G53" t="str">
            <v>NO</v>
          </cell>
          <cell r="I53">
            <v>0.35604395604395606</v>
          </cell>
          <cell r="J53">
            <v>0.36319018404907977</v>
          </cell>
          <cell r="K53">
            <v>0.36484687083888151</v>
          </cell>
          <cell r="L53">
            <v>0.30078125</v>
          </cell>
          <cell r="M53">
            <v>0.35294117647058826</v>
          </cell>
          <cell r="N53">
            <v>910</v>
          </cell>
          <cell r="O53">
            <v>815</v>
          </cell>
          <cell r="P53">
            <v>751</v>
          </cell>
          <cell r="Q53">
            <v>512</v>
          </cell>
          <cell r="R53">
            <v>561</v>
          </cell>
          <cell r="S53">
            <v>324</v>
          </cell>
          <cell r="T53">
            <v>296</v>
          </cell>
          <cell r="U53">
            <v>274</v>
          </cell>
          <cell r="V53">
            <v>154</v>
          </cell>
          <cell r="W53">
            <v>198</v>
          </cell>
        </row>
        <row r="54">
          <cell r="F54" t="str">
            <v>UDP</v>
          </cell>
          <cell r="G54" t="str">
            <v>Sí</v>
          </cell>
          <cell r="I54">
            <v>0.29138276553106213</v>
          </cell>
          <cell r="J54">
            <v>0.36324479540559945</v>
          </cell>
          <cell r="K54">
            <v>0.39039887045534771</v>
          </cell>
          <cell r="L54">
            <v>0.36712425202393523</v>
          </cell>
          <cell r="M54">
            <v>0.54106280193236711</v>
          </cell>
          <cell r="N54">
            <v>2495</v>
          </cell>
          <cell r="O54">
            <v>2786</v>
          </cell>
          <cell r="P54">
            <v>2833</v>
          </cell>
          <cell r="Q54">
            <v>2841</v>
          </cell>
          <cell r="R54">
            <v>3105</v>
          </cell>
          <cell r="S54">
            <v>727</v>
          </cell>
          <cell r="T54">
            <v>1012</v>
          </cell>
          <cell r="U54">
            <v>1106</v>
          </cell>
          <cell r="V54">
            <v>1043</v>
          </cell>
          <cell r="W54">
            <v>1680</v>
          </cell>
        </row>
        <row r="55">
          <cell r="F55" t="str">
            <v>UFT</v>
          </cell>
          <cell r="G55" t="str">
            <v>Sí</v>
          </cell>
          <cell r="I55">
            <v>0.26178010471204188</v>
          </cell>
          <cell r="J55">
            <v>0.32300884955752213</v>
          </cell>
          <cell r="K55">
            <v>0.3080851063829787</v>
          </cell>
          <cell r="L55">
            <v>0.32340425531914896</v>
          </cell>
          <cell r="M55">
            <v>0.62418879056047194</v>
          </cell>
          <cell r="N55">
            <v>1146</v>
          </cell>
          <cell r="O55">
            <v>1130</v>
          </cell>
          <cell r="P55">
            <v>1175</v>
          </cell>
          <cell r="Q55">
            <v>1410</v>
          </cell>
          <cell r="R55">
            <v>1695</v>
          </cell>
          <cell r="S55">
            <v>300</v>
          </cell>
          <cell r="T55">
            <v>365</v>
          </cell>
          <cell r="U55">
            <v>362</v>
          </cell>
          <cell r="V55">
            <v>456</v>
          </cell>
          <cell r="W55">
            <v>1058</v>
          </cell>
        </row>
      </sheetData>
      <sheetData sheetId="6">
        <row r="10">
          <cell r="E10" t="str">
            <v>PUC</v>
          </cell>
          <cell r="F10" t="str">
            <v>Sí</v>
          </cell>
          <cell r="G10">
            <v>0.89298626174981921</v>
          </cell>
          <cell r="H10">
            <v>0.85682372055239642</v>
          </cell>
          <cell r="I10">
            <v>0.86888078325974272</v>
          </cell>
          <cell r="J10">
            <v>0.89136704479907714</v>
          </cell>
          <cell r="K10">
            <v>0.88490709139173307</v>
          </cell>
          <cell r="L10">
            <v>4149</v>
          </cell>
          <cell r="M10">
            <v>4924</v>
          </cell>
          <cell r="N10">
            <v>5209</v>
          </cell>
          <cell r="O10">
            <v>5201</v>
          </cell>
          <cell r="P10">
            <v>5274</v>
          </cell>
          <cell r="Q10">
            <v>3705</v>
          </cell>
          <cell r="R10">
            <v>4219</v>
          </cell>
          <cell r="S10">
            <v>4526</v>
          </cell>
          <cell r="T10">
            <v>4636</v>
          </cell>
          <cell r="U10">
            <v>4667</v>
          </cell>
        </row>
        <row r="11">
          <cell r="E11" t="str">
            <v>UCV</v>
          </cell>
          <cell r="F11" t="str">
            <v>Sí</v>
          </cell>
          <cell r="G11">
            <v>0.75047558655675328</v>
          </cell>
          <cell r="H11">
            <v>0.75885103540414167</v>
          </cell>
          <cell r="I11">
            <v>0.75530586766541818</v>
          </cell>
          <cell r="J11">
            <v>0.79987492182614128</v>
          </cell>
          <cell r="K11">
            <v>0.79939117199391174</v>
          </cell>
          <cell r="L11">
            <v>3154</v>
          </cell>
          <cell r="M11">
            <v>2994</v>
          </cell>
          <cell r="N11">
            <v>3204</v>
          </cell>
          <cell r="O11">
            <v>3198</v>
          </cell>
          <cell r="P11">
            <v>3285</v>
          </cell>
          <cell r="Q11">
            <v>2367</v>
          </cell>
          <cell r="R11">
            <v>2272</v>
          </cell>
          <cell r="S11">
            <v>2420</v>
          </cell>
          <cell r="T11">
            <v>2558</v>
          </cell>
          <cell r="U11">
            <v>2626</v>
          </cell>
        </row>
        <row r="12">
          <cell r="E12" t="str">
            <v>UAP</v>
          </cell>
          <cell r="F12" t="str">
            <v>Sí</v>
          </cell>
          <cell r="G12">
            <v>0.59238095238095234</v>
          </cell>
          <cell r="H12">
            <v>0.75375375375375375</v>
          </cell>
          <cell r="I12">
            <v>0.69700103412616343</v>
          </cell>
          <cell r="J12">
            <v>0.74806201550387597</v>
          </cell>
          <cell r="K12">
            <v>0.71413390010626998</v>
          </cell>
          <cell r="L12">
            <v>1050</v>
          </cell>
          <cell r="M12">
            <v>999</v>
          </cell>
          <cell r="N12">
            <v>967</v>
          </cell>
          <cell r="O12">
            <v>1032</v>
          </cell>
          <cell r="P12">
            <v>941</v>
          </cell>
          <cell r="Q12">
            <v>622</v>
          </cell>
          <cell r="R12">
            <v>753</v>
          </cell>
          <cell r="S12">
            <v>674</v>
          </cell>
          <cell r="T12">
            <v>772</v>
          </cell>
          <cell r="U12">
            <v>672</v>
          </cell>
        </row>
        <row r="13">
          <cell r="E13" t="str">
            <v>AUS</v>
          </cell>
          <cell r="F13" t="str">
            <v>Sí</v>
          </cell>
          <cell r="G13">
            <v>0.80495477782147073</v>
          </cell>
          <cell r="H13">
            <v>0.82813816343723679</v>
          </cell>
          <cell r="I13">
            <v>0.82636060718252502</v>
          </cell>
          <cell r="J13">
            <v>0.82806252271901126</v>
          </cell>
          <cell r="K13">
            <v>0.81880108991825618</v>
          </cell>
          <cell r="L13">
            <v>2543</v>
          </cell>
          <cell r="M13">
            <v>2374</v>
          </cell>
          <cell r="N13">
            <v>2701</v>
          </cell>
          <cell r="O13">
            <v>2751</v>
          </cell>
          <cell r="P13">
            <v>2936</v>
          </cell>
          <cell r="Q13">
            <v>2047</v>
          </cell>
          <cell r="R13">
            <v>1966</v>
          </cell>
          <cell r="S13">
            <v>2232</v>
          </cell>
          <cell r="T13">
            <v>2278</v>
          </cell>
          <cell r="U13">
            <v>2404</v>
          </cell>
        </row>
        <row r="14">
          <cell r="E14" t="str">
            <v>USC</v>
          </cell>
          <cell r="F14" t="str">
            <v>Sí</v>
          </cell>
          <cell r="G14">
            <v>0.81583287520615722</v>
          </cell>
          <cell r="H14">
            <v>0.8288912579957356</v>
          </cell>
          <cell r="I14">
            <v>0.83742534837425353</v>
          </cell>
          <cell r="J14">
            <v>0.85072886297376094</v>
          </cell>
          <cell r="K14">
            <v>0.83566238121855785</v>
          </cell>
          <cell r="L14">
            <v>1819</v>
          </cell>
          <cell r="M14">
            <v>1876</v>
          </cell>
          <cell r="N14">
            <v>1507</v>
          </cell>
          <cell r="O14">
            <v>1715</v>
          </cell>
          <cell r="P14">
            <v>1789</v>
          </cell>
          <cell r="Q14">
            <v>1484</v>
          </cell>
          <cell r="R14">
            <v>1555</v>
          </cell>
          <cell r="S14">
            <v>1262</v>
          </cell>
          <cell r="T14">
            <v>1459</v>
          </cell>
          <cell r="U14">
            <v>1495</v>
          </cell>
        </row>
        <row r="15">
          <cell r="E15" t="str">
            <v>UCT</v>
          </cell>
          <cell r="F15" t="str">
            <v>Sí</v>
          </cell>
          <cell r="G15">
            <v>0.75808457711442789</v>
          </cell>
          <cell r="H15">
            <v>0.80024286581663628</v>
          </cell>
          <cell r="I15">
            <v>0.82510964912280704</v>
          </cell>
          <cell r="J15">
            <v>0.84678845020624627</v>
          </cell>
          <cell r="K15">
            <v>0.81775700934579443</v>
          </cell>
          <cell r="L15">
            <v>1608</v>
          </cell>
          <cell r="M15">
            <v>1647</v>
          </cell>
          <cell r="N15">
            <v>1824</v>
          </cell>
          <cell r="O15">
            <v>1697</v>
          </cell>
          <cell r="P15">
            <v>1926</v>
          </cell>
          <cell r="Q15">
            <v>1219</v>
          </cell>
          <cell r="R15">
            <v>1318</v>
          </cell>
          <cell r="S15">
            <v>1505</v>
          </cell>
          <cell r="T15">
            <v>1437</v>
          </cell>
          <cell r="U15">
            <v>1575</v>
          </cell>
        </row>
        <row r="16">
          <cell r="E16" t="str">
            <v>UCM</v>
          </cell>
          <cell r="F16" t="str">
            <v>Sí</v>
          </cell>
          <cell r="G16">
            <v>0.83007047768206732</v>
          </cell>
          <cell r="H16">
            <v>0.90519877675840976</v>
          </cell>
          <cell r="I16">
            <v>0.86107290233837686</v>
          </cell>
          <cell r="J16">
            <v>0.85092250922509227</v>
          </cell>
          <cell r="K16">
            <v>0.8776520509193777</v>
          </cell>
          <cell r="L16">
            <v>1277</v>
          </cell>
          <cell r="M16">
            <v>1308</v>
          </cell>
          <cell r="N16">
            <v>1454</v>
          </cell>
          <cell r="O16">
            <v>1355</v>
          </cell>
          <cell r="P16">
            <v>1414</v>
          </cell>
          <cell r="Q16">
            <v>1060</v>
          </cell>
          <cell r="R16">
            <v>1184</v>
          </cell>
          <cell r="S16">
            <v>1252</v>
          </cell>
          <cell r="T16">
            <v>1153</v>
          </cell>
          <cell r="U16">
            <v>1241</v>
          </cell>
        </row>
        <row r="17">
          <cell r="E17" t="str">
            <v>UCN</v>
          </cell>
          <cell r="F17" t="str">
            <v>Sí</v>
          </cell>
          <cell r="G17">
            <v>0.74725877192982459</v>
          </cell>
          <cell r="H17">
            <v>0.79702687249857063</v>
          </cell>
          <cell r="I17">
            <v>0.82404997397188962</v>
          </cell>
          <cell r="J17">
            <v>0.80914407230196705</v>
          </cell>
          <cell r="K17">
            <v>0.81589743589743591</v>
          </cell>
          <cell r="L17">
            <v>1824</v>
          </cell>
          <cell r="M17">
            <v>1749</v>
          </cell>
          <cell r="N17">
            <v>1921</v>
          </cell>
          <cell r="O17">
            <v>1881</v>
          </cell>
          <cell r="P17">
            <v>1950</v>
          </cell>
          <cell r="Q17">
            <v>1363</v>
          </cell>
          <cell r="R17">
            <v>1394</v>
          </cell>
          <cell r="S17">
            <v>1583</v>
          </cell>
          <cell r="T17">
            <v>1522</v>
          </cell>
          <cell r="U17">
            <v>1591</v>
          </cell>
        </row>
        <row r="18">
          <cell r="E18" t="str">
            <v>ANT</v>
          </cell>
          <cell r="F18" t="str">
            <v>Sí</v>
          </cell>
          <cell r="G18">
            <v>0.76744186046511631</v>
          </cell>
          <cell r="H18">
            <v>0.84669338677354711</v>
          </cell>
          <cell r="I18">
            <v>0.81341911764705888</v>
          </cell>
          <cell r="J18">
            <v>0.8433420365535248</v>
          </cell>
          <cell r="K18">
            <v>0.80489864864864868</v>
          </cell>
          <cell r="L18">
            <v>817</v>
          </cell>
          <cell r="M18">
            <v>998</v>
          </cell>
          <cell r="N18">
            <v>1088</v>
          </cell>
          <cell r="O18">
            <v>1149</v>
          </cell>
          <cell r="P18">
            <v>1184</v>
          </cell>
          <cell r="Q18">
            <v>627</v>
          </cell>
          <cell r="R18">
            <v>845</v>
          </cell>
          <cell r="S18">
            <v>885</v>
          </cell>
          <cell r="T18">
            <v>969</v>
          </cell>
          <cell r="U18">
            <v>953</v>
          </cell>
        </row>
        <row r="19">
          <cell r="E19" t="str">
            <v>ATA</v>
          </cell>
          <cell r="F19" t="str">
            <v>Sí</v>
          </cell>
          <cell r="G19">
            <v>0.67192429022082023</v>
          </cell>
          <cell r="H19">
            <v>0.74014598540145982</v>
          </cell>
          <cell r="I19">
            <v>0.80804020100502516</v>
          </cell>
          <cell r="J19">
            <v>0.70819304152637486</v>
          </cell>
          <cell r="K19">
            <v>0.7467980295566502</v>
          </cell>
          <cell r="L19">
            <v>634</v>
          </cell>
          <cell r="M19">
            <v>685</v>
          </cell>
          <cell r="N19">
            <v>995</v>
          </cell>
          <cell r="O19">
            <v>891</v>
          </cell>
          <cell r="P19">
            <v>1015</v>
          </cell>
          <cell r="Q19">
            <v>426</v>
          </cell>
          <cell r="R19">
            <v>507</v>
          </cell>
          <cell r="S19">
            <v>804</v>
          </cell>
          <cell r="T19">
            <v>631</v>
          </cell>
          <cell r="U19">
            <v>758</v>
          </cell>
        </row>
        <row r="20">
          <cell r="E20" t="str">
            <v>UCH</v>
          </cell>
          <cell r="F20" t="str">
            <v>Sí</v>
          </cell>
          <cell r="G20">
            <v>0.8391969787318625</v>
          </cell>
          <cell r="H20">
            <v>0.84856344772545889</v>
          </cell>
          <cell r="I20">
            <v>0.82985187998480825</v>
          </cell>
          <cell r="J20">
            <v>0.83977110157367663</v>
          </cell>
          <cell r="K20">
            <v>0.83457249070631967</v>
          </cell>
          <cell r="L20">
            <v>5031</v>
          </cell>
          <cell r="M20">
            <v>5012</v>
          </cell>
          <cell r="N20">
            <v>5266</v>
          </cell>
          <cell r="O20">
            <v>5592</v>
          </cell>
          <cell r="P20">
            <v>5918</v>
          </cell>
          <cell r="Q20">
            <v>4222</v>
          </cell>
          <cell r="R20">
            <v>4253</v>
          </cell>
          <cell r="S20">
            <v>4370</v>
          </cell>
          <cell r="T20">
            <v>4696</v>
          </cell>
          <cell r="U20">
            <v>4939</v>
          </cell>
        </row>
        <row r="21">
          <cell r="E21" t="str">
            <v>UCO</v>
          </cell>
          <cell r="F21" t="str">
            <v>Sí</v>
          </cell>
          <cell r="G21">
            <v>0.79117835073513743</v>
          </cell>
          <cell r="H21">
            <v>0.80757031084795938</v>
          </cell>
          <cell r="I21">
            <v>0.8164328657314629</v>
          </cell>
          <cell r="J21">
            <v>0.80204125026578776</v>
          </cell>
          <cell r="K21">
            <v>0.8</v>
          </cell>
          <cell r="L21">
            <v>4693</v>
          </cell>
          <cell r="M21">
            <v>4729</v>
          </cell>
          <cell r="N21">
            <v>4990</v>
          </cell>
          <cell r="O21">
            <v>4703</v>
          </cell>
          <cell r="P21">
            <v>4875</v>
          </cell>
          <cell r="Q21">
            <v>3713</v>
          </cell>
          <cell r="R21">
            <v>3819</v>
          </cell>
          <cell r="S21">
            <v>4074</v>
          </cell>
          <cell r="T21">
            <v>3772</v>
          </cell>
          <cell r="U21">
            <v>3900</v>
          </cell>
        </row>
        <row r="22">
          <cell r="E22" t="str">
            <v>FRO</v>
          </cell>
          <cell r="F22" t="str">
            <v>Sí</v>
          </cell>
          <cell r="G22">
            <v>0.82997762863534674</v>
          </cell>
          <cell r="H22">
            <v>0.85479733196511032</v>
          </cell>
          <cell r="I22">
            <v>0.83732789393166751</v>
          </cell>
          <cell r="J22">
            <v>0.84185556141275697</v>
          </cell>
          <cell r="K22">
            <v>0.83824239497827135</v>
          </cell>
          <cell r="L22">
            <v>1788</v>
          </cell>
          <cell r="M22">
            <v>1949</v>
          </cell>
          <cell r="N22">
            <v>1961</v>
          </cell>
          <cell r="O22">
            <v>1897</v>
          </cell>
          <cell r="P22">
            <v>2071</v>
          </cell>
          <cell r="Q22">
            <v>1484</v>
          </cell>
          <cell r="R22">
            <v>1666</v>
          </cell>
          <cell r="S22">
            <v>1642</v>
          </cell>
          <cell r="T22">
            <v>1597</v>
          </cell>
          <cell r="U22">
            <v>1736</v>
          </cell>
        </row>
        <row r="23">
          <cell r="E23" t="str">
            <v>ULS</v>
          </cell>
          <cell r="F23" t="str">
            <v>Sí</v>
          </cell>
          <cell r="G23">
            <v>0.78412911903160731</v>
          </cell>
          <cell r="H23">
            <v>0.8282763072950291</v>
          </cell>
          <cell r="I23">
            <v>0.78045763760049469</v>
          </cell>
          <cell r="J23">
            <v>0.79430789133247093</v>
          </cell>
          <cell r="K23">
            <v>0.76452410383189118</v>
          </cell>
          <cell r="L23">
            <v>1487</v>
          </cell>
          <cell r="M23">
            <v>1549</v>
          </cell>
          <cell r="N23">
            <v>1617</v>
          </cell>
          <cell r="O23">
            <v>1546</v>
          </cell>
          <cell r="P23">
            <v>1618</v>
          </cell>
          <cell r="Q23">
            <v>1166</v>
          </cell>
          <cell r="R23">
            <v>1283</v>
          </cell>
          <cell r="S23">
            <v>1262</v>
          </cell>
          <cell r="T23">
            <v>1228</v>
          </cell>
          <cell r="U23">
            <v>1237</v>
          </cell>
        </row>
        <row r="24">
          <cell r="E24" t="str">
            <v>ULA</v>
          </cell>
          <cell r="F24" t="str">
            <v>Sí</v>
          </cell>
          <cell r="G24">
            <v>0.77974683544303802</v>
          </cell>
          <cell r="H24">
            <v>0.85825545171339568</v>
          </cell>
          <cell r="I24">
            <v>0.78331090174966356</v>
          </cell>
          <cell r="J24">
            <v>0.80564971751412429</v>
          </cell>
          <cell r="K24">
            <v>0.83471074380165289</v>
          </cell>
          <cell r="L24">
            <v>790</v>
          </cell>
          <cell r="M24">
            <v>642</v>
          </cell>
          <cell r="N24">
            <v>743</v>
          </cell>
          <cell r="O24">
            <v>885</v>
          </cell>
          <cell r="P24">
            <v>847</v>
          </cell>
          <cell r="Q24">
            <v>616</v>
          </cell>
          <cell r="R24">
            <v>551</v>
          </cell>
          <cell r="S24">
            <v>582</v>
          </cell>
          <cell r="T24">
            <v>713</v>
          </cell>
          <cell r="U24">
            <v>707</v>
          </cell>
        </row>
        <row r="25">
          <cell r="E25" t="str">
            <v>MAG</v>
          </cell>
          <cell r="F25" t="str">
            <v>Sí</v>
          </cell>
          <cell r="G25">
            <v>0.80842105263157893</v>
          </cell>
          <cell r="H25">
            <v>0.80090497737556565</v>
          </cell>
          <cell r="I25">
            <v>0.80991735537190079</v>
          </cell>
          <cell r="J25">
            <v>0.83542039355992848</v>
          </cell>
          <cell r="K25">
            <v>0.80059970014992499</v>
          </cell>
          <cell r="L25">
            <v>475</v>
          </cell>
          <cell r="M25">
            <v>442</v>
          </cell>
          <cell r="N25">
            <v>605</v>
          </cell>
          <cell r="O25">
            <v>559</v>
          </cell>
          <cell r="P25">
            <v>667</v>
          </cell>
          <cell r="Q25">
            <v>384</v>
          </cell>
          <cell r="R25">
            <v>354</v>
          </cell>
          <cell r="S25">
            <v>490</v>
          </cell>
          <cell r="T25">
            <v>467</v>
          </cell>
          <cell r="U25">
            <v>534</v>
          </cell>
        </row>
        <row r="26">
          <cell r="E26" t="str">
            <v>UPA</v>
          </cell>
          <cell r="F26" t="str">
            <v>Sí</v>
          </cell>
          <cell r="G26">
            <v>0.75848416289592757</v>
          </cell>
          <cell r="H26">
            <v>0.80068027210884352</v>
          </cell>
          <cell r="I26">
            <v>0.74563242487770787</v>
          </cell>
          <cell r="J26">
            <v>0.78206026629292225</v>
          </cell>
          <cell r="K26">
            <v>0.76256499133448874</v>
          </cell>
          <cell r="L26">
            <v>1768</v>
          </cell>
          <cell r="M26">
            <v>1470</v>
          </cell>
          <cell r="N26">
            <v>1431</v>
          </cell>
          <cell r="O26">
            <v>1427</v>
          </cell>
          <cell r="P26">
            <v>1731</v>
          </cell>
          <cell r="Q26">
            <v>1341</v>
          </cell>
          <cell r="R26">
            <v>1177</v>
          </cell>
          <cell r="S26">
            <v>1067</v>
          </cell>
          <cell r="T26">
            <v>1116</v>
          </cell>
          <cell r="U26">
            <v>1320</v>
          </cell>
        </row>
        <row r="27">
          <cell r="E27" t="str">
            <v>USA</v>
          </cell>
          <cell r="F27" t="str">
            <v>Sí</v>
          </cell>
          <cell r="G27">
            <v>0.75928143712574847</v>
          </cell>
          <cell r="H27">
            <v>0.8294005966910768</v>
          </cell>
          <cell r="I27">
            <v>0.80099040544722999</v>
          </cell>
          <cell r="J27">
            <v>0.79994721562417526</v>
          </cell>
          <cell r="K27">
            <v>0.75778210116731515</v>
          </cell>
          <cell r="L27">
            <v>3340</v>
          </cell>
          <cell r="M27">
            <v>3687</v>
          </cell>
          <cell r="N27">
            <v>3231</v>
          </cell>
          <cell r="O27">
            <v>3789</v>
          </cell>
          <cell r="P27">
            <v>4112</v>
          </cell>
          <cell r="Q27">
            <v>2536</v>
          </cell>
          <cell r="R27">
            <v>3058</v>
          </cell>
          <cell r="S27">
            <v>2588</v>
          </cell>
          <cell r="T27">
            <v>3031</v>
          </cell>
          <cell r="U27">
            <v>3116</v>
          </cell>
        </row>
        <row r="28">
          <cell r="E28" t="str">
            <v>TAL</v>
          </cell>
          <cell r="F28" t="str">
            <v>Sí</v>
          </cell>
          <cell r="G28">
            <v>0.83706563706563708</v>
          </cell>
          <cell r="H28">
            <v>0.86922209695603159</v>
          </cell>
          <cell r="I28">
            <v>0.86737035337310697</v>
          </cell>
          <cell r="J28">
            <v>0.86436781609195401</v>
          </cell>
          <cell r="K28">
            <v>0.85637149028077753</v>
          </cell>
          <cell r="L28">
            <v>1295</v>
          </cell>
          <cell r="M28">
            <v>1774</v>
          </cell>
          <cell r="N28">
            <v>2179</v>
          </cell>
          <cell r="O28">
            <v>1740</v>
          </cell>
          <cell r="P28">
            <v>1852</v>
          </cell>
          <cell r="Q28">
            <v>1084</v>
          </cell>
          <cell r="R28">
            <v>1542</v>
          </cell>
          <cell r="S28">
            <v>1890</v>
          </cell>
          <cell r="T28">
            <v>1504</v>
          </cell>
          <cell r="U28">
            <v>1586</v>
          </cell>
        </row>
        <row r="29">
          <cell r="E29" t="str">
            <v>UTA</v>
          </cell>
          <cell r="F29" t="str">
            <v>Sí</v>
          </cell>
          <cell r="G29">
            <v>0.75819672131147542</v>
          </cell>
          <cell r="H29">
            <v>0.80529172320217102</v>
          </cell>
          <cell r="I29">
            <v>0.80484610347085794</v>
          </cell>
          <cell r="J29">
            <v>0.80867544539116964</v>
          </cell>
          <cell r="K29">
            <v>0.79753406878650224</v>
          </cell>
          <cell r="L29">
            <v>1464</v>
          </cell>
          <cell r="M29">
            <v>1474</v>
          </cell>
          <cell r="N29">
            <v>1527</v>
          </cell>
          <cell r="O29">
            <v>1291</v>
          </cell>
          <cell r="P29">
            <v>1541</v>
          </cell>
          <cell r="Q29">
            <v>1110</v>
          </cell>
          <cell r="R29">
            <v>1187</v>
          </cell>
          <cell r="S29">
            <v>1229</v>
          </cell>
          <cell r="T29">
            <v>1044</v>
          </cell>
          <cell r="U29">
            <v>1229</v>
          </cell>
        </row>
        <row r="30">
          <cell r="E30" t="str">
            <v>UVA</v>
          </cell>
          <cell r="F30" t="str">
            <v>Sí</v>
          </cell>
          <cell r="G30">
            <v>0.78507164278573804</v>
          </cell>
          <cell r="H30">
            <v>0.81516443361753954</v>
          </cell>
          <cell r="I30">
            <v>0.77999335327351282</v>
          </cell>
          <cell r="J30">
            <v>0.80624780624780623</v>
          </cell>
          <cell r="K30">
            <v>0.8253189401373896</v>
          </cell>
          <cell r="L30">
            <v>3001</v>
          </cell>
          <cell r="M30">
            <v>3284</v>
          </cell>
          <cell r="N30">
            <v>3009</v>
          </cell>
          <cell r="O30">
            <v>2849</v>
          </cell>
          <cell r="P30">
            <v>3057</v>
          </cell>
          <cell r="Q30">
            <v>2356</v>
          </cell>
          <cell r="R30">
            <v>2677</v>
          </cell>
          <cell r="S30">
            <v>2347</v>
          </cell>
          <cell r="T30">
            <v>2297</v>
          </cell>
          <cell r="U30">
            <v>2523</v>
          </cell>
        </row>
        <row r="31">
          <cell r="E31" t="str">
            <v>UBB</v>
          </cell>
          <cell r="F31" t="str">
            <v>Sí</v>
          </cell>
          <cell r="G31">
            <v>0.8360352014821677</v>
          </cell>
          <cell r="H31">
            <v>0.88483412322274879</v>
          </cell>
          <cell r="I31">
            <v>0.86964206805125943</v>
          </cell>
          <cell r="J31">
            <v>0.85059101654846336</v>
          </cell>
          <cell r="K31">
            <v>0.8301476976542137</v>
          </cell>
          <cell r="L31">
            <v>2159</v>
          </cell>
          <cell r="M31">
            <v>2110</v>
          </cell>
          <cell r="N31">
            <v>2263</v>
          </cell>
          <cell r="O31">
            <v>2115</v>
          </cell>
          <cell r="P31">
            <v>2302</v>
          </cell>
          <cell r="Q31">
            <v>1805</v>
          </cell>
          <cell r="R31">
            <v>1867</v>
          </cell>
          <cell r="S31">
            <v>1968</v>
          </cell>
          <cell r="T31">
            <v>1799</v>
          </cell>
          <cell r="U31">
            <v>1911</v>
          </cell>
        </row>
        <row r="32">
          <cell r="E32" t="str">
            <v>UMC</v>
          </cell>
          <cell r="F32" t="str">
            <v>Sí</v>
          </cell>
          <cell r="G32">
            <v>0.83911368015414256</v>
          </cell>
          <cell r="H32">
            <v>0.82190378710337764</v>
          </cell>
          <cell r="I32">
            <v>0.80499075785582253</v>
          </cell>
          <cell r="J32">
            <v>0.83524904214559392</v>
          </cell>
          <cell r="K32">
            <v>0.78898305084745768</v>
          </cell>
          <cell r="L32">
            <v>1038</v>
          </cell>
          <cell r="M32">
            <v>977</v>
          </cell>
          <cell r="N32">
            <v>1082</v>
          </cell>
          <cell r="O32">
            <v>1044</v>
          </cell>
          <cell r="P32">
            <v>1180</v>
          </cell>
          <cell r="Q32">
            <v>871</v>
          </cell>
          <cell r="R32">
            <v>803</v>
          </cell>
          <cell r="S32">
            <v>871</v>
          </cell>
          <cell r="T32">
            <v>872</v>
          </cell>
          <cell r="U32">
            <v>931</v>
          </cell>
        </row>
        <row r="33">
          <cell r="E33" t="str">
            <v>FSM</v>
          </cell>
          <cell r="F33" t="str">
            <v>Sí</v>
          </cell>
          <cell r="G33">
            <v>0.83163571000599157</v>
          </cell>
          <cell r="H33">
            <v>0.81988636363636369</v>
          </cell>
          <cell r="I33">
            <v>0.80307185957213389</v>
          </cell>
          <cell r="J33">
            <v>0.80010746910263297</v>
          </cell>
          <cell r="K33">
            <v>0.82059620596205962</v>
          </cell>
          <cell r="L33">
            <v>1669</v>
          </cell>
          <cell r="M33">
            <v>1760</v>
          </cell>
          <cell r="N33">
            <v>1823</v>
          </cell>
          <cell r="O33">
            <v>1861</v>
          </cell>
          <cell r="P33">
            <v>1845</v>
          </cell>
          <cell r="Q33">
            <v>1388</v>
          </cell>
          <cell r="R33">
            <v>1443</v>
          </cell>
          <cell r="S33">
            <v>1464</v>
          </cell>
          <cell r="T33">
            <v>1489</v>
          </cell>
          <cell r="U33">
            <v>1514</v>
          </cell>
        </row>
        <row r="34">
          <cell r="E34" t="str">
            <v>UTM</v>
          </cell>
          <cell r="F34" t="str">
            <v>Sí</v>
          </cell>
          <cell r="G34">
            <v>0.75558099599313111</v>
          </cell>
          <cell r="H34">
            <v>0.70790816326530615</v>
          </cell>
          <cell r="I34">
            <v>0.73997709049255445</v>
          </cell>
          <cell r="J34">
            <v>0.80552546045503792</v>
          </cell>
          <cell r="K34">
            <v>0.80574488802336908</v>
          </cell>
          <cell r="L34">
            <v>1747</v>
          </cell>
          <cell r="M34">
            <v>1568</v>
          </cell>
          <cell r="N34">
            <v>1746</v>
          </cell>
          <cell r="O34">
            <v>1846</v>
          </cell>
          <cell r="P34">
            <v>2054</v>
          </cell>
          <cell r="Q34">
            <v>1320</v>
          </cell>
          <cell r="R34">
            <v>1110</v>
          </cell>
          <cell r="S34">
            <v>1292</v>
          </cell>
          <cell r="T34">
            <v>1487</v>
          </cell>
          <cell r="U34">
            <v>1655</v>
          </cell>
        </row>
        <row r="35">
          <cell r="E35">
            <v>0</v>
          </cell>
          <cell r="F35">
            <v>0</v>
          </cell>
          <cell r="G35">
            <v>0.79644409324377718</v>
          </cell>
          <cell r="H35">
            <v>0.82343548604297723</v>
          </cell>
          <cell r="I35">
            <v>0.81480595476878348</v>
          </cell>
          <cell r="J35">
            <v>0.82436035102010585</v>
          </cell>
          <cell r="K35">
            <v>0.8159068729959571</v>
          </cell>
          <cell r="L35">
            <v>50620</v>
          </cell>
          <cell r="M35">
            <v>51981</v>
          </cell>
          <cell r="N35">
            <v>54343</v>
          </cell>
          <cell r="O35">
            <v>54014</v>
          </cell>
          <cell r="P35">
            <v>57384</v>
          </cell>
          <cell r="Q35">
            <v>40316</v>
          </cell>
          <cell r="R35">
            <v>42803</v>
          </cell>
          <cell r="S35">
            <v>44279</v>
          </cell>
          <cell r="T35">
            <v>44527</v>
          </cell>
          <cell r="U35">
            <v>46820</v>
          </cell>
        </row>
        <row r="36">
          <cell r="E36" t="str">
            <v>AHC</v>
          </cell>
          <cell r="F36" t="str">
            <v>Sí</v>
          </cell>
          <cell r="G36">
            <v>0.69273743016759781</v>
          </cell>
          <cell r="H36">
            <v>0.69923664122137408</v>
          </cell>
          <cell r="I36">
            <v>0.68976897689768979</v>
          </cell>
          <cell r="J36">
            <v>0.74188311688311692</v>
          </cell>
          <cell r="K36">
            <v>0.66753585397653192</v>
          </cell>
          <cell r="L36">
            <v>716</v>
          </cell>
          <cell r="M36">
            <v>655</v>
          </cell>
          <cell r="N36">
            <v>606</v>
          </cell>
          <cell r="O36">
            <v>616</v>
          </cell>
          <cell r="P36">
            <v>767</v>
          </cell>
          <cell r="Q36">
            <v>496</v>
          </cell>
          <cell r="R36">
            <v>458</v>
          </cell>
          <cell r="S36">
            <v>418</v>
          </cell>
          <cell r="T36">
            <v>457</v>
          </cell>
          <cell r="U36">
            <v>512</v>
          </cell>
        </row>
        <row r="37">
          <cell r="E37" t="str">
            <v>UAI</v>
          </cell>
          <cell r="F37" t="str">
            <v>NO</v>
          </cell>
          <cell r="G37">
            <v>0.77836973894512518</v>
          </cell>
          <cell r="H37">
            <v>0.84471421345472941</v>
          </cell>
          <cell r="I37">
            <v>0.84223107569721112</v>
          </cell>
          <cell r="J37">
            <v>0.86883876357560563</v>
          </cell>
          <cell r="K37">
            <v>0.87213114754098364</v>
          </cell>
          <cell r="L37">
            <v>1877</v>
          </cell>
          <cell r="M37">
            <v>1977</v>
          </cell>
          <cell r="N37">
            <v>1255</v>
          </cell>
          <cell r="O37">
            <v>1197</v>
          </cell>
          <cell r="P37">
            <v>1220</v>
          </cell>
          <cell r="Q37">
            <v>1461</v>
          </cell>
          <cell r="R37">
            <v>1670</v>
          </cell>
          <cell r="S37">
            <v>1057</v>
          </cell>
          <cell r="T37">
            <v>1040</v>
          </cell>
          <cell r="U37">
            <v>1064</v>
          </cell>
        </row>
        <row r="38">
          <cell r="E38">
            <v>0</v>
          </cell>
          <cell r="F38" t="str">
            <v>NO</v>
          </cell>
          <cell r="G38">
            <v>0.82745098039215681</v>
          </cell>
          <cell r="H38">
            <v>0.81569965870307171</v>
          </cell>
          <cell r="I38">
            <v>0.8271276595744681</v>
          </cell>
          <cell r="J38">
            <v>0.83377308707124009</v>
          </cell>
          <cell r="K38">
            <v>0.84419263456090654</v>
          </cell>
          <cell r="L38">
            <v>255</v>
          </cell>
          <cell r="M38">
            <v>293</v>
          </cell>
          <cell r="N38">
            <v>376</v>
          </cell>
          <cell r="O38">
            <v>379</v>
          </cell>
          <cell r="P38">
            <v>353</v>
          </cell>
          <cell r="Q38">
            <v>211</v>
          </cell>
          <cell r="R38">
            <v>239</v>
          </cell>
          <cell r="S38">
            <v>311</v>
          </cell>
          <cell r="T38">
            <v>316</v>
          </cell>
          <cell r="U38">
            <v>298</v>
          </cell>
        </row>
        <row r="39">
          <cell r="E39" t="str">
            <v>UAH</v>
          </cell>
          <cell r="F39" t="str">
            <v>Sí</v>
          </cell>
          <cell r="G39">
            <v>0.78167420814479638</v>
          </cell>
          <cell r="H39">
            <v>0.78764142732811138</v>
          </cell>
          <cell r="I39">
            <v>0.77390599675850891</v>
          </cell>
          <cell r="J39">
            <v>0.76006314127861085</v>
          </cell>
          <cell r="K39">
            <v>0.77096114519427406</v>
          </cell>
          <cell r="L39">
            <v>884</v>
          </cell>
          <cell r="M39">
            <v>1149</v>
          </cell>
          <cell r="N39">
            <v>1234</v>
          </cell>
          <cell r="O39">
            <v>1267</v>
          </cell>
          <cell r="P39">
            <v>1467</v>
          </cell>
          <cell r="Q39">
            <v>691</v>
          </cell>
          <cell r="R39">
            <v>905</v>
          </cell>
          <cell r="S39">
            <v>955</v>
          </cell>
          <cell r="T39">
            <v>963</v>
          </cell>
          <cell r="U39">
            <v>1131</v>
          </cell>
        </row>
        <row r="40">
          <cell r="E40" t="str">
            <v>UAB</v>
          </cell>
          <cell r="F40" t="str">
            <v>NO</v>
          </cell>
          <cell r="G40">
            <v>0.74413043478260865</v>
          </cell>
          <cell r="H40">
            <v>0.75265238194299977</v>
          </cell>
          <cell r="I40">
            <v>0.75412087912087911</v>
          </cell>
          <cell r="J40">
            <v>0.74348810872027182</v>
          </cell>
          <cell r="K40">
            <v>0.74896613389963118</v>
          </cell>
          <cell r="L40">
            <v>9200</v>
          </cell>
          <cell r="M40">
            <v>9614</v>
          </cell>
          <cell r="N40">
            <v>10192</v>
          </cell>
          <cell r="O40">
            <v>10596</v>
          </cell>
          <cell r="P40">
            <v>8947</v>
          </cell>
          <cell r="Q40">
            <v>6846</v>
          </cell>
          <cell r="R40">
            <v>7236</v>
          </cell>
          <cell r="S40">
            <v>7686</v>
          </cell>
          <cell r="T40">
            <v>7878</v>
          </cell>
          <cell r="U40">
            <v>6701</v>
          </cell>
        </row>
        <row r="41">
          <cell r="E41" t="str">
            <v>UAU</v>
          </cell>
          <cell r="F41" t="str">
            <v>Sí</v>
          </cell>
          <cell r="G41">
            <v>0.82857142857142863</v>
          </cell>
          <cell r="H41">
            <v>0.80708661417322836</v>
          </cell>
          <cell r="I41">
            <v>0.79670468948035489</v>
          </cell>
          <cell r="J41">
            <v>0.82105263157894737</v>
          </cell>
          <cell r="K41">
            <v>0.84101941747572817</v>
          </cell>
          <cell r="L41">
            <v>4655</v>
          </cell>
          <cell r="M41">
            <v>5080</v>
          </cell>
          <cell r="N41">
            <v>3945</v>
          </cell>
          <cell r="O41">
            <v>3705</v>
          </cell>
          <cell r="P41">
            <v>4120</v>
          </cell>
          <cell r="Q41">
            <v>3857</v>
          </cell>
          <cell r="R41">
            <v>4100</v>
          </cell>
          <cell r="S41">
            <v>3143</v>
          </cell>
          <cell r="T41">
            <v>3042</v>
          </cell>
          <cell r="U41">
            <v>3465</v>
          </cell>
        </row>
        <row r="42">
          <cell r="E42" t="str">
            <v>UBO</v>
          </cell>
          <cell r="F42" t="str">
            <v>NO</v>
          </cell>
          <cell r="G42">
            <v>0.79890023566378632</v>
          </cell>
          <cell r="H42">
            <v>0.66247906197654938</v>
          </cell>
          <cell r="I42">
            <v>0.6825</v>
          </cell>
          <cell r="J42">
            <v>0.82550860719874808</v>
          </cell>
          <cell r="K42">
            <v>0.82552504038772212</v>
          </cell>
          <cell r="L42">
            <v>1273</v>
          </cell>
          <cell r="M42">
            <v>1194</v>
          </cell>
          <cell r="N42">
            <v>400</v>
          </cell>
          <cell r="O42">
            <v>1278</v>
          </cell>
          <cell r="P42">
            <v>1238</v>
          </cell>
          <cell r="Q42">
            <v>1017</v>
          </cell>
          <cell r="R42">
            <v>791</v>
          </cell>
          <cell r="S42">
            <v>273</v>
          </cell>
          <cell r="T42">
            <v>1055</v>
          </cell>
          <cell r="U42">
            <v>1022</v>
          </cell>
        </row>
        <row r="43">
          <cell r="E43">
            <v>0</v>
          </cell>
          <cell r="F43" t="str">
            <v>NO</v>
          </cell>
          <cell r="G43">
            <v>0.58557284299858559</v>
          </cell>
          <cell r="H43">
            <v>0.56321839080459768</v>
          </cell>
          <cell r="I43">
            <v>0.56219392752203723</v>
          </cell>
          <cell r="J43">
            <v>0.5290178571428571</v>
          </cell>
          <cell r="K43">
            <v>0.61835748792270528</v>
          </cell>
          <cell r="L43">
            <v>707</v>
          </cell>
          <cell r="M43">
            <v>348</v>
          </cell>
          <cell r="N43">
            <v>1021</v>
          </cell>
          <cell r="O43">
            <v>448</v>
          </cell>
          <cell r="P43">
            <v>414</v>
          </cell>
          <cell r="Q43">
            <v>414</v>
          </cell>
          <cell r="R43">
            <v>196</v>
          </cell>
          <cell r="S43">
            <v>574</v>
          </cell>
          <cell r="T43">
            <v>237</v>
          </cell>
          <cell r="U43">
            <v>256</v>
          </cell>
        </row>
        <row r="44">
          <cell r="E44" t="str">
            <v>UCS</v>
          </cell>
          <cell r="F44" t="str">
            <v>Sí</v>
          </cell>
          <cell r="G44">
            <v>0.75690115761353516</v>
          </cell>
          <cell r="H44">
            <v>0.77109704641350207</v>
          </cell>
          <cell r="I44">
            <v>0.79057017543859653</v>
          </cell>
          <cell r="J44">
            <v>0.8101983002832861</v>
          </cell>
          <cell r="K44">
            <v>0.82363315696649031</v>
          </cell>
          <cell r="L44">
            <v>1123</v>
          </cell>
          <cell r="M44">
            <v>948</v>
          </cell>
          <cell r="N44">
            <v>912</v>
          </cell>
          <cell r="O44">
            <v>1059</v>
          </cell>
          <cell r="P44">
            <v>1134</v>
          </cell>
          <cell r="Q44">
            <v>850</v>
          </cell>
          <cell r="R44">
            <v>731</v>
          </cell>
          <cell r="S44">
            <v>721</v>
          </cell>
          <cell r="T44">
            <v>858</v>
          </cell>
          <cell r="U44">
            <v>934</v>
          </cell>
        </row>
        <row r="45">
          <cell r="E45" t="str">
            <v>UCE</v>
          </cell>
          <cell r="F45" t="str">
            <v>NO</v>
          </cell>
          <cell r="G45">
            <v>0.76762896355892096</v>
          </cell>
          <cell r="H45">
            <v>0.7711624139327663</v>
          </cell>
          <cell r="I45">
            <v>0.77665180381029586</v>
          </cell>
          <cell r="J45">
            <v>0.8086816720257235</v>
          </cell>
          <cell r="K45">
            <v>0.78823529411764703</v>
          </cell>
          <cell r="L45">
            <v>2113</v>
          </cell>
          <cell r="M45">
            <v>2469</v>
          </cell>
          <cell r="N45">
            <v>2467</v>
          </cell>
          <cell r="O45">
            <v>2488</v>
          </cell>
          <cell r="P45">
            <v>2295</v>
          </cell>
          <cell r="Q45">
            <v>1622</v>
          </cell>
          <cell r="R45">
            <v>1904</v>
          </cell>
          <cell r="S45">
            <v>1916</v>
          </cell>
          <cell r="T45">
            <v>2012</v>
          </cell>
          <cell r="U45">
            <v>1809</v>
          </cell>
        </row>
        <row r="46">
          <cell r="E46">
            <v>0</v>
          </cell>
          <cell r="F46" t="str">
            <v>NO</v>
          </cell>
          <cell r="G46">
            <v>0.67708333333333337</v>
          </cell>
          <cell r="H46">
            <v>0.70967741935483875</v>
          </cell>
          <cell r="I46">
            <v>0.82857142857142863</v>
          </cell>
          <cell r="J46">
            <v>0.70503597122302153</v>
          </cell>
          <cell r="K46">
            <v>0.62878787878787878</v>
          </cell>
          <cell r="L46">
            <v>96</v>
          </cell>
          <cell r="M46">
            <v>93</v>
          </cell>
          <cell r="N46">
            <v>105</v>
          </cell>
          <cell r="O46">
            <v>139</v>
          </cell>
          <cell r="P46">
            <v>132</v>
          </cell>
          <cell r="Q46">
            <v>65</v>
          </cell>
          <cell r="R46">
            <v>66</v>
          </cell>
          <cell r="S46">
            <v>87</v>
          </cell>
          <cell r="T46">
            <v>98</v>
          </cell>
          <cell r="U46">
            <v>83</v>
          </cell>
        </row>
        <row r="47">
          <cell r="E47">
            <v>0</v>
          </cell>
          <cell r="F47" t="str">
            <v>NO</v>
          </cell>
          <cell r="G47">
            <v>0.66044508255563528</v>
          </cell>
          <cell r="H47">
            <v>0.66563706563706559</v>
          </cell>
          <cell r="I47">
            <v>0.70720299345182414</v>
          </cell>
          <cell r="J47">
            <v>0.64389534883720934</v>
          </cell>
          <cell r="K47">
            <v>0.60833333333333328</v>
          </cell>
          <cell r="L47">
            <v>1393</v>
          </cell>
          <cell r="M47">
            <v>1295</v>
          </cell>
          <cell r="N47">
            <v>1069</v>
          </cell>
          <cell r="O47">
            <v>688</v>
          </cell>
          <cell r="P47">
            <v>1080</v>
          </cell>
          <cell r="Q47">
            <v>920</v>
          </cell>
          <cell r="R47">
            <v>862</v>
          </cell>
          <cell r="S47">
            <v>756</v>
          </cell>
          <cell r="T47">
            <v>443</v>
          </cell>
          <cell r="U47">
            <v>657</v>
          </cell>
        </row>
        <row r="48">
          <cell r="E48">
            <v>0</v>
          </cell>
          <cell r="F48" t="str">
            <v>NO</v>
          </cell>
          <cell r="G48">
            <v>0.69329073482428116</v>
          </cell>
          <cell r="H48">
            <v>0.69765066394279873</v>
          </cell>
          <cell r="I48">
            <v>0.68053855569155441</v>
          </cell>
          <cell r="J48">
            <v>0.25950196592398428</v>
          </cell>
          <cell r="L48">
            <v>939</v>
          </cell>
          <cell r="M48">
            <v>979</v>
          </cell>
          <cell r="N48">
            <v>817</v>
          </cell>
          <cell r="O48">
            <v>763</v>
          </cell>
          <cell r="P48">
            <v>0</v>
          </cell>
          <cell r="Q48">
            <v>651</v>
          </cell>
          <cell r="R48">
            <v>683</v>
          </cell>
          <cell r="S48">
            <v>556</v>
          </cell>
          <cell r="T48">
            <v>198</v>
          </cell>
          <cell r="U48">
            <v>0</v>
          </cell>
        </row>
        <row r="49">
          <cell r="E49">
            <v>0</v>
          </cell>
          <cell r="F49" t="str">
            <v>NO</v>
          </cell>
          <cell r="G49">
            <v>0.68487394957983194</v>
          </cell>
          <cell r="H49">
            <v>0.6035805626598465</v>
          </cell>
          <cell r="I49">
            <v>0.6278195488721805</v>
          </cell>
          <cell r="J49">
            <v>0.6265709156193896</v>
          </cell>
          <cell r="K49">
            <v>0.60875512995896031</v>
          </cell>
          <cell r="L49">
            <v>1190</v>
          </cell>
          <cell r="M49">
            <v>782</v>
          </cell>
          <cell r="N49">
            <v>532</v>
          </cell>
          <cell r="O49">
            <v>557</v>
          </cell>
          <cell r="P49">
            <v>731</v>
          </cell>
          <cell r="Q49">
            <v>815</v>
          </cell>
          <cell r="R49">
            <v>472</v>
          </cell>
          <cell r="S49">
            <v>334</v>
          </cell>
          <cell r="T49">
            <v>349</v>
          </cell>
          <cell r="U49">
            <v>445</v>
          </cell>
        </row>
        <row r="50">
          <cell r="E50">
            <v>0</v>
          </cell>
          <cell r="F50" t="str">
            <v>NO</v>
          </cell>
          <cell r="G50">
            <v>0.72618872368614751</v>
          </cell>
          <cell r="H50">
            <v>0.72848466893793518</v>
          </cell>
          <cell r="I50">
            <v>0.57221807318894702</v>
          </cell>
          <cell r="J50">
            <v>0.61095100864553309</v>
          </cell>
          <cell r="K50">
            <v>0.69662618083670713</v>
          </cell>
          <cell r="L50">
            <v>6793</v>
          </cell>
          <cell r="M50">
            <v>6751</v>
          </cell>
          <cell r="N50">
            <v>6695</v>
          </cell>
          <cell r="O50">
            <v>3817</v>
          </cell>
          <cell r="P50">
            <v>3705</v>
          </cell>
          <cell r="Q50">
            <v>4933</v>
          </cell>
          <cell r="R50">
            <v>4918</v>
          </cell>
          <cell r="S50">
            <v>3831</v>
          </cell>
          <cell r="T50">
            <v>2332</v>
          </cell>
          <cell r="U50">
            <v>2581</v>
          </cell>
        </row>
        <row r="51">
          <cell r="E51" t="str">
            <v>UAN</v>
          </cell>
          <cell r="F51" t="str">
            <v>NO</v>
          </cell>
          <cell r="G51">
            <v>0.87804878048780488</v>
          </cell>
          <cell r="H51">
            <v>0.89834515366430256</v>
          </cell>
          <cell r="I51">
            <v>0.9247787610619469</v>
          </cell>
          <cell r="J51">
            <v>0.89250814332247552</v>
          </cell>
          <cell r="K51">
            <v>0.87581699346405228</v>
          </cell>
          <cell r="L51">
            <v>902</v>
          </cell>
          <cell r="M51">
            <v>846</v>
          </cell>
          <cell r="N51">
            <v>1130</v>
          </cell>
          <cell r="O51">
            <v>1228</v>
          </cell>
          <cell r="P51">
            <v>1224</v>
          </cell>
          <cell r="Q51">
            <v>792</v>
          </cell>
          <cell r="R51">
            <v>760</v>
          </cell>
          <cell r="S51">
            <v>1045</v>
          </cell>
          <cell r="T51">
            <v>1096</v>
          </cell>
          <cell r="U51">
            <v>1072</v>
          </cell>
        </row>
        <row r="52">
          <cell r="E52" t="str">
            <v>UVM</v>
          </cell>
          <cell r="F52" t="str">
            <v>NO</v>
          </cell>
          <cell r="G52">
            <v>0.70570264765784119</v>
          </cell>
          <cell r="H52">
            <v>0.75013376136971643</v>
          </cell>
          <cell r="I52">
            <v>0.74767932489451472</v>
          </cell>
          <cell r="J52">
            <v>0.79038854805725967</v>
          </cell>
          <cell r="K52">
            <v>0.77110993096123204</v>
          </cell>
          <cell r="L52">
            <v>1964</v>
          </cell>
          <cell r="M52">
            <v>1869</v>
          </cell>
          <cell r="N52">
            <v>1185</v>
          </cell>
          <cell r="O52">
            <v>1956</v>
          </cell>
          <cell r="P52">
            <v>1883</v>
          </cell>
          <cell r="Q52">
            <v>1386</v>
          </cell>
          <cell r="R52">
            <v>1402</v>
          </cell>
          <cell r="S52">
            <v>886</v>
          </cell>
          <cell r="T52">
            <v>1546</v>
          </cell>
          <cell r="U52">
            <v>1452</v>
          </cell>
        </row>
        <row r="53">
          <cell r="E53" t="str">
            <v>UDD</v>
          </cell>
          <cell r="F53" t="str">
            <v>NO</v>
          </cell>
          <cell r="G53">
            <v>0.85015989036089534</v>
          </cell>
          <cell r="H53">
            <v>0.85520872508461832</v>
          </cell>
          <cell r="I53">
            <v>0.85844930417495025</v>
          </cell>
          <cell r="J53">
            <v>0.79769016328156117</v>
          </cell>
          <cell r="K53">
            <v>0.76634109691960928</v>
          </cell>
          <cell r="L53">
            <v>2189</v>
          </cell>
          <cell r="M53">
            <v>2659</v>
          </cell>
          <cell r="N53">
            <v>2515</v>
          </cell>
          <cell r="O53">
            <v>2511</v>
          </cell>
          <cell r="P53">
            <v>2662</v>
          </cell>
          <cell r="Q53">
            <v>1861</v>
          </cell>
          <cell r="R53">
            <v>2274</v>
          </cell>
          <cell r="S53">
            <v>2159</v>
          </cell>
          <cell r="T53">
            <v>2003</v>
          </cell>
          <cell r="U53">
            <v>2040</v>
          </cell>
        </row>
        <row r="54">
          <cell r="E54">
            <v>0</v>
          </cell>
          <cell r="F54" t="str">
            <v>NO</v>
          </cell>
          <cell r="G54">
            <v>0.67755856966707773</v>
          </cell>
          <cell r="H54">
            <v>7.8207109737248842E-2</v>
          </cell>
          <cell r="L54">
            <v>4866</v>
          </cell>
          <cell r="M54">
            <v>3235</v>
          </cell>
          <cell r="N54">
            <v>0</v>
          </cell>
          <cell r="O54">
            <v>0</v>
          </cell>
          <cell r="P54">
            <v>0</v>
          </cell>
          <cell r="Q54">
            <v>3297</v>
          </cell>
          <cell r="R54">
            <v>253</v>
          </cell>
          <cell r="S54">
            <v>0</v>
          </cell>
          <cell r="T54">
            <v>0</v>
          </cell>
          <cell r="U54">
            <v>0</v>
          </cell>
        </row>
        <row r="55">
          <cell r="E55" t="str">
            <v>UPO</v>
          </cell>
          <cell r="F55" t="str">
            <v>NO</v>
          </cell>
          <cell r="G55">
            <v>0.76320422535211263</v>
          </cell>
          <cell r="H55">
            <v>0.78246392896781358</v>
          </cell>
          <cell r="I55">
            <v>0.75525339925834367</v>
          </cell>
          <cell r="J55">
            <v>0.77108433734939763</v>
          </cell>
          <cell r="K55">
            <v>0.73972602739726023</v>
          </cell>
          <cell r="L55">
            <v>1136</v>
          </cell>
          <cell r="M55">
            <v>901</v>
          </cell>
          <cell r="N55">
            <v>809</v>
          </cell>
          <cell r="O55">
            <v>747</v>
          </cell>
          <cell r="P55">
            <v>511</v>
          </cell>
          <cell r="Q55">
            <v>867</v>
          </cell>
          <cell r="R55">
            <v>705</v>
          </cell>
          <cell r="S55">
            <v>611</v>
          </cell>
          <cell r="T55">
            <v>576</v>
          </cell>
          <cell r="U55">
            <v>378</v>
          </cell>
        </row>
        <row r="56">
          <cell r="E56" t="str">
            <v>UDP</v>
          </cell>
          <cell r="F56" t="str">
            <v>Sí</v>
          </cell>
          <cell r="G56">
            <v>0.83614931237721024</v>
          </cell>
          <cell r="H56">
            <v>0.84929859719438883</v>
          </cell>
          <cell r="I56">
            <v>0.83919597989949746</v>
          </cell>
          <cell r="J56">
            <v>0.83892617449664431</v>
          </cell>
          <cell r="K56">
            <v>0.84748150757308915</v>
          </cell>
          <cell r="L56">
            <v>2545</v>
          </cell>
          <cell r="M56">
            <v>2495</v>
          </cell>
          <cell r="N56">
            <v>2786</v>
          </cell>
          <cell r="O56">
            <v>2831</v>
          </cell>
          <cell r="P56">
            <v>2839</v>
          </cell>
          <cell r="Q56">
            <v>2128</v>
          </cell>
          <cell r="R56">
            <v>2119</v>
          </cell>
          <cell r="S56">
            <v>2338</v>
          </cell>
          <cell r="T56">
            <v>2375</v>
          </cell>
          <cell r="U56">
            <v>2406</v>
          </cell>
        </row>
        <row r="57">
          <cell r="E57" t="str">
            <v>UFT</v>
          </cell>
          <cell r="F57" t="str">
            <v>Sí</v>
          </cell>
          <cell r="G57">
            <v>0.79572446555819476</v>
          </cell>
          <cell r="H57">
            <v>0.80802792321116923</v>
          </cell>
          <cell r="I57">
            <v>0.81681415929203538</v>
          </cell>
          <cell r="J57">
            <v>0.84595744680851059</v>
          </cell>
          <cell r="K57">
            <v>0.82765957446808514</v>
          </cell>
          <cell r="L57">
            <v>842</v>
          </cell>
          <cell r="M57">
            <v>1146</v>
          </cell>
          <cell r="N57">
            <v>1130</v>
          </cell>
          <cell r="O57">
            <v>1175</v>
          </cell>
          <cell r="P57">
            <v>1410</v>
          </cell>
          <cell r="Q57">
            <v>670</v>
          </cell>
          <cell r="R57">
            <v>926</v>
          </cell>
          <cell r="S57">
            <v>923</v>
          </cell>
          <cell r="T57">
            <v>994</v>
          </cell>
          <cell r="U57">
            <v>1167</v>
          </cell>
        </row>
      </sheetData>
      <sheetData sheetId="7"/>
      <sheetData sheetId="8">
        <row r="10">
          <cell r="D10" t="str">
            <v>PUC</v>
          </cell>
          <cell r="E10" t="str">
            <v>Sí</v>
          </cell>
          <cell r="F10">
            <v>0.79674993936454042</v>
          </cell>
          <cell r="G10">
            <v>0.77154356060606055</v>
          </cell>
          <cell r="H10">
            <v>0.76631330977620726</v>
          </cell>
          <cell r="I10">
            <v>0.74095895977245019</v>
          </cell>
          <cell r="J10">
            <v>0.75014403687343956</v>
          </cell>
          <cell r="K10">
            <v>4123</v>
          </cell>
          <cell r="L10">
            <v>4224</v>
          </cell>
          <cell r="M10">
            <v>4245</v>
          </cell>
          <cell r="N10">
            <v>4922</v>
          </cell>
          <cell r="O10">
            <v>5207</v>
          </cell>
          <cell r="P10">
            <v>3285</v>
          </cell>
          <cell r="Q10">
            <v>3259</v>
          </cell>
          <cell r="R10">
            <v>3253</v>
          </cell>
          <cell r="S10">
            <v>3647</v>
          </cell>
          <cell r="T10">
            <v>3906</v>
          </cell>
        </row>
        <row r="11">
          <cell r="D11" t="str">
            <v>UCV</v>
          </cell>
          <cell r="E11" t="str">
            <v>Sí</v>
          </cell>
          <cell r="F11">
            <v>0.59649122807017541</v>
          </cell>
          <cell r="G11">
            <v>0.59691998660863743</v>
          </cell>
          <cell r="H11">
            <v>0.5578813828100222</v>
          </cell>
          <cell r="I11">
            <v>0.57996661101836389</v>
          </cell>
          <cell r="J11">
            <v>0.57053682896379521</v>
          </cell>
          <cell r="K11">
            <v>2964</v>
          </cell>
          <cell r="L11">
            <v>2987</v>
          </cell>
          <cell r="M11">
            <v>3153</v>
          </cell>
          <cell r="N11">
            <v>2995</v>
          </cell>
          <cell r="O11">
            <v>3204</v>
          </cell>
          <cell r="P11">
            <v>1768</v>
          </cell>
          <cell r="Q11">
            <v>1783</v>
          </cell>
          <cell r="R11">
            <v>1759</v>
          </cell>
          <cell r="S11">
            <v>1737</v>
          </cell>
          <cell r="T11">
            <v>1828</v>
          </cell>
        </row>
        <row r="12">
          <cell r="D12" t="str">
            <v>UAP</v>
          </cell>
          <cell r="E12" t="str">
            <v>Sí</v>
          </cell>
          <cell r="F12">
            <v>0.42909625275532698</v>
          </cell>
          <cell r="G12">
            <v>0.52417061611374405</v>
          </cell>
          <cell r="H12">
            <v>0.48810656517602286</v>
          </cell>
          <cell r="I12">
            <v>0.5701402805611222</v>
          </cell>
          <cell r="J12">
            <v>0.5826446280991735</v>
          </cell>
          <cell r="K12">
            <v>1361</v>
          </cell>
          <cell r="L12">
            <v>1055</v>
          </cell>
          <cell r="M12">
            <v>1051</v>
          </cell>
          <cell r="N12">
            <v>998</v>
          </cell>
          <cell r="O12">
            <v>968</v>
          </cell>
          <cell r="P12">
            <v>584</v>
          </cell>
          <cell r="Q12">
            <v>553</v>
          </cell>
          <cell r="R12">
            <v>513</v>
          </cell>
          <cell r="S12">
            <v>569</v>
          </cell>
          <cell r="T12">
            <v>564</v>
          </cell>
        </row>
        <row r="13">
          <cell r="D13" t="str">
            <v>AUS</v>
          </cell>
          <cell r="E13" t="str">
            <v>Sí</v>
          </cell>
          <cell r="F13">
            <v>0.6459459459459459</v>
          </cell>
          <cell r="G13">
            <v>0.63734076433121023</v>
          </cell>
          <cell r="H13">
            <v>0.63039253789350957</v>
          </cell>
          <cell r="I13">
            <v>0.62969211303247574</v>
          </cell>
          <cell r="J13">
            <v>0.66172656539459063</v>
          </cell>
          <cell r="K13">
            <v>2220</v>
          </cell>
          <cell r="L13">
            <v>2512</v>
          </cell>
          <cell r="M13">
            <v>2573</v>
          </cell>
          <cell r="N13">
            <v>2371</v>
          </cell>
          <cell r="O13">
            <v>2699</v>
          </cell>
          <cell r="P13">
            <v>1434</v>
          </cell>
          <cell r="Q13">
            <v>1601</v>
          </cell>
          <cell r="R13">
            <v>1622</v>
          </cell>
          <cell r="S13">
            <v>1493</v>
          </cell>
          <cell r="T13">
            <v>1786</v>
          </cell>
        </row>
        <row r="14">
          <cell r="D14" t="str">
            <v>USC</v>
          </cell>
          <cell r="E14" t="str">
            <v>Sí</v>
          </cell>
          <cell r="F14">
            <v>0.73894609327680194</v>
          </cell>
          <cell r="G14">
            <v>0.72203579418344521</v>
          </cell>
          <cell r="H14">
            <v>0.68609125893347989</v>
          </cell>
          <cell r="I14">
            <v>0.68763326226012789</v>
          </cell>
          <cell r="J14">
            <v>0.70404777704047772</v>
          </cell>
          <cell r="K14">
            <v>1651</v>
          </cell>
          <cell r="L14">
            <v>1788</v>
          </cell>
          <cell r="M14">
            <v>1819</v>
          </cell>
          <cell r="N14">
            <v>1876</v>
          </cell>
          <cell r="O14">
            <v>1507</v>
          </cell>
          <cell r="P14">
            <v>1220</v>
          </cell>
          <cell r="Q14">
            <v>1291</v>
          </cell>
          <cell r="R14">
            <v>1248</v>
          </cell>
          <cell r="S14">
            <v>1290</v>
          </cell>
          <cell r="T14">
            <v>1061</v>
          </cell>
        </row>
        <row r="15">
          <cell r="D15" t="str">
            <v>UCT</v>
          </cell>
          <cell r="E15" t="str">
            <v>Sí</v>
          </cell>
          <cell r="F15">
            <v>0.64031382015691007</v>
          </cell>
          <cell r="G15">
            <v>0.56772334293948123</v>
          </cell>
          <cell r="H15">
            <v>0.58519900497512434</v>
          </cell>
          <cell r="I15">
            <v>0.63934426229508201</v>
          </cell>
          <cell r="J15">
            <v>0.65571975916803504</v>
          </cell>
          <cell r="K15">
            <v>1657</v>
          </cell>
          <cell r="L15">
            <v>1735</v>
          </cell>
          <cell r="M15">
            <v>1608</v>
          </cell>
          <cell r="N15">
            <v>1647</v>
          </cell>
          <cell r="O15">
            <v>1827</v>
          </cell>
          <cell r="P15">
            <v>1061</v>
          </cell>
          <cell r="Q15">
            <v>985</v>
          </cell>
          <cell r="R15">
            <v>941</v>
          </cell>
          <cell r="S15">
            <v>1053</v>
          </cell>
          <cell r="T15">
            <v>1198</v>
          </cell>
        </row>
        <row r="16">
          <cell r="D16" t="str">
            <v>UCM</v>
          </cell>
          <cell r="E16" t="str">
            <v>Sí</v>
          </cell>
          <cell r="F16">
            <v>0.7963496637848223</v>
          </cell>
          <cell r="G16">
            <v>0.80956678700361007</v>
          </cell>
          <cell r="H16">
            <v>0.75880971025841815</v>
          </cell>
          <cell r="I16">
            <v>0.77064220183486243</v>
          </cell>
          <cell r="J16">
            <v>0.73314993122420913</v>
          </cell>
          <cell r="K16">
            <v>1041</v>
          </cell>
          <cell r="L16">
            <v>1108</v>
          </cell>
          <cell r="M16">
            <v>1277</v>
          </cell>
          <cell r="N16">
            <v>1308</v>
          </cell>
          <cell r="O16">
            <v>1454</v>
          </cell>
          <cell r="P16">
            <v>829</v>
          </cell>
          <cell r="Q16">
            <v>897</v>
          </cell>
          <cell r="R16">
            <v>969</v>
          </cell>
          <cell r="S16">
            <v>1008</v>
          </cell>
          <cell r="T16">
            <v>1066</v>
          </cell>
        </row>
        <row r="17">
          <cell r="D17" t="str">
            <v>UCN</v>
          </cell>
          <cell r="E17" t="str">
            <v>Sí</v>
          </cell>
          <cell r="F17">
            <v>0.58977272727272723</v>
          </cell>
          <cell r="G17">
            <v>0.64413722478238611</v>
          </cell>
          <cell r="H17">
            <v>0.58383727322704781</v>
          </cell>
          <cell r="I17">
            <v>0.64928366762177647</v>
          </cell>
          <cell r="J17">
            <v>0.65508298755186722</v>
          </cell>
          <cell r="K17">
            <v>1760</v>
          </cell>
          <cell r="L17">
            <v>1953</v>
          </cell>
          <cell r="M17">
            <v>1819</v>
          </cell>
          <cell r="N17">
            <v>1745</v>
          </cell>
          <cell r="O17">
            <v>1928</v>
          </cell>
          <cell r="P17">
            <v>1038</v>
          </cell>
          <cell r="Q17">
            <v>1258</v>
          </cell>
          <cell r="R17">
            <v>1062</v>
          </cell>
          <cell r="S17">
            <v>1133</v>
          </cell>
          <cell r="T17">
            <v>1263</v>
          </cell>
        </row>
        <row r="18">
          <cell r="D18" t="str">
            <v>ANT</v>
          </cell>
          <cell r="E18" t="str">
            <v>Sí</v>
          </cell>
          <cell r="F18">
            <v>0.63561417971970324</v>
          </cell>
          <cell r="G18">
            <v>0.65701559020044542</v>
          </cell>
          <cell r="H18">
            <v>0.66585067319461444</v>
          </cell>
          <cell r="I18">
            <v>0.68436873747494986</v>
          </cell>
          <cell r="J18">
            <v>0.61865189289012001</v>
          </cell>
          <cell r="K18">
            <v>1213</v>
          </cell>
          <cell r="L18">
            <v>898</v>
          </cell>
          <cell r="M18">
            <v>817</v>
          </cell>
          <cell r="N18">
            <v>998</v>
          </cell>
          <cell r="O18">
            <v>1083</v>
          </cell>
          <cell r="P18">
            <v>771</v>
          </cell>
          <cell r="Q18">
            <v>590</v>
          </cell>
          <cell r="R18">
            <v>544</v>
          </cell>
          <cell r="S18">
            <v>683</v>
          </cell>
          <cell r="T18">
            <v>670</v>
          </cell>
        </row>
        <row r="19">
          <cell r="D19" t="str">
            <v>ATA</v>
          </cell>
          <cell r="E19" t="str">
            <v>Sí</v>
          </cell>
          <cell r="F19">
            <v>0.44983089064261556</v>
          </cell>
          <cell r="G19">
            <v>0.46313065976714102</v>
          </cell>
          <cell r="H19">
            <v>0.51892744479495267</v>
          </cell>
          <cell r="I19">
            <v>0.44314868804664725</v>
          </cell>
          <cell r="J19">
            <v>0.52705410821643284</v>
          </cell>
          <cell r="K19">
            <v>887</v>
          </cell>
          <cell r="L19">
            <v>773</v>
          </cell>
          <cell r="M19">
            <v>634</v>
          </cell>
          <cell r="N19">
            <v>686</v>
          </cell>
          <cell r="O19">
            <v>998</v>
          </cell>
          <cell r="P19">
            <v>399</v>
          </cell>
          <cell r="Q19">
            <v>358</v>
          </cell>
          <cell r="R19">
            <v>329</v>
          </cell>
          <cell r="S19">
            <v>304</v>
          </cell>
          <cell r="T19">
            <v>526</v>
          </cell>
        </row>
        <row r="20">
          <cell r="D20" t="str">
            <v>UCH</v>
          </cell>
          <cell r="E20" t="str">
            <v>Sí</v>
          </cell>
          <cell r="F20">
            <v>0.77357237715803451</v>
          </cell>
          <cell r="G20">
            <v>0.68979980934223073</v>
          </cell>
          <cell r="H20">
            <v>0.70239198961616911</v>
          </cell>
          <cell r="I20">
            <v>0.71343045300339258</v>
          </cell>
          <cell r="J20">
            <v>0.72421652421652427</v>
          </cell>
          <cell r="K20">
            <v>4518</v>
          </cell>
          <cell r="L20">
            <v>5245</v>
          </cell>
          <cell r="M20">
            <v>5393</v>
          </cell>
          <cell r="N20">
            <v>5011</v>
          </cell>
          <cell r="O20">
            <v>5265</v>
          </cell>
          <cell r="P20">
            <v>3495</v>
          </cell>
          <cell r="Q20">
            <v>3618</v>
          </cell>
          <cell r="R20">
            <v>3788</v>
          </cell>
          <cell r="S20">
            <v>3575</v>
          </cell>
          <cell r="T20">
            <v>3813</v>
          </cell>
        </row>
        <row r="21">
          <cell r="D21" t="str">
            <v>UCO</v>
          </cell>
          <cell r="E21" t="str">
            <v>Sí</v>
          </cell>
          <cell r="F21">
            <v>0.65728666209105469</v>
          </cell>
          <cell r="G21">
            <v>0.65969345484672748</v>
          </cell>
          <cell r="H21">
            <v>0.65565736202855318</v>
          </cell>
          <cell r="I21">
            <v>0.65961497778718003</v>
          </cell>
          <cell r="J21">
            <v>0.67094188376753505</v>
          </cell>
          <cell r="K21">
            <v>4371</v>
          </cell>
          <cell r="L21">
            <v>4828</v>
          </cell>
          <cell r="M21">
            <v>4693</v>
          </cell>
          <cell r="N21">
            <v>4727</v>
          </cell>
          <cell r="O21">
            <v>4990</v>
          </cell>
          <cell r="P21">
            <v>2873</v>
          </cell>
          <cell r="Q21">
            <v>3185</v>
          </cell>
          <cell r="R21">
            <v>3077</v>
          </cell>
          <cell r="S21">
            <v>3118</v>
          </cell>
          <cell r="T21">
            <v>3348</v>
          </cell>
        </row>
        <row r="22">
          <cell r="D22" t="str">
            <v>FRO</v>
          </cell>
          <cell r="E22" t="str">
            <v>Sí</v>
          </cell>
          <cell r="F22">
            <v>0.70175438596491224</v>
          </cell>
          <cell r="G22">
            <v>0.66843220338983056</v>
          </cell>
          <cell r="H22">
            <v>0.64093959731543626</v>
          </cell>
          <cell r="I22">
            <v>0.66393022062596208</v>
          </cell>
          <cell r="J22">
            <v>0.63789581205311541</v>
          </cell>
          <cell r="K22">
            <v>1710</v>
          </cell>
          <cell r="L22">
            <v>1888</v>
          </cell>
          <cell r="M22">
            <v>1788</v>
          </cell>
          <cell r="N22">
            <v>1949</v>
          </cell>
          <cell r="O22">
            <v>1958</v>
          </cell>
          <cell r="P22">
            <v>1200</v>
          </cell>
          <cell r="Q22">
            <v>1262</v>
          </cell>
          <cell r="R22">
            <v>1146</v>
          </cell>
          <cell r="S22">
            <v>1294</v>
          </cell>
          <cell r="T22">
            <v>1249</v>
          </cell>
        </row>
        <row r="23">
          <cell r="D23" t="str">
            <v>ULS</v>
          </cell>
          <cell r="E23" t="str">
            <v>Sí</v>
          </cell>
          <cell r="F23">
            <v>0.64012944983818765</v>
          </cell>
          <cell r="G23">
            <v>0.61448140900195691</v>
          </cell>
          <cell r="H23">
            <v>0.58439811701412236</v>
          </cell>
          <cell r="I23">
            <v>0.61419354838709672</v>
          </cell>
          <cell r="J23">
            <v>0.59616573902288184</v>
          </cell>
          <cell r="K23">
            <v>1545</v>
          </cell>
          <cell r="L23">
            <v>1533</v>
          </cell>
          <cell r="M23">
            <v>1487</v>
          </cell>
          <cell r="N23">
            <v>1550</v>
          </cell>
          <cell r="O23">
            <v>1617</v>
          </cell>
          <cell r="P23">
            <v>989</v>
          </cell>
          <cell r="Q23">
            <v>942</v>
          </cell>
          <cell r="R23">
            <v>869</v>
          </cell>
          <cell r="S23">
            <v>952</v>
          </cell>
          <cell r="T23">
            <v>964</v>
          </cell>
        </row>
        <row r="24">
          <cell r="D24" t="str">
            <v>ULA</v>
          </cell>
          <cell r="E24" t="str">
            <v>Sí</v>
          </cell>
          <cell r="F24">
            <v>0.62439024390243902</v>
          </cell>
          <cell r="G24">
            <v>0.62425149700598803</v>
          </cell>
          <cell r="H24">
            <v>0.61742424242424243</v>
          </cell>
          <cell r="I24">
            <v>0.66614664586583461</v>
          </cell>
          <cell r="J24">
            <v>0.60699865410497977</v>
          </cell>
          <cell r="K24">
            <v>820</v>
          </cell>
          <cell r="L24">
            <v>668</v>
          </cell>
          <cell r="M24">
            <v>792</v>
          </cell>
          <cell r="N24">
            <v>641</v>
          </cell>
          <cell r="O24">
            <v>743</v>
          </cell>
          <cell r="P24">
            <v>512</v>
          </cell>
          <cell r="Q24">
            <v>417</v>
          </cell>
          <cell r="R24">
            <v>489</v>
          </cell>
          <cell r="S24">
            <v>427</v>
          </cell>
          <cell r="T24">
            <v>451</v>
          </cell>
        </row>
        <row r="25">
          <cell r="D25" t="str">
            <v>MAG</v>
          </cell>
          <cell r="E25" t="str">
            <v>Sí</v>
          </cell>
          <cell r="F25">
            <v>0.6216216216216216</v>
          </cell>
          <cell r="G25">
            <v>0.60493827160493829</v>
          </cell>
          <cell r="H25">
            <v>0.63779527559055116</v>
          </cell>
          <cell r="I25">
            <v>0.63452914798206284</v>
          </cell>
          <cell r="J25">
            <v>0.59834710743801656</v>
          </cell>
          <cell r="K25">
            <v>666</v>
          </cell>
          <cell r="L25">
            <v>648</v>
          </cell>
          <cell r="M25">
            <v>508</v>
          </cell>
          <cell r="N25">
            <v>446</v>
          </cell>
          <cell r="O25">
            <v>605</v>
          </cell>
          <cell r="P25">
            <v>414</v>
          </cell>
          <cell r="Q25">
            <v>392</v>
          </cell>
          <cell r="R25">
            <v>324</v>
          </cell>
          <cell r="S25">
            <v>283</v>
          </cell>
          <cell r="T25">
            <v>362</v>
          </cell>
        </row>
        <row r="26">
          <cell r="D26" t="str">
            <v>UPA</v>
          </cell>
          <cell r="E26" t="str">
            <v>Sí</v>
          </cell>
          <cell r="F26">
            <v>0.63931623931623927</v>
          </cell>
          <cell r="G26">
            <v>0.64087193460490466</v>
          </cell>
          <cell r="H26">
            <v>0.59954751131221717</v>
          </cell>
          <cell r="I26">
            <v>0.59619306594153632</v>
          </cell>
          <cell r="J26">
            <v>0.55097765363128492</v>
          </cell>
          <cell r="K26">
            <v>1755</v>
          </cell>
          <cell r="L26">
            <v>1835</v>
          </cell>
          <cell r="M26">
            <v>1768</v>
          </cell>
          <cell r="N26">
            <v>1471</v>
          </cell>
          <cell r="O26">
            <v>1432</v>
          </cell>
          <cell r="P26">
            <v>1122</v>
          </cell>
          <cell r="Q26">
            <v>1176</v>
          </cell>
          <cell r="R26">
            <v>1060</v>
          </cell>
          <cell r="S26">
            <v>877</v>
          </cell>
          <cell r="T26">
            <v>789</v>
          </cell>
        </row>
        <row r="27">
          <cell r="D27" t="str">
            <v>USA</v>
          </cell>
          <cell r="E27" t="str">
            <v>Sí</v>
          </cell>
          <cell r="F27">
            <v>0.71329365079365081</v>
          </cell>
          <cell r="G27">
            <v>0.68065573770491805</v>
          </cell>
          <cell r="H27">
            <v>0.55658682634730539</v>
          </cell>
          <cell r="I27">
            <v>0.62788823213326173</v>
          </cell>
          <cell r="J27">
            <v>0.61633663366336633</v>
          </cell>
          <cell r="K27">
            <v>3024</v>
          </cell>
          <cell r="L27">
            <v>3050</v>
          </cell>
          <cell r="M27">
            <v>3340</v>
          </cell>
          <cell r="N27">
            <v>3722</v>
          </cell>
          <cell r="O27">
            <v>3232</v>
          </cell>
          <cell r="P27">
            <v>2157</v>
          </cell>
          <cell r="Q27">
            <v>2076</v>
          </cell>
          <cell r="R27">
            <v>1859</v>
          </cell>
          <cell r="S27">
            <v>2337</v>
          </cell>
          <cell r="T27">
            <v>1992</v>
          </cell>
        </row>
        <row r="28">
          <cell r="D28" t="str">
            <v>TAL</v>
          </cell>
          <cell r="E28" t="str">
            <v>Sí</v>
          </cell>
          <cell r="F28">
            <v>0.76491732566498927</v>
          </cell>
          <cell r="G28">
            <v>0.7556596409055425</v>
          </cell>
          <cell r="H28">
            <v>0.70656370656370659</v>
          </cell>
          <cell r="I28">
            <v>0.70518602029312294</v>
          </cell>
          <cell r="J28">
            <v>0.71880733944954134</v>
          </cell>
          <cell r="K28">
            <v>1391</v>
          </cell>
          <cell r="L28">
            <v>1281</v>
          </cell>
          <cell r="M28">
            <v>1295</v>
          </cell>
          <cell r="N28">
            <v>1774</v>
          </cell>
          <cell r="O28">
            <v>2180</v>
          </cell>
          <cell r="P28">
            <v>1064</v>
          </cell>
          <cell r="Q28">
            <v>968</v>
          </cell>
          <cell r="R28">
            <v>915</v>
          </cell>
          <cell r="S28">
            <v>1251</v>
          </cell>
          <cell r="T28">
            <v>1567</v>
          </cell>
        </row>
        <row r="29">
          <cell r="D29" t="str">
            <v>UTA</v>
          </cell>
          <cell r="E29" t="str">
            <v>Sí</v>
          </cell>
          <cell r="F29">
            <v>0.62388724035608312</v>
          </cell>
          <cell r="G29">
            <v>0.59766963673749141</v>
          </cell>
          <cell r="H29">
            <v>0.63847203274215547</v>
          </cell>
          <cell r="I29">
            <v>0.70169491525423733</v>
          </cell>
          <cell r="J29">
            <v>0.63040629095674972</v>
          </cell>
          <cell r="K29">
            <v>1348</v>
          </cell>
          <cell r="L29">
            <v>1459</v>
          </cell>
          <cell r="M29">
            <v>1466</v>
          </cell>
          <cell r="N29">
            <v>1475</v>
          </cell>
          <cell r="O29">
            <v>1526</v>
          </cell>
          <cell r="P29">
            <v>841</v>
          </cell>
          <cell r="Q29">
            <v>872</v>
          </cell>
          <cell r="R29">
            <v>936</v>
          </cell>
          <cell r="S29">
            <v>1035</v>
          </cell>
          <cell r="T29">
            <v>962</v>
          </cell>
        </row>
        <row r="30">
          <cell r="D30" t="str">
            <v>UVA</v>
          </cell>
          <cell r="E30" t="str">
            <v>Sí</v>
          </cell>
          <cell r="F30">
            <v>0.67007402185407117</v>
          </cell>
          <cell r="G30">
            <v>0.6637140145523569</v>
          </cell>
          <cell r="H30">
            <v>0.64890073284477012</v>
          </cell>
          <cell r="I30">
            <v>0.64079147640791478</v>
          </cell>
          <cell r="J30">
            <v>0.62412761714855436</v>
          </cell>
          <cell r="K30">
            <v>2837</v>
          </cell>
          <cell r="L30">
            <v>3161</v>
          </cell>
          <cell r="M30">
            <v>3002</v>
          </cell>
          <cell r="N30">
            <v>3285</v>
          </cell>
          <cell r="O30">
            <v>3009</v>
          </cell>
          <cell r="P30">
            <v>1901</v>
          </cell>
          <cell r="Q30">
            <v>2098</v>
          </cell>
          <cell r="R30">
            <v>1948</v>
          </cell>
          <cell r="S30">
            <v>2105</v>
          </cell>
          <cell r="T30">
            <v>1878</v>
          </cell>
        </row>
        <row r="31">
          <cell r="D31" t="str">
            <v>UBB</v>
          </cell>
          <cell r="E31" t="str">
            <v>Sí</v>
          </cell>
          <cell r="F31">
            <v>0.71873589164785556</v>
          </cell>
          <cell r="G31">
            <v>0.76222826086956519</v>
          </cell>
          <cell r="H31">
            <v>0.72163038443723948</v>
          </cell>
          <cell r="I31">
            <v>0.7530805687203791</v>
          </cell>
          <cell r="J31">
            <v>0.73044631020768891</v>
          </cell>
          <cell r="K31">
            <v>2215</v>
          </cell>
          <cell r="L31">
            <v>2208</v>
          </cell>
          <cell r="M31">
            <v>2159</v>
          </cell>
          <cell r="N31">
            <v>2110</v>
          </cell>
          <cell r="O31">
            <v>2263</v>
          </cell>
          <cell r="P31">
            <v>1592</v>
          </cell>
          <cell r="Q31">
            <v>1683</v>
          </cell>
          <cell r="R31">
            <v>1558</v>
          </cell>
          <cell r="S31">
            <v>1589</v>
          </cell>
          <cell r="T31">
            <v>1653</v>
          </cell>
        </row>
        <row r="32">
          <cell r="D32" t="str">
            <v>UMC</v>
          </cell>
          <cell r="E32" t="str">
            <v>Sí</v>
          </cell>
          <cell r="F32">
            <v>0.70460959548447788</v>
          </cell>
          <cell r="G32">
            <v>0.64579256360078274</v>
          </cell>
          <cell r="H32">
            <v>0.65895953757225434</v>
          </cell>
          <cell r="I32">
            <v>0.63561924257932445</v>
          </cell>
          <cell r="J32">
            <v>0.60351201478743066</v>
          </cell>
          <cell r="K32">
            <v>1063</v>
          </cell>
          <cell r="L32">
            <v>1022</v>
          </cell>
          <cell r="M32">
            <v>1038</v>
          </cell>
          <cell r="N32">
            <v>977</v>
          </cell>
          <cell r="O32">
            <v>1082</v>
          </cell>
          <cell r="P32">
            <v>749</v>
          </cell>
          <cell r="Q32">
            <v>660</v>
          </cell>
          <cell r="R32">
            <v>684</v>
          </cell>
          <cell r="S32">
            <v>621</v>
          </cell>
          <cell r="T32">
            <v>653</v>
          </cell>
        </row>
        <row r="33">
          <cell r="D33" t="str">
            <v>FSM</v>
          </cell>
          <cell r="E33" t="str">
            <v>Sí</v>
          </cell>
          <cell r="F33">
            <v>0.68058968058968061</v>
          </cell>
          <cell r="G33">
            <v>0.66422594142259417</v>
          </cell>
          <cell r="H33">
            <v>0.60167966406718654</v>
          </cell>
          <cell r="I33">
            <v>0.59113034072471604</v>
          </cell>
          <cell r="J33">
            <v>0.61661166116611665</v>
          </cell>
          <cell r="K33">
            <v>1628</v>
          </cell>
          <cell r="L33">
            <v>1912</v>
          </cell>
          <cell r="M33">
            <v>1667</v>
          </cell>
          <cell r="N33">
            <v>1849</v>
          </cell>
          <cell r="O33">
            <v>1818</v>
          </cell>
          <cell r="P33">
            <v>1108</v>
          </cell>
          <cell r="Q33">
            <v>1270</v>
          </cell>
          <cell r="R33">
            <v>1003</v>
          </cell>
          <cell r="S33">
            <v>1093</v>
          </cell>
          <cell r="T33">
            <v>1121</v>
          </cell>
        </row>
        <row r="34">
          <cell r="D34" t="str">
            <v>UTM</v>
          </cell>
          <cell r="E34" t="str">
            <v>Sí</v>
          </cell>
          <cell r="F34">
            <v>0.52498457742134486</v>
          </cell>
          <cell r="G34">
            <v>0.52720207253886009</v>
          </cell>
          <cell r="H34">
            <v>0.51516886090440761</v>
          </cell>
          <cell r="I34">
            <v>0.49744897959183676</v>
          </cell>
          <cell r="J34">
            <v>0.51688609044075562</v>
          </cell>
          <cell r="K34">
            <v>1621</v>
          </cell>
          <cell r="L34">
            <v>1544</v>
          </cell>
          <cell r="M34">
            <v>1747</v>
          </cell>
          <cell r="N34">
            <v>1568</v>
          </cell>
          <cell r="O34">
            <v>1747</v>
          </cell>
          <cell r="P34">
            <v>851</v>
          </cell>
          <cell r="Q34">
            <v>814</v>
          </cell>
          <cell r="R34">
            <v>900</v>
          </cell>
          <cell r="S34">
            <v>780</v>
          </cell>
          <cell r="T34">
            <v>903</v>
          </cell>
        </row>
        <row r="35">
          <cell r="D35">
            <v>0</v>
          </cell>
          <cell r="E35">
            <v>0</v>
          </cell>
          <cell r="F35">
            <v>0.67336856385025001</v>
          </cell>
          <cell r="G35">
            <v>0.66273019584916693</v>
          </cell>
          <cell r="H35">
            <v>0.64131093685836638</v>
          </cell>
          <cell r="I35">
            <v>0.6574537916738642</v>
          </cell>
          <cell r="J35">
            <v>0.65461337455375213</v>
          </cell>
          <cell r="K35">
            <v>49389</v>
          </cell>
          <cell r="L35">
            <v>51315</v>
          </cell>
          <cell r="M35">
            <v>51139</v>
          </cell>
          <cell r="N35">
            <v>52101</v>
          </cell>
          <cell r="O35">
            <v>54342</v>
          </cell>
          <cell r="P35">
            <v>33257</v>
          </cell>
          <cell r="Q35">
            <v>34008</v>
          </cell>
          <cell r="R35">
            <v>32796</v>
          </cell>
          <cell r="S35">
            <v>34254</v>
          </cell>
          <cell r="T35">
            <v>35573</v>
          </cell>
        </row>
        <row r="36">
          <cell r="D36" t="str">
            <v>AHC</v>
          </cell>
          <cell r="E36" t="str">
            <v>Sí</v>
          </cell>
          <cell r="F36">
            <v>0.58789954337899542</v>
          </cell>
          <cell r="G36">
            <v>0.55204678362573101</v>
          </cell>
          <cell r="H36">
            <v>0.50977653631284914</v>
          </cell>
          <cell r="I36">
            <v>0.52519083969465652</v>
          </cell>
          <cell r="J36">
            <v>0.52796052631578949</v>
          </cell>
          <cell r="K36">
            <v>876</v>
          </cell>
          <cell r="L36">
            <v>855</v>
          </cell>
          <cell r="M36">
            <v>716</v>
          </cell>
          <cell r="N36">
            <v>655</v>
          </cell>
          <cell r="O36">
            <v>608</v>
          </cell>
          <cell r="P36">
            <v>515</v>
          </cell>
          <cell r="Q36">
            <v>472</v>
          </cell>
          <cell r="R36">
            <v>365</v>
          </cell>
          <cell r="S36">
            <v>344</v>
          </cell>
          <cell r="T36">
            <v>321</v>
          </cell>
        </row>
        <row r="37">
          <cell r="D37" t="str">
            <v>UAI</v>
          </cell>
          <cell r="E37" t="str">
            <v>NO</v>
          </cell>
          <cell r="F37">
            <v>0.62838633686690226</v>
          </cell>
          <cell r="G37">
            <v>0.62402088772845954</v>
          </cell>
          <cell r="H37">
            <v>0.66489078316462435</v>
          </cell>
          <cell r="I37">
            <v>0.72983870967741937</v>
          </cell>
          <cell r="J37">
            <v>0.75697211155378485</v>
          </cell>
          <cell r="K37">
            <v>1698</v>
          </cell>
          <cell r="L37">
            <v>1532</v>
          </cell>
          <cell r="M37">
            <v>1877</v>
          </cell>
          <cell r="N37">
            <v>1984</v>
          </cell>
          <cell r="O37">
            <v>1255</v>
          </cell>
          <cell r="P37">
            <v>1067</v>
          </cell>
          <cell r="Q37">
            <v>956</v>
          </cell>
          <cell r="R37">
            <v>1248</v>
          </cell>
          <cell r="S37">
            <v>1448</v>
          </cell>
          <cell r="T37">
            <v>950</v>
          </cell>
        </row>
        <row r="38">
          <cell r="D38">
            <v>0</v>
          </cell>
          <cell r="E38" t="str">
            <v>NO</v>
          </cell>
          <cell r="F38">
            <v>0.65909090909090906</v>
          </cell>
          <cell r="G38">
            <v>0.59558823529411764</v>
          </cell>
          <cell r="H38">
            <v>0.67169811320754713</v>
          </cell>
          <cell r="I38">
            <v>0.68259385665529015</v>
          </cell>
          <cell r="J38">
            <v>0.71276595744680848</v>
          </cell>
          <cell r="K38">
            <v>176</v>
          </cell>
          <cell r="L38">
            <v>272</v>
          </cell>
          <cell r="M38">
            <v>265</v>
          </cell>
          <cell r="N38">
            <v>293</v>
          </cell>
          <cell r="O38">
            <v>376</v>
          </cell>
          <cell r="P38">
            <v>116</v>
          </cell>
          <cell r="Q38">
            <v>162</v>
          </cell>
          <cell r="R38">
            <v>178</v>
          </cell>
          <cell r="S38">
            <v>200</v>
          </cell>
          <cell r="T38">
            <v>268</v>
          </cell>
        </row>
        <row r="39">
          <cell r="D39" t="str">
            <v>UAH</v>
          </cell>
          <cell r="E39" t="str">
            <v>Sí</v>
          </cell>
          <cell r="F39">
            <v>0.651685393258427</v>
          </cell>
          <cell r="G39">
            <v>0.63916391639163916</v>
          </cell>
          <cell r="H39">
            <v>0.61085972850678738</v>
          </cell>
          <cell r="I39">
            <v>0.63989637305699487</v>
          </cell>
          <cell r="J39">
            <v>0.55915721231766613</v>
          </cell>
          <cell r="K39">
            <v>801</v>
          </cell>
          <cell r="L39">
            <v>909</v>
          </cell>
          <cell r="M39">
            <v>884</v>
          </cell>
          <cell r="N39">
            <v>1158</v>
          </cell>
          <cell r="O39">
            <v>1234</v>
          </cell>
          <cell r="P39">
            <v>522</v>
          </cell>
          <cell r="Q39">
            <v>581</v>
          </cell>
          <cell r="R39">
            <v>540</v>
          </cell>
          <cell r="S39">
            <v>741</v>
          </cell>
          <cell r="T39">
            <v>690</v>
          </cell>
        </row>
        <row r="40">
          <cell r="D40" t="str">
            <v>UAB</v>
          </cell>
          <cell r="E40" t="str">
            <v>NO</v>
          </cell>
          <cell r="F40">
            <v>0.52313640207804757</v>
          </cell>
          <cell r="G40">
            <v>0.54298693923906871</v>
          </cell>
          <cell r="H40">
            <v>0.54033041788143832</v>
          </cell>
          <cell r="I40">
            <v>0.55392768079800503</v>
          </cell>
          <cell r="J40">
            <v>0.55112855740922473</v>
          </cell>
          <cell r="K40">
            <v>8277</v>
          </cell>
          <cell r="L40">
            <v>8805</v>
          </cell>
          <cell r="M40">
            <v>9261</v>
          </cell>
          <cell r="N40">
            <v>9624</v>
          </cell>
          <cell r="O40">
            <v>10190</v>
          </cell>
          <cell r="P40">
            <v>4330</v>
          </cell>
          <cell r="Q40">
            <v>4781</v>
          </cell>
          <cell r="R40">
            <v>5004</v>
          </cell>
          <cell r="S40">
            <v>5331</v>
          </cell>
          <cell r="T40">
            <v>5616</v>
          </cell>
        </row>
        <row r="41">
          <cell r="D41" t="str">
            <v>UAU</v>
          </cell>
          <cell r="E41" t="str">
            <v>Sí</v>
          </cell>
          <cell r="F41">
            <v>0.68061336254107341</v>
          </cell>
          <cell r="G41">
            <v>0.70216466950135292</v>
          </cell>
          <cell r="H41">
            <v>0.70311493018259941</v>
          </cell>
          <cell r="I41">
            <v>0.66791338582677162</v>
          </cell>
          <cell r="J41">
            <v>0.68085106382978722</v>
          </cell>
          <cell r="K41">
            <v>4565</v>
          </cell>
          <cell r="L41">
            <v>5174</v>
          </cell>
          <cell r="M41">
            <v>4655</v>
          </cell>
          <cell r="N41">
            <v>5080</v>
          </cell>
          <cell r="O41">
            <v>3948</v>
          </cell>
          <cell r="P41">
            <v>3107</v>
          </cell>
          <cell r="Q41">
            <v>3633</v>
          </cell>
          <cell r="R41">
            <v>3273</v>
          </cell>
          <cell r="S41">
            <v>3393</v>
          </cell>
          <cell r="T41">
            <v>2688</v>
          </cell>
        </row>
        <row r="42">
          <cell r="D42" t="str">
            <v>UBO</v>
          </cell>
          <cell r="E42" t="str">
            <v>NO</v>
          </cell>
          <cell r="F42">
            <v>0.62453531598513012</v>
          </cell>
          <cell r="G42">
            <v>0.62899050905953413</v>
          </cell>
          <cell r="H42">
            <v>0.56718749999999996</v>
          </cell>
          <cell r="I42">
            <v>0.55360134003350081</v>
          </cell>
          <cell r="J42">
            <v>0.52500000000000002</v>
          </cell>
          <cell r="K42">
            <v>1076</v>
          </cell>
          <cell r="L42">
            <v>1159</v>
          </cell>
          <cell r="M42">
            <v>1280</v>
          </cell>
          <cell r="N42">
            <v>1194</v>
          </cell>
          <cell r="O42">
            <v>400</v>
          </cell>
          <cell r="P42">
            <v>672</v>
          </cell>
          <cell r="Q42">
            <v>729</v>
          </cell>
          <cell r="R42">
            <v>726</v>
          </cell>
          <cell r="S42">
            <v>661</v>
          </cell>
          <cell r="T42">
            <v>210</v>
          </cell>
        </row>
        <row r="43">
          <cell r="D43">
            <v>0</v>
          </cell>
          <cell r="E43" t="str">
            <v>NO</v>
          </cell>
          <cell r="F43">
            <v>0.2814814814814815</v>
          </cell>
          <cell r="G43">
            <v>0.32131147540983607</v>
          </cell>
          <cell r="H43">
            <v>0.39660056657223797</v>
          </cell>
          <cell r="I43">
            <v>0.29799426934097423</v>
          </cell>
          <cell r="J43">
            <v>0.37609329446064138</v>
          </cell>
          <cell r="K43">
            <v>1080</v>
          </cell>
          <cell r="L43">
            <v>915</v>
          </cell>
          <cell r="M43">
            <v>706</v>
          </cell>
          <cell r="N43">
            <v>349</v>
          </cell>
          <cell r="O43">
            <v>1029</v>
          </cell>
          <cell r="P43">
            <v>304</v>
          </cell>
          <cell r="Q43">
            <v>294</v>
          </cell>
          <cell r="R43">
            <v>280</v>
          </cell>
          <cell r="S43">
            <v>104</v>
          </cell>
          <cell r="T43">
            <v>387</v>
          </cell>
        </row>
        <row r="44">
          <cell r="D44" t="str">
            <v>UCS</v>
          </cell>
          <cell r="E44" t="str">
            <v>Sí</v>
          </cell>
          <cell r="F44">
            <v>0.59631728045325783</v>
          </cell>
          <cell r="G44">
            <v>0.62131303520456704</v>
          </cell>
          <cell r="H44">
            <v>0.60266666666666668</v>
          </cell>
          <cell r="I44">
            <v>0.6033755274261603</v>
          </cell>
          <cell r="J44">
            <v>0.67763157894736847</v>
          </cell>
          <cell r="K44">
            <v>1412</v>
          </cell>
          <cell r="L44">
            <v>1051</v>
          </cell>
          <cell r="M44">
            <v>1125</v>
          </cell>
          <cell r="N44">
            <v>948</v>
          </cell>
          <cell r="O44">
            <v>912</v>
          </cell>
          <cell r="P44">
            <v>842</v>
          </cell>
          <cell r="Q44">
            <v>653</v>
          </cell>
          <cell r="R44">
            <v>678</v>
          </cell>
          <cell r="S44">
            <v>572</v>
          </cell>
          <cell r="T44">
            <v>618</v>
          </cell>
        </row>
        <row r="45">
          <cell r="D45" t="str">
            <v>UCE</v>
          </cell>
          <cell r="E45" t="str">
            <v>NO</v>
          </cell>
          <cell r="F45">
            <v>0.59445628997867805</v>
          </cell>
          <cell r="G45">
            <v>0.62917795844625113</v>
          </cell>
          <cell r="H45">
            <v>0.59069325735992406</v>
          </cell>
          <cell r="I45">
            <v>0.57628490489680295</v>
          </cell>
          <cell r="J45">
            <v>0.5954600729631131</v>
          </cell>
          <cell r="K45">
            <v>2345</v>
          </cell>
          <cell r="L45">
            <v>2214</v>
          </cell>
          <cell r="M45">
            <v>2106</v>
          </cell>
          <cell r="N45">
            <v>2471</v>
          </cell>
          <cell r="O45">
            <v>2467</v>
          </cell>
          <cell r="P45">
            <v>1394</v>
          </cell>
          <cell r="Q45">
            <v>1393</v>
          </cell>
          <cell r="R45">
            <v>1244</v>
          </cell>
          <cell r="S45">
            <v>1424</v>
          </cell>
          <cell r="T45">
            <v>1469</v>
          </cell>
        </row>
        <row r="46">
          <cell r="D46">
            <v>0</v>
          </cell>
          <cell r="E46" t="str">
            <v>NO</v>
          </cell>
          <cell r="F46">
            <v>0.50819672131147542</v>
          </cell>
          <cell r="G46">
            <v>0.55555555555555558</v>
          </cell>
          <cell r="H46">
            <v>0.51041666666666663</v>
          </cell>
          <cell r="I46">
            <v>0.55913978494623651</v>
          </cell>
          <cell r="J46">
            <v>0.580952380952381</v>
          </cell>
          <cell r="K46">
            <v>122</v>
          </cell>
          <cell r="L46">
            <v>90</v>
          </cell>
          <cell r="M46">
            <v>96</v>
          </cell>
          <cell r="N46">
            <v>93</v>
          </cell>
          <cell r="O46">
            <v>105</v>
          </cell>
          <cell r="P46">
            <v>62</v>
          </cell>
          <cell r="Q46">
            <v>50</v>
          </cell>
          <cell r="R46">
            <v>49</v>
          </cell>
          <cell r="S46">
            <v>52</v>
          </cell>
          <cell r="T46">
            <v>61</v>
          </cell>
        </row>
        <row r="47">
          <cell r="D47">
            <v>0</v>
          </cell>
          <cell r="E47" t="str">
            <v>NO</v>
          </cell>
          <cell r="F47">
            <v>0.30660042583392477</v>
          </cell>
          <cell r="G47">
            <v>0.41933418693982072</v>
          </cell>
          <cell r="H47">
            <v>0.43443804034582134</v>
          </cell>
          <cell r="I47">
            <v>0.41551459293394777</v>
          </cell>
          <cell r="J47">
            <v>0.46759259259259262</v>
          </cell>
          <cell r="K47">
            <v>1409</v>
          </cell>
          <cell r="L47">
            <v>1562</v>
          </cell>
          <cell r="M47">
            <v>1388</v>
          </cell>
          <cell r="N47">
            <v>1302</v>
          </cell>
          <cell r="O47">
            <v>1080</v>
          </cell>
          <cell r="P47">
            <v>432</v>
          </cell>
          <cell r="Q47">
            <v>655</v>
          </cell>
          <cell r="R47">
            <v>603</v>
          </cell>
          <cell r="S47">
            <v>541</v>
          </cell>
          <cell r="T47">
            <v>505</v>
          </cell>
        </row>
        <row r="48">
          <cell r="D48">
            <v>0</v>
          </cell>
          <cell r="E48" t="str">
            <v>NO</v>
          </cell>
          <cell r="F48">
            <v>0.38154269972451793</v>
          </cell>
          <cell r="G48">
            <v>0.43133462282398455</v>
          </cell>
          <cell r="H48">
            <v>0.46702127659574466</v>
          </cell>
          <cell r="I48">
            <v>0.28644240570846075</v>
          </cell>
          <cell r="J48">
            <v>0.231990231990232</v>
          </cell>
          <cell r="K48">
            <v>726</v>
          </cell>
          <cell r="L48">
            <v>517</v>
          </cell>
          <cell r="M48">
            <v>940</v>
          </cell>
          <cell r="N48">
            <v>981</v>
          </cell>
          <cell r="O48">
            <v>819</v>
          </cell>
          <cell r="P48">
            <v>277</v>
          </cell>
          <cell r="Q48">
            <v>223</v>
          </cell>
          <cell r="R48">
            <v>439</v>
          </cell>
          <cell r="S48">
            <v>281</v>
          </cell>
          <cell r="T48">
            <v>190</v>
          </cell>
        </row>
        <row r="49">
          <cell r="D49">
            <v>0</v>
          </cell>
          <cell r="E49" t="str">
            <v>NO</v>
          </cell>
          <cell r="F49">
            <v>0.49010477299185101</v>
          </cell>
          <cell r="G49">
            <v>0.43168316831683168</v>
          </cell>
          <cell r="H49">
            <v>0.40756302521008403</v>
          </cell>
          <cell r="I49">
            <v>0.29833546734955185</v>
          </cell>
          <cell r="J49">
            <v>0.3707865168539326</v>
          </cell>
          <cell r="K49">
            <v>859</v>
          </cell>
          <cell r="L49">
            <v>1010</v>
          </cell>
          <cell r="M49">
            <v>1190</v>
          </cell>
          <cell r="N49">
            <v>781</v>
          </cell>
          <cell r="O49">
            <v>534</v>
          </cell>
          <cell r="P49">
            <v>421</v>
          </cell>
          <cell r="Q49">
            <v>436</v>
          </cell>
          <cell r="R49">
            <v>485</v>
          </cell>
          <cell r="S49">
            <v>233</v>
          </cell>
          <cell r="T49">
            <v>198</v>
          </cell>
        </row>
        <row r="50">
          <cell r="D50">
            <v>0</v>
          </cell>
          <cell r="E50" t="str">
            <v>NO</v>
          </cell>
          <cell r="F50">
            <v>0.55668247996073938</v>
          </cell>
          <cell r="G50">
            <v>0.58524562298147209</v>
          </cell>
          <cell r="H50">
            <v>0.50861180627116154</v>
          </cell>
          <cell r="I50">
            <v>0.45107327905255368</v>
          </cell>
          <cell r="J50">
            <v>0.39447348767737117</v>
          </cell>
          <cell r="K50">
            <v>6113</v>
          </cell>
          <cell r="L50">
            <v>5883</v>
          </cell>
          <cell r="M50">
            <v>6793</v>
          </cell>
          <cell r="N50">
            <v>6755</v>
          </cell>
          <cell r="O50">
            <v>6695</v>
          </cell>
          <cell r="P50">
            <v>3403</v>
          </cell>
          <cell r="Q50">
            <v>3443</v>
          </cell>
          <cell r="R50">
            <v>3455</v>
          </cell>
          <cell r="S50">
            <v>3047</v>
          </cell>
          <cell r="T50">
            <v>2641</v>
          </cell>
        </row>
        <row r="51">
          <cell r="D51" t="str">
            <v>UAN</v>
          </cell>
          <cell r="E51" t="str">
            <v>NO</v>
          </cell>
          <cell r="F51">
            <v>0.81222707423580787</v>
          </cell>
          <cell r="G51">
            <v>0.78400000000000003</v>
          </cell>
          <cell r="H51">
            <v>0.76829268292682928</v>
          </cell>
          <cell r="I51">
            <v>0.81582054309327035</v>
          </cell>
          <cell r="J51">
            <v>0.81425702811244982</v>
          </cell>
          <cell r="K51">
            <v>687</v>
          </cell>
          <cell r="L51">
            <v>750</v>
          </cell>
          <cell r="M51">
            <v>902</v>
          </cell>
          <cell r="N51">
            <v>847</v>
          </cell>
          <cell r="O51">
            <v>996</v>
          </cell>
          <cell r="P51">
            <v>558</v>
          </cell>
          <cell r="Q51">
            <v>588</v>
          </cell>
          <cell r="R51">
            <v>693</v>
          </cell>
          <cell r="S51">
            <v>691</v>
          </cell>
          <cell r="T51">
            <v>811</v>
          </cell>
        </row>
        <row r="52">
          <cell r="D52" t="str">
            <v>UVM</v>
          </cell>
          <cell r="E52" t="str">
            <v>NO</v>
          </cell>
          <cell r="F52">
            <v>0.53194650817236255</v>
          </cell>
          <cell r="G52">
            <v>0.56839309428950868</v>
          </cell>
          <cell r="H52">
            <v>0.52885572139303483</v>
          </cell>
          <cell r="I52">
            <v>0.58983957219251337</v>
          </cell>
          <cell r="J52">
            <v>0.57419898819561555</v>
          </cell>
          <cell r="K52">
            <v>1346</v>
          </cell>
          <cell r="L52">
            <v>1506</v>
          </cell>
          <cell r="M52">
            <v>2010</v>
          </cell>
          <cell r="N52">
            <v>1870</v>
          </cell>
          <cell r="O52">
            <v>1186</v>
          </cell>
          <cell r="P52">
            <v>716</v>
          </cell>
          <cell r="Q52">
            <v>856</v>
          </cell>
          <cell r="R52">
            <v>1063</v>
          </cell>
          <cell r="S52">
            <v>1103</v>
          </cell>
          <cell r="T52">
            <v>681</v>
          </cell>
        </row>
        <row r="53">
          <cell r="D53" t="str">
            <v>UDD</v>
          </cell>
          <cell r="E53" t="str">
            <v>NO</v>
          </cell>
          <cell r="F53">
            <v>0.75232198142414863</v>
          </cell>
          <cell r="G53">
            <v>0.76488095238095233</v>
          </cell>
          <cell r="H53">
            <v>0.72760511882998169</v>
          </cell>
          <cell r="I53">
            <v>0.73486273034975558</v>
          </cell>
          <cell r="J53">
            <v>0.72058823529411764</v>
          </cell>
          <cell r="K53">
            <v>2261</v>
          </cell>
          <cell r="L53">
            <v>2352</v>
          </cell>
          <cell r="M53">
            <v>2188</v>
          </cell>
          <cell r="N53">
            <v>2659</v>
          </cell>
          <cell r="O53">
            <v>2516</v>
          </cell>
          <cell r="P53">
            <v>1701</v>
          </cell>
          <cell r="Q53">
            <v>1799</v>
          </cell>
          <cell r="R53">
            <v>1592</v>
          </cell>
          <cell r="S53">
            <v>1954</v>
          </cell>
          <cell r="T53">
            <v>1813</v>
          </cell>
        </row>
        <row r="54">
          <cell r="D54">
            <v>0</v>
          </cell>
          <cell r="E54" t="str">
            <v>NO</v>
          </cell>
          <cell r="F54">
            <v>0.42138364779874216</v>
          </cell>
          <cell r="G54">
            <v>0.1333013665787581</v>
          </cell>
          <cell r="H54">
            <v>2.2857142857142857E-2</v>
          </cell>
          <cell r="I54">
            <v>3.031221582297666E-4</v>
          </cell>
          <cell r="J54">
            <v>0</v>
          </cell>
          <cell r="K54">
            <v>3816</v>
          </cell>
          <cell r="L54">
            <v>4171</v>
          </cell>
          <cell r="M54">
            <v>4900</v>
          </cell>
          <cell r="N54">
            <v>3299</v>
          </cell>
          <cell r="O54">
            <v>0</v>
          </cell>
          <cell r="P54">
            <v>1608</v>
          </cell>
          <cell r="Q54">
            <v>556</v>
          </cell>
          <cell r="R54">
            <v>112</v>
          </cell>
          <cell r="S54">
            <v>1</v>
          </cell>
          <cell r="T54">
            <v>0</v>
          </cell>
        </row>
        <row r="55">
          <cell r="D55" t="str">
            <v>UPO</v>
          </cell>
          <cell r="E55" t="str">
            <v>NO</v>
          </cell>
          <cell r="F55">
            <v>0.59166115155526144</v>
          </cell>
          <cell r="G55">
            <v>0.56133225020308697</v>
          </cell>
          <cell r="H55">
            <v>0.59583694709453594</v>
          </cell>
          <cell r="I55">
            <v>0.61496149614961493</v>
          </cell>
          <cell r="J55">
            <v>0.58620689655172409</v>
          </cell>
          <cell r="K55">
            <v>1511</v>
          </cell>
          <cell r="L55">
            <v>1231</v>
          </cell>
          <cell r="M55">
            <v>1153</v>
          </cell>
          <cell r="N55">
            <v>909</v>
          </cell>
          <cell r="O55">
            <v>812</v>
          </cell>
          <cell r="P55">
            <v>894</v>
          </cell>
          <cell r="Q55">
            <v>691</v>
          </cell>
          <cell r="R55">
            <v>687</v>
          </cell>
          <cell r="S55">
            <v>559</v>
          </cell>
          <cell r="T55">
            <v>476</v>
          </cell>
        </row>
        <row r="56">
          <cell r="D56" t="str">
            <v>UDP</v>
          </cell>
          <cell r="E56" t="str">
            <v>Sí</v>
          </cell>
          <cell r="F56">
            <v>0.68855858969927408</v>
          </cell>
          <cell r="G56">
            <v>0.69433962264150939</v>
          </cell>
          <cell r="H56">
            <v>0.69783889980353631</v>
          </cell>
          <cell r="I56">
            <v>0.73736968724939855</v>
          </cell>
          <cell r="J56">
            <v>0.69526202440775309</v>
          </cell>
          <cell r="K56">
            <v>2893</v>
          </cell>
          <cell r="L56">
            <v>2650</v>
          </cell>
          <cell r="M56">
            <v>2545</v>
          </cell>
          <cell r="N56">
            <v>2494</v>
          </cell>
          <cell r="O56">
            <v>2786</v>
          </cell>
          <cell r="P56">
            <v>1992</v>
          </cell>
          <cell r="Q56">
            <v>1840</v>
          </cell>
          <cell r="R56">
            <v>1776</v>
          </cell>
          <cell r="S56">
            <v>1839</v>
          </cell>
          <cell r="T56">
            <v>1937</v>
          </cell>
        </row>
        <row r="57">
          <cell r="D57" t="str">
            <v>UFT</v>
          </cell>
          <cell r="E57" t="str">
            <v>Sí</v>
          </cell>
          <cell r="F57">
            <v>0.60788863109048719</v>
          </cell>
          <cell r="G57">
            <v>0.65092402464065713</v>
          </cell>
          <cell r="H57">
            <v>0.63411764705882356</v>
          </cell>
          <cell r="I57">
            <v>0.68444055944055948</v>
          </cell>
          <cell r="J57">
            <v>0.67699115044247793</v>
          </cell>
          <cell r="K57">
            <v>862</v>
          </cell>
          <cell r="L57">
            <v>974</v>
          </cell>
          <cell r="M57">
            <v>850</v>
          </cell>
          <cell r="N57">
            <v>1144</v>
          </cell>
          <cell r="O57">
            <v>1130</v>
          </cell>
          <cell r="P57">
            <v>524</v>
          </cell>
          <cell r="Q57">
            <v>634</v>
          </cell>
          <cell r="R57">
            <v>539</v>
          </cell>
          <cell r="S57">
            <v>783</v>
          </cell>
          <cell r="T57">
            <v>765</v>
          </cell>
        </row>
      </sheetData>
      <sheetData sheetId="9">
        <row r="8">
          <cell r="F8" t="str">
            <v>PUC</v>
          </cell>
          <cell r="G8" t="str">
            <v>Sí</v>
          </cell>
          <cell r="H8">
            <v>169</v>
          </cell>
          <cell r="I8">
            <v>0</v>
          </cell>
          <cell r="J8">
            <v>0</v>
          </cell>
          <cell r="K8">
            <v>6</v>
          </cell>
          <cell r="L8">
            <v>5</v>
          </cell>
          <cell r="M8">
            <v>26</v>
          </cell>
          <cell r="N8">
            <v>0.21893491124260356</v>
          </cell>
          <cell r="O8">
            <v>37</v>
          </cell>
        </row>
        <row r="9">
          <cell r="F9" t="str">
            <v>UCV</v>
          </cell>
          <cell r="G9" t="str">
            <v>Sí</v>
          </cell>
          <cell r="H9">
            <v>37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3</v>
          </cell>
          <cell r="N9">
            <v>8.1081081081081086E-2</v>
          </cell>
          <cell r="O9">
            <v>3</v>
          </cell>
        </row>
        <row r="10">
          <cell r="F10" t="str">
            <v>AUS</v>
          </cell>
          <cell r="G10" t="str">
            <v>Sí</v>
          </cell>
          <cell r="H10">
            <v>42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4</v>
          </cell>
          <cell r="N10">
            <v>9.5238095238095233E-2</v>
          </cell>
          <cell r="O10">
            <v>4</v>
          </cell>
        </row>
        <row r="11">
          <cell r="F11" t="str">
            <v>UCN</v>
          </cell>
          <cell r="G11" t="str">
            <v>Sí</v>
          </cell>
          <cell r="H11">
            <v>4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F12" t="str">
            <v>ANT</v>
          </cell>
          <cell r="G12" t="str">
            <v>Sí</v>
          </cell>
          <cell r="H12">
            <v>10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0</v>
          </cell>
          <cell r="N12">
            <v>0.2</v>
          </cell>
          <cell r="O12">
            <v>2</v>
          </cell>
        </row>
        <row r="13">
          <cell r="F13" t="str">
            <v>UCH</v>
          </cell>
          <cell r="G13" t="str">
            <v>Sí</v>
          </cell>
          <cell r="H13">
            <v>214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36</v>
          </cell>
          <cell r="N13">
            <v>0.16822429906542055</v>
          </cell>
          <cell r="O13">
            <v>36</v>
          </cell>
        </row>
        <row r="14">
          <cell r="F14" t="str">
            <v>UCO</v>
          </cell>
          <cell r="G14" t="str">
            <v>Sí</v>
          </cell>
          <cell r="H14">
            <v>88</v>
          </cell>
          <cell r="I14">
            <v>0</v>
          </cell>
          <cell r="J14">
            <v>1</v>
          </cell>
          <cell r="K14">
            <v>0</v>
          </cell>
          <cell r="L14">
            <v>2</v>
          </cell>
          <cell r="M14">
            <v>12</v>
          </cell>
          <cell r="N14">
            <v>0.17045454545454544</v>
          </cell>
          <cell r="O14">
            <v>15</v>
          </cell>
        </row>
        <row r="15">
          <cell r="F15" t="str">
            <v>FRO</v>
          </cell>
          <cell r="G15" t="str">
            <v>Sí</v>
          </cell>
          <cell r="H15">
            <v>38</v>
          </cell>
          <cell r="I15">
            <v>0</v>
          </cell>
          <cell r="J15">
            <v>0</v>
          </cell>
          <cell r="K15">
            <v>2</v>
          </cell>
          <cell r="L15">
            <v>3</v>
          </cell>
          <cell r="M15">
            <v>8</v>
          </cell>
          <cell r="N15">
            <v>0.34210526315789475</v>
          </cell>
          <cell r="O15">
            <v>13</v>
          </cell>
        </row>
        <row r="16">
          <cell r="F16" t="str">
            <v>ULS</v>
          </cell>
          <cell r="G16" t="str">
            <v>Sí</v>
          </cell>
          <cell r="H16">
            <v>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F17" t="str">
            <v>UPA</v>
          </cell>
          <cell r="G17" t="str">
            <v>Sí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F18" t="str">
            <v>USA</v>
          </cell>
          <cell r="G18" t="str">
            <v>Sí</v>
          </cell>
          <cell r="H18">
            <v>66</v>
          </cell>
          <cell r="I18">
            <v>0</v>
          </cell>
          <cell r="J18">
            <v>0</v>
          </cell>
          <cell r="K18">
            <v>0</v>
          </cell>
          <cell r="L18">
            <v>3</v>
          </cell>
          <cell r="M18">
            <v>12</v>
          </cell>
          <cell r="N18">
            <v>0.22727272727272727</v>
          </cell>
          <cell r="O18">
            <v>15</v>
          </cell>
        </row>
        <row r="19">
          <cell r="F19" t="str">
            <v>TAL</v>
          </cell>
          <cell r="G19" t="str">
            <v>Sí</v>
          </cell>
          <cell r="H19">
            <v>12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1</v>
          </cell>
          <cell r="N19">
            <v>0.16666666666666666</v>
          </cell>
          <cell r="O19">
            <v>2</v>
          </cell>
        </row>
        <row r="20">
          <cell r="F20" t="str">
            <v>UTA</v>
          </cell>
          <cell r="G20" t="str">
            <v>Sí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F21" t="str">
            <v>UVA</v>
          </cell>
          <cell r="G21" t="str">
            <v>Sí</v>
          </cell>
          <cell r="H21">
            <v>13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</v>
          </cell>
          <cell r="N21">
            <v>7.6923076923076927E-2</v>
          </cell>
          <cell r="O21">
            <v>1</v>
          </cell>
        </row>
        <row r="22">
          <cell r="F22" t="str">
            <v>UBB</v>
          </cell>
          <cell r="G22" t="str">
            <v>Sí</v>
          </cell>
          <cell r="H22">
            <v>8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F23" t="str">
            <v>UMC</v>
          </cell>
          <cell r="G23" t="str">
            <v>Sí</v>
          </cell>
          <cell r="H23">
            <v>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F24" t="str">
            <v>FSM</v>
          </cell>
          <cell r="G24" t="str">
            <v>Sí</v>
          </cell>
          <cell r="H24">
            <v>19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5.2631578947368418E-2</v>
          </cell>
          <cell r="O24">
            <v>1</v>
          </cell>
        </row>
        <row r="25">
          <cell r="F25">
            <v>0</v>
          </cell>
          <cell r="G25">
            <v>0</v>
          </cell>
          <cell r="H25">
            <v>735</v>
          </cell>
          <cell r="I25">
            <v>0</v>
          </cell>
          <cell r="J25">
            <v>1</v>
          </cell>
          <cell r="K25">
            <v>8</v>
          </cell>
          <cell r="L25">
            <v>16</v>
          </cell>
          <cell r="M25">
            <v>104</v>
          </cell>
          <cell r="N25">
            <v>0.17551020408163265</v>
          </cell>
        </row>
        <row r="26">
          <cell r="F26" t="str">
            <v>UAI</v>
          </cell>
          <cell r="G26" t="str">
            <v>NO</v>
          </cell>
          <cell r="H26">
            <v>11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</v>
          </cell>
          <cell r="N26">
            <v>0.18181818181818182</v>
          </cell>
        </row>
        <row r="27">
          <cell r="F27" t="str">
            <v>UAH</v>
          </cell>
          <cell r="G27" t="str">
            <v>Sí</v>
          </cell>
          <cell r="H27">
            <v>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al 25sep17 (oct 2017)"/>
      <sheetName val="Tablas al 2016"/>
      <sheetName val="Tablas al 2015"/>
      <sheetName val="Tablas al 2014"/>
    </sheetNames>
    <sheetDataSet>
      <sheetData sheetId="0"/>
      <sheetData sheetId="1">
        <row r="64">
          <cell r="A64" t="str">
            <v>ANT</v>
          </cell>
          <cell r="B64">
            <v>1</v>
          </cell>
          <cell r="H64">
            <v>1</v>
          </cell>
          <cell r="I64">
            <v>2</v>
          </cell>
          <cell r="J64" t="str">
            <v>CRUCH EST.</v>
          </cell>
          <cell r="K64">
            <v>1</v>
          </cell>
          <cell r="L64">
            <v>1</v>
          </cell>
        </row>
        <row r="65">
          <cell r="A65" t="str">
            <v>AUS</v>
          </cell>
          <cell r="D65">
            <v>1</v>
          </cell>
          <cell r="F65">
            <v>1</v>
          </cell>
          <cell r="I65">
            <v>2</v>
          </cell>
          <cell r="J65" t="str">
            <v>CRUCH PRIV.</v>
          </cell>
          <cell r="L65">
            <v>0</v>
          </cell>
        </row>
        <row r="66">
          <cell r="A66" t="str">
            <v>FSM</v>
          </cell>
          <cell r="B66">
            <v>1</v>
          </cell>
          <cell r="C66">
            <v>4</v>
          </cell>
          <cell r="E66">
            <v>1</v>
          </cell>
          <cell r="F66">
            <v>1</v>
          </cell>
          <cell r="H66">
            <v>8</v>
          </cell>
          <cell r="I66">
            <v>15</v>
          </cell>
          <cell r="J66" t="str">
            <v>CRUCH PRIV.</v>
          </cell>
          <cell r="K66">
            <v>8</v>
          </cell>
          <cell r="L66">
            <v>8</v>
          </cell>
        </row>
        <row r="67">
          <cell r="A67" t="str">
            <v>PUC</v>
          </cell>
          <cell r="B67">
            <v>2</v>
          </cell>
          <cell r="D67">
            <v>4</v>
          </cell>
          <cell r="E67">
            <v>7</v>
          </cell>
          <cell r="F67">
            <v>5</v>
          </cell>
          <cell r="G67">
            <v>12</v>
          </cell>
          <cell r="H67">
            <v>9</v>
          </cell>
          <cell r="I67">
            <v>39</v>
          </cell>
          <cell r="J67" t="str">
            <v>CRUCH PRIV.</v>
          </cell>
          <cell r="K67">
            <v>11</v>
          </cell>
          <cell r="L67">
            <v>11</v>
          </cell>
        </row>
        <row r="68">
          <cell r="A68" t="str">
            <v>TAL</v>
          </cell>
          <cell r="C68">
            <v>1</v>
          </cell>
          <cell r="F68">
            <v>2</v>
          </cell>
          <cell r="G68">
            <v>2</v>
          </cell>
          <cell r="H68">
            <v>1</v>
          </cell>
          <cell r="I68">
            <v>6</v>
          </cell>
          <cell r="J68" t="str">
            <v>CRUCH EST.</v>
          </cell>
          <cell r="K68">
            <v>1</v>
          </cell>
          <cell r="L68">
            <v>1</v>
          </cell>
        </row>
        <row r="69">
          <cell r="A69" t="str">
            <v>UAB</v>
          </cell>
          <cell r="F69">
            <v>3</v>
          </cell>
          <cell r="I69">
            <v>3</v>
          </cell>
          <cell r="L69">
            <v>0</v>
          </cell>
        </row>
        <row r="70">
          <cell r="A70" t="str">
            <v>UBB</v>
          </cell>
          <cell r="C70">
            <v>1</v>
          </cell>
          <cell r="F70">
            <v>1</v>
          </cell>
          <cell r="H70">
            <v>1</v>
          </cell>
          <cell r="I70">
            <v>3</v>
          </cell>
          <cell r="J70" t="str">
            <v>CRUCH EST.</v>
          </cell>
          <cell r="K70">
            <v>1</v>
          </cell>
          <cell r="L70">
            <v>1</v>
          </cell>
        </row>
        <row r="71">
          <cell r="A71" t="str">
            <v>UCH</v>
          </cell>
          <cell r="B71">
            <v>2</v>
          </cell>
          <cell r="C71">
            <v>1</v>
          </cell>
          <cell r="D71">
            <v>3</v>
          </cell>
          <cell r="E71">
            <v>2</v>
          </cell>
          <cell r="F71">
            <v>2</v>
          </cell>
          <cell r="G71">
            <v>10</v>
          </cell>
          <cell r="H71">
            <v>12</v>
          </cell>
          <cell r="I71">
            <v>32</v>
          </cell>
          <cell r="J71" t="str">
            <v>CRUCH EST.</v>
          </cell>
          <cell r="K71">
            <v>14</v>
          </cell>
          <cell r="L71">
            <v>14</v>
          </cell>
        </row>
        <row r="72">
          <cell r="A72" t="str">
            <v>UCM</v>
          </cell>
          <cell r="H72">
            <v>2</v>
          </cell>
          <cell r="I72">
            <v>2</v>
          </cell>
          <cell r="J72" t="str">
            <v>CRUCH PRIV.</v>
          </cell>
          <cell r="K72">
            <v>2</v>
          </cell>
          <cell r="L72">
            <v>2</v>
          </cell>
        </row>
        <row r="73">
          <cell r="A73" t="str">
            <v>UCN</v>
          </cell>
          <cell r="B73">
            <v>1</v>
          </cell>
          <cell r="H73">
            <v>1</v>
          </cell>
          <cell r="I73">
            <v>2</v>
          </cell>
          <cell r="J73" t="str">
            <v>CRUCH PRIV.</v>
          </cell>
          <cell r="K73">
            <v>1</v>
          </cell>
          <cell r="L73">
            <v>1</v>
          </cell>
        </row>
        <row r="74">
          <cell r="A74" t="str">
            <v>UCO</v>
          </cell>
          <cell r="B74">
            <v>4</v>
          </cell>
          <cell r="C74">
            <v>4</v>
          </cell>
          <cell r="D74">
            <v>1</v>
          </cell>
          <cell r="E74">
            <v>4</v>
          </cell>
          <cell r="F74">
            <v>2</v>
          </cell>
          <cell r="G74">
            <v>7</v>
          </cell>
          <cell r="H74">
            <v>6</v>
          </cell>
          <cell r="I74">
            <v>28</v>
          </cell>
          <cell r="J74" t="str">
            <v>CRUCH PRIV.</v>
          </cell>
          <cell r="K74">
            <v>6</v>
          </cell>
          <cell r="L74">
            <v>6</v>
          </cell>
        </row>
        <row r="75">
          <cell r="A75" t="str">
            <v>UCV</v>
          </cell>
          <cell r="F75">
            <v>1</v>
          </cell>
          <cell r="H75">
            <v>1</v>
          </cell>
          <cell r="I75">
            <v>2</v>
          </cell>
          <cell r="J75" t="str">
            <v>CRUCH PRIV.</v>
          </cell>
          <cell r="K75">
            <v>2</v>
          </cell>
          <cell r="L75">
            <v>2</v>
          </cell>
        </row>
        <row r="76">
          <cell r="A76" t="str">
            <v>UDD</v>
          </cell>
          <cell r="B76">
            <v>1</v>
          </cell>
          <cell r="D76">
            <v>1</v>
          </cell>
          <cell r="G76">
            <v>1</v>
          </cell>
          <cell r="H76">
            <v>2</v>
          </cell>
          <cell r="I76">
            <v>5</v>
          </cell>
          <cell r="J76" t="str">
            <v>U. Privada</v>
          </cell>
          <cell r="K76">
            <v>2</v>
          </cell>
          <cell r="L76">
            <v>2</v>
          </cell>
        </row>
        <row r="77">
          <cell r="A77" t="str">
            <v>ULA</v>
          </cell>
          <cell r="H77">
            <v>1</v>
          </cell>
          <cell r="I77">
            <v>1</v>
          </cell>
          <cell r="J77" t="str">
            <v>CRUCH EST.</v>
          </cell>
          <cell r="K77">
            <v>1</v>
          </cell>
          <cell r="L77">
            <v>1</v>
          </cell>
        </row>
        <row r="78">
          <cell r="A78" t="str">
            <v>UMA</v>
          </cell>
          <cell r="H78">
            <v>1</v>
          </cell>
          <cell r="I78">
            <v>1</v>
          </cell>
          <cell r="J78" t="str">
            <v>U. Privada</v>
          </cell>
          <cell r="K78">
            <v>1</v>
          </cell>
          <cell r="L78">
            <v>1</v>
          </cell>
        </row>
        <row r="79">
          <cell r="A79" t="str">
            <v>USA</v>
          </cell>
          <cell r="B79">
            <v>2</v>
          </cell>
          <cell r="C79">
            <v>3</v>
          </cell>
          <cell r="D79">
            <v>6</v>
          </cell>
          <cell r="E79">
            <v>5</v>
          </cell>
          <cell r="F79">
            <v>2</v>
          </cell>
          <cell r="G79">
            <v>15</v>
          </cell>
          <cell r="H79">
            <v>13</v>
          </cell>
          <cell r="I79">
            <v>46</v>
          </cell>
          <cell r="J79" t="str">
            <v>CRUCH EST.</v>
          </cell>
          <cell r="K79">
            <v>13</v>
          </cell>
          <cell r="L79">
            <v>13</v>
          </cell>
        </row>
        <row r="80">
          <cell r="A80" t="str">
            <v>UTA</v>
          </cell>
          <cell r="D80">
            <v>1</v>
          </cell>
          <cell r="I80">
            <v>1</v>
          </cell>
          <cell r="J80" t="str">
            <v>CRUCH EST.</v>
          </cell>
          <cell r="L80">
            <v>0</v>
          </cell>
        </row>
        <row r="81">
          <cell r="A81" t="str">
            <v>UVA</v>
          </cell>
          <cell r="J81" t="str">
            <v>CRUCH EST.</v>
          </cell>
          <cell r="K81">
            <v>1</v>
          </cell>
          <cell r="L81">
            <v>1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ías"/>
      <sheetName val="Valores"/>
      <sheetName val="Indicadores"/>
      <sheetName val="Montos"/>
      <sheetName val="Hoja2"/>
      <sheetName val="Hoja3"/>
    </sheetNames>
    <sheetDataSet>
      <sheetData sheetId="0"/>
      <sheetData sheetId="1">
        <row r="4">
          <cell r="B4" t="str">
            <v>UCH</v>
          </cell>
          <cell r="C4" t="str">
            <v>CRUCH-ESTATAL</v>
          </cell>
          <cell r="D4" t="str">
            <v>Categoría I</v>
          </cell>
          <cell r="E4">
            <v>1509</v>
          </cell>
          <cell r="F4">
            <v>38234</v>
          </cell>
          <cell r="G4">
            <v>1069.7840909090892</v>
          </cell>
          <cell r="H4">
            <v>2159.8636363636306</v>
          </cell>
          <cell r="I4">
            <v>434.19318181818016</v>
          </cell>
          <cell r="J4">
            <v>123.8636363636364</v>
          </cell>
          <cell r="K4">
            <v>2369</v>
          </cell>
          <cell r="L4">
            <v>61168</v>
          </cell>
          <cell r="M4">
            <v>10443</v>
          </cell>
          <cell r="N4">
            <v>2775</v>
          </cell>
          <cell r="O4">
            <v>6107</v>
          </cell>
          <cell r="P4">
            <v>4696</v>
          </cell>
          <cell r="Q4">
            <v>5592</v>
          </cell>
          <cell r="R4">
            <v>3575</v>
          </cell>
          <cell r="S4">
            <v>5011</v>
          </cell>
          <cell r="T4">
            <v>21</v>
          </cell>
          <cell r="U4">
            <v>193</v>
          </cell>
          <cell r="V4">
            <v>227</v>
          </cell>
          <cell r="W4">
            <v>188</v>
          </cell>
          <cell r="X4">
            <v>10</v>
          </cell>
        </row>
        <row r="5">
          <cell r="B5" t="str">
            <v>USA</v>
          </cell>
          <cell r="C5" t="str">
            <v>CRUCH-ESTATAL</v>
          </cell>
          <cell r="D5" t="str">
            <v>Categoría I</v>
          </cell>
          <cell r="E5">
            <v>577</v>
          </cell>
          <cell r="F5">
            <v>23450</v>
          </cell>
          <cell r="G5">
            <v>417.27272727272748</v>
          </cell>
          <cell r="H5">
            <v>1012.1818181818237</v>
          </cell>
          <cell r="I5">
            <v>285.06818181818403</v>
          </cell>
          <cell r="J5">
            <v>8.5227272727272734</v>
          </cell>
          <cell r="K5">
            <v>475</v>
          </cell>
          <cell r="L5">
            <v>9572</v>
          </cell>
          <cell r="M5">
            <v>2232</v>
          </cell>
          <cell r="N5">
            <v>2716</v>
          </cell>
          <cell r="O5">
            <v>4118</v>
          </cell>
          <cell r="P5">
            <v>3031</v>
          </cell>
          <cell r="Q5">
            <v>3789</v>
          </cell>
          <cell r="R5">
            <v>2337</v>
          </cell>
          <cell r="S5">
            <v>3722</v>
          </cell>
          <cell r="T5">
            <v>21</v>
          </cell>
          <cell r="U5">
            <v>61</v>
          </cell>
          <cell r="V5">
            <v>74</v>
          </cell>
          <cell r="W5">
            <v>80</v>
          </cell>
          <cell r="X5">
            <v>15</v>
          </cell>
        </row>
        <row r="6">
          <cell r="B6" t="str">
            <v>ANT</v>
          </cell>
          <cell r="C6" t="str">
            <v>CRUCH-ESTATAL</v>
          </cell>
          <cell r="D6" t="str">
            <v>Categoría II</v>
          </cell>
          <cell r="E6">
            <v>306</v>
          </cell>
          <cell r="F6">
            <v>7628</v>
          </cell>
          <cell r="G6">
            <v>131.23295454545459</v>
          </cell>
          <cell r="H6">
            <v>395.66204545454542</v>
          </cell>
          <cell r="I6">
            <v>111.57954545454545</v>
          </cell>
          <cell r="J6">
            <v>19.49431818181818</v>
          </cell>
          <cell r="K6">
            <v>147</v>
          </cell>
          <cell r="L6">
            <v>2340</v>
          </cell>
          <cell r="M6">
            <v>596</v>
          </cell>
          <cell r="N6">
            <v>461</v>
          </cell>
          <cell r="O6">
            <v>1184</v>
          </cell>
          <cell r="P6">
            <v>969</v>
          </cell>
          <cell r="Q6">
            <v>1149</v>
          </cell>
          <cell r="R6">
            <v>683</v>
          </cell>
          <cell r="S6">
            <v>998</v>
          </cell>
          <cell r="T6">
            <v>1</v>
          </cell>
          <cell r="U6">
            <v>13</v>
          </cell>
          <cell r="V6">
            <v>13</v>
          </cell>
          <cell r="W6">
            <v>8</v>
          </cell>
          <cell r="X6">
            <v>0</v>
          </cell>
        </row>
        <row r="7">
          <cell r="B7" t="str">
            <v>FRO</v>
          </cell>
          <cell r="C7" t="str">
            <v>CRUCH-ESTATAL</v>
          </cell>
          <cell r="D7" t="str">
            <v>Categoría II</v>
          </cell>
          <cell r="E7">
            <v>281</v>
          </cell>
          <cell r="F7">
            <v>10139</v>
          </cell>
          <cell r="G7">
            <v>181.11363636363637</v>
          </cell>
          <cell r="H7">
            <v>370.95454545454538</v>
          </cell>
          <cell r="I7">
            <v>99.204545454545396</v>
          </cell>
          <cell r="J7">
            <v>11.363636363636362</v>
          </cell>
          <cell r="K7">
            <v>408</v>
          </cell>
          <cell r="L7">
            <v>8512</v>
          </cell>
          <cell r="M7">
            <v>1655</v>
          </cell>
          <cell r="N7">
            <v>1456</v>
          </cell>
          <cell r="O7">
            <v>2078</v>
          </cell>
          <cell r="P7">
            <v>1597</v>
          </cell>
          <cell r="Q7">
            <v>1897</v>
          </cell>
          <cell r="R7">
            <v>1294</v>
          </cell>
          <cell r="S7">
            <v>1949</v>
          </cell>
          <cell r="T7">
            <v>15</v>
          </cell>
          <cell r="U7">
            <v>29</v>
          </cell>
          <cell r="V7">
            <v>33</v>
          </cell>
          <cell r="W7">
            <v>42</v>
          </cell>
          <cell r="X7">
            <v>0</v>
          </cell>
        </row>
        <row r="8">
          <cell r="B8" t="str">
            <v>TAL</v>
          </cell>
          <cell r="C8" t="str">
            <v>CRUCH-ESTATAL</v>
          </cell>
          <cell r="D8" t="str">
            <v>Categoría II</v>
          </cell>
          <cell r="E8">
            <v>336</v>
          </cell>
          <cell r="F8">
            <v>10518</v>
          </cell>
          <cell r="G8">
            <v>209.68181818181824</v>
          </cell>
          <cell r="H8">
            <v>427.72727272727286</v>
          </cell>
          <cell r="I8">
            <v>185.95454545454555</v>
          </cell>
          <cell r="J8">
            <v>14.84090909090909</v>
          </cell>
          <cell r="K8">
            <v>342</v>
          </cell>
          <cell r="L8">
            <v>4053</v>
          </cell>
          <cell r="M8">
            <v>1326</v>
          </cell>
          <cell r="N8">
            <v>1310</v>
          </cell>
          <cell r="O8">
            <v>1852</v>
          </cell>
          <cell r="P8">
            <v>1504</v>
          </cell>
          <cell r="Q8">
            <v>1740</v>
          </cell>
          <cell r="R8">
            <v>1251</v>
          </cell>
          <cell r="S8">
            <v>1774</v>
          </cell>
          <cell r="T8">
            <v>4</v>
          </cell>
          <cell r="U8">
            <v>14</v>
          </cell>
          <cell r="V8">
            <v>11</v>
          </cell>
          <cell r="W8">
            <v>11</v>
          </cell>
          <cell r="X8">
            <v>2</v>
          </cell>
        </row>
        <row r="9">
          <cell r="B9" t="str">
            <v>UTA</v>
          </cell>
          <cell r="C9" t="str">
            <v>CRUCH-ESTATAL</v>
          </cell>
          <cell r="D9" t="str">
            <v>Categoría II</v>
          </cell>
          <cell r="E9">
            <v>323</v>
          </cell>
          <cell r="F9">
            <v>8780</v>
          </cell>
          <cell r="G9">
            <v>112.5</v>
          </cell>
          <cell r="H9">
            <v>358.79545454545456</v>
          </cell>
          <cell r="I9">
            <v>182.20454545454552</v>
          </cell>
          <cell r="J9">
            <v>0.56818181818181812</v>
          </cell>
          <cell r="K9">
            <v>189</v>
          </cell>
          <cell r="L9">
            <v>2919</v>
          </cell>
          <cell r="M9">
            <v>820</v>
          </cell>
          <cell r="N9">
            <v>1028</v>
          </cell>
          <cell r="O9">
            <v>1541</v>
          </cell>
          <cell r="P9">
            <v>1044</v>
          </cell>
          <cell r="Q9">
            <v>1291</v>
          </cell>
          <cell r="R9">
            <v>1035</v>
          </cell>
          <cell r="S9">
            <v>1475</v>
          </cell>
          <cell r="T9">
            <v>1</v>
          </cell>
          <cell r="U9">
            <v>1</v>
          </cell>
          <cell r="V9">
            <v>5</v>
          </cell>
          <cell r="W9">
            <v>1</v>
          </cell>
          <cell r="X9">
            <v>0</v>
          </cell>
        </row>
        <row r="10">
          <cell r="B10" t="str">
            <v>UVA</v>
          </cell>
          <cell r="C10" t="str">
            <v>CRUCH-ESTATAL</v>
          </cell>
          <cell r="D10" t="str">
            <v>Categoría II</v>
          </cell>
          <cell r="E10">
            <v>543</v>
          </cell>
          <cell r="F10">
            <v>15340</v>
          </cell>
          <cell r="G10">
            <v>202.7795454545456</v>
          </cell>
          <cell r="H10">
            <v>879.63409090909204</v>
          </cell>
          <cell r="I10">
            <v>305.25681818181829</v>
          </cell>
          <cell r="J10">
            <v>73.647727272727266</v>
          </cell>
          <cell r="K10">
            <v>341</v>
          </cell>
          <cell r="L10">
            <v>9149</v>
          </cell>
          <cell r="M10">
            <v>1446</v>
          </cell>
          <cell r="N10">
            <v>1840</v>
          </cell>
          <cell r="O10">
            <v>3060</v>
          </cell>
          <cell r="P10">
            <v>2297</v>
          </cell>
          <cell r="Q10">
            <v>2849</v>
          </cell>
          <cell r="R10">
            <v>2105</v>
          </cell>
          <cell r="S10">
            <v>3285</v>
          </cell>
          <cell r="T10">
            <v>0</v>
          </cell>
          <cell r="U10">
            <v>5</v>
          </cell>
          <cell r="V10">
            <v>8</v>
          </cell>
          <cell r="W10">
            <v>5</v>
          </cell>
          <cell r="X10">
            <v>0</v>
          </cell>
        </row>
        <row r="11">
          <cell r="B11" t="str">
            <v>UBB</v>
          </cell>
          <cell r="C11" t="str">
            <v>CRUCH-ESTATAL</v>
          </cell>
          <cell r="D11" t="str">
            <v>Categoría II</v>
          </cell>
          <cell r="E11">
            <v>446</v>
          </cell>
          <cell r="F11">
            <v>12488</v>
          </cell>
          <cell r="G11">
            <v>205.04545454545453</v>
          </cell>
          <cell r="H11">
            <v>509.56818181818181</v>
          </cell>
          <cell r="I11">
            <v>221.79545454545459</v>
          </cell>
          <cell r="J11">
            <v>0</v>
          </cell>
          <cell r="K11">
            <v>171</v>
          </cell>
          <cell r="L11">
            <v>2251</v>
          </cell>
          <cell r="M11">
            <v>734</v>
          </cell>
          <cell r="N11">
            <v>1841</v>
          </cell>
          <cell r="O11">
            <v>2302</v>
          </cell>
          <cell r="P11">
            <v>1799</v>
          </cell>
          <cell r="Q11">
            <v>2115</v>
          </cell>
          <cell r="R11">
            <v>1589</v>
          </cell>
          <cell r="S11">
            <v>2110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B12" t="str">
            <v>ULS</v>
          </cell>
          <cell r="C12" t="str">
            <v>CRUCH-ESTATAL</v>
          </cell>
          <cell r="D12" t="str">
            <v>Categoría II</v>
          </cell>
          <cell r="E12">
            <v>208</v>
          </cell>
          <cell r="F12">
            <v>7112</v>
          </cell>
          <cell r="G12">
            <v>98.272727272727252</v>
          </cell>
          <cell r="H12">
            <v>342.09090909090861</v>
          </cell>
          <cell r="I12">
            <v>82.545454545454447</v>
          </cell>
          <cell r="J12">
            <v>2.8181818181818183</v>
          </cell>
          <cell r="K12">
            <v>110</v>
          </cell>
          <cell r="L12">
            <v>3273</v>
          </cell>
          <cell r="M12">
            <v>526</v>
          </cell>
          <cell r="N12">
            <v>1051</v>
          </cell>
          <cell r="O12">
            <v>1619</v>
          </cell>
          <cell r="P12">
            <v>1228</v>
          </cell>
          <cell r="Q12">
            <v>1546</v>
          </cell>
          <cell r="R12">
            <v>952</v>
          </cell>
          <cell r="S12">
            <v>1550</v>
          </cell>
          <cell r="T12">
            <v>0</v>
          </cell>
          <cell r="U12">
            <v>0</v>
          </cell>
          <cell r="V12">
            <v>2</v>
          </cell>
          <cell r="W12">
            <v>1</v>
          </cell>
          <cell r="X12">
            <v>0</v>
          </cell>
        </row>
        <row r="13">
          <cell r="B13" t="str">
            <v>UPA</v>
          </cell>
          <cell r="C13" t="str">
            <v>CRUCH-ESTATAL</v>
          </cell>
          <cell r="D13" t="str">
            <v>Categoría II</v>
          </cell>
          <cell r="E13">
            <v>297</v>
          </cell>
          <cell r="F13">
            <v>8740</v>
          </cell>
          <cell r="G13">
            <v>98.884090909090787</v>
          </cell>
          <cell r="H13">
            <v>391.1431818181818</v>
          </cell>
          <cell r="I13">
            <v>196.81818181818213</v>
          </cell>
          <cell r="J13">
            <v>0.40909090909090906</v>
          </cell>
          <cell r="K13">
            <v>111</v>
          </cell>
          <cell r="L13">
            <v>401</v>
          </cell>
          <cell r="M13">
            <v>245</v>
          </cell>
          <cell r="N13">
            <v>1247</v>
          </cell>
          <cell r="O13">
            <v>1732</v>
          </cell>
          <cell r="P13">
            <v>1116</v>
          </cell>
          <cell r="Q13">
            <v>1427</v>
          </cell>
          <cell r="R13">
            <v>877</v>
          </cell>
          <cell r="S13">
            <v>1471</v>
          </cell>
          <cell r="T13">
            <v>1</v>
          </cell>
          <cell r="U13">
            <v>12</v>
          </cell>
          <cell r="V13">
            <v>23</v>
          </cell>
          <cell r="W13">
            <v>14</v>
          </cell>
          <cell r="X13">
            <v>0</v>
          </cell>
        </row>
        <row r="14">
          <cell r="B14" t="str">
            <v>UAP</v>
          </cell>
          <cell r="C14" t="str">
            <v>CRUCH-ESTATAL</v>
          </cell>
          <cell r="D14" t="str">
            <v>Categoría III</v>
          </cell>
          <cell r="E14">
            <v>233</v>
          </cell>
          <cell r="F14">
            <v>14002</v>
          </cell>
          <cell r="G14">
            <v>56.454545454545453</v>
          </cell>
          <cell r="H14">
            <v>378.36181818181802</v>
          </cell>
          <cell r="I14">
            <v>144.18931818181829</v>
          </cell>
          <cell r="J14">
            <v>0</v>
          </cell>
          <cell r="K14">
            <v>55</v>
          </cell>
          <cell r="L14">
            <v>1165</v>
          </cell>
          <cell r="M14">
            <v>264</v>
          </cell>
          <cell r="N14">
            <v>603</v>
          </cell>
          <cell r="O14">
            <v>942</v>
          </cell>
          <cell r="P14">
            <v>772</v>
          </cell>
          <cell r="Q14">
            <v>1032</v>
          </cell>
          <cell r="R14">
            <v>569</v>
          </cell>
          <cell r="S14">
            <v>998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B15" t="str">
            <v>ATA</v>
          </cell>
          <cell r="C15" t="str">
            <v>CRUCH-ESTATAL</v>
          </cell>
          <cell r="D15" t="str">
            <v>Categoría III</v>
          </cell>
          <cell r="E15">
            <v>200</v>
          </cell>
          <cell r="F15">
            <v>4352</v>
          </cell>
          <cell r="G15">
            <v>40.5</v>
          </cell>
          <cell r="H15">
            <v>247.93181818181804</v>
          </cell>
          <cell r="I15">
            <v>41.295454545454554</v>
          </cell>
          <cell r="J15">
            <v>0</v>
          </cell>
          <cell r="K15">
            <v>26</v>
          </cell>
          <cell r="L15">
            <v>331</v>
          </cell>
          <cell r="M15">
            <v>116</v>
          </cell>
          <cell r="N15">
            <v>572</v>
          </cell>
          <cell r="O15">
            <v>1017</v>
          </cell>
          <cell r="P15">
            <v>631</v>
          </cell>
          <cell r="Q15">
            <v>891</v>
          </cell>
          <cell r="R15">
            <v>304</v>
          </cell>
          <cell r="S15">
            <v>686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B16" t="str">
            <v>ULA</v>
          </cell>
          <cell r="C16" t="str">
            <v>CRUCH-ESTATAL</v>
          </cell>
          <cell r="D16" t="str">
            <v>Categoría III</v>
          </cell>
          <cell r="E16">
            <v>241</v>
          </cell>
          <cell r="F16">
            <v>9382</v>
          </cell>
          <cell r="G16">
            <v>69.545454545454547</v>
          </cell>
          <cell r="H16">
            <v>365.53863636363604</v>
          </cell>
          <cell r="I16">
            <v>141.14772727272737</v>
          </cell>
          <cell r="J16">
            <v>0</v>
          </cell>
          <cell r="K16">
            <v>81</v>
          </cell>
          <cell r="L16">
            <v>939</v>
          </cell>
          <cell r="M16">
            <v>311</v>
          </cell>
          <cell r="N16">
            <v>694</v>
          </cell>
          <cell r="O16">
            <v>847</v>
          </cell>
          <cell r="P16">
            <v>713</v>
          </cell>
          <cell r="Q16">
            <v>885</v>
          </cell>
          <cell r="R16">
            <v>427</v>
          </cell>
          <cell r="S16">
            <v>641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B17" t="str">
            <v>MAG</v>
          </cell>
          <cell r="C17" t="str">
            <v>CRUCH-ESTATAL</v>
          </cell>
          <cell r="D17" t="str">
            <v>Categoría III</v>
          </cell>
          <cell r="E17">
            <v>182</v>
          </cell>
          <cell r="F17">
            <v>4278</v>
          </cell>
          <cell r="G17">
            <v>56.11363636363636</v>
          </cell>
          <cell r="H17">
            <v>269.36363636363654</v>
          </cell>
          <cell r="I17">
            <v>62.340909090909051</v>
          </cell>
          <cell r="J17">
            <v>0.75</v>
          </cell>
          <cell r="K17">
            <v>77</v>
          </cell>
          <cell r="L17">
            <v>806</v>
          </cell>
          <cell r="M17">
            <v>268</v>
          </cell>
          <cell r="N17">
            <v>325</v>
          </cell>
          <cell r="O17">
            <v>668</v>
          </cell>
          <cell r="P17">
            <v>467</v>
          </cell>
          <cell r="Q17">
            <v>559</v>
          </cell>
          <cell r="R17">
            <v>283</v>
          </cell>
          <cell r="S17">
            <v>446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B18" t="str">
            <v>UMC</v>
          </cell>
          <cell r="C18" t="str">
            <v>CRUCH-ESTATAL</v>
          </cell>
          <cell r="D18" t="str">
            <v>Categoría III</v>
          </cell>
          <cell r="E18">
            <v>225</v>
          </cell>
          <cell r="F18">
            <v>4961</v>
          </cell>
          <cell r="G18">
            <v>64.272727272727266</v>
          </cell>
          <cell r="H18">
            <v>323.43181818181807</v>
          </cell>
          <cell r="I18">
            <v>142.86363636363637</v>
          </cell>
          <cell r="J18">
            <v>0.13636363636363635</v>
          </cell>
          <cell r="K18">
            <v>33</v>
          </cell>
          <cell r="L18">
            <v>341</v>
          </cell>
          <cell r="M18">
            <v>117</v>
          </cell>
          <cell r="N18">
            <v>777</v>
          </cell>
          <cell r="O18">
            <v>1180</v>
          </cell>
          <cell r="P18">
            <v>872</v>
          </cell>
          <cell r="Q18">
            <v>1044</v>
          </cell>
          <cell r="R18">
            <v>621</v>
          </cell>
          <cell r="S18">
            <v>977</v>
          </cell>
          <cell r="T18">
            <v>0</v>
          </cell>
          <cell r="U18">
            <v>5</v>
          </cell>
          <cell r="V18">
            <v>0</v>
          </cell>
          <cell r="W18">
            <v>3</v>
          </cell>
          <cell r="X18">
            <v>0</v>
          </cell>
        </row>
        <row r="19">
          <cell r="B19" t="str">
            <v>UTM</v>
          </cell>
          <cell r="C19" t="str">
            <v>CRUCH-ESTATAL</v>
          </cell>
          <cell r="D19" t="str">
            <v>Categoría III</v>
          </cell>
          <cell r="E19">
            <v>188</v>
          </cell>
          <cell r="F19">
            <v>7676</v>
          </cell>
          <cell r="G19">
            <v>57.159090909090878</v>
          </cell>
          <cell r="H19">
            <v>302.34090909090895</v>
          </cell>
          <cell r="I19">
            <v>127.18181818181819</v>
          </cell>
          <cell r="J19">
            <v>0</v>
          </cell>
          <cell r="K19">
            <v>17</v>
          </cell>
          <cell r="L19">
            <v>301</v>
          </cell>
          <cell r="M19">
            <v>63</v>
          </cell>
          <cell r="N19">
            <v>1537</v>
          </cell>
          <cell r="O19">
            <v>2054</v>
          </cell>
          <cell r="P19">
            <v>1487</v>
          </cell>
          <cell r="Q19">
            <v>1846</v>
          </cell>
          <cell r="R19">
            <v>780</v>
          </cell>
          <cell r="S19">
            <v>1568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B20" t="str">
            <v>PUC</v>
          </cell>
          <cell r="C20" t="str">
            <v>CRUCH-PRIVADA</v>
          </cell>
          <cell r="D20" t="str">
            <v>Categoría I</v>
          </cell>
          <cell r="E20">
            <v>1478</v>
          </cell>
          <cell r="F20">
            <v>30202</v>
          </cell>
          <cell r="G20">
            <v>942.86363636363592</v>
          </cell>
          <cell r="H20">
            <v>2081.8409090909081</v>
          </cell>
          <cell r="I20">
            <v>471.91590909090894</v>
          </cell>
          <cell r="J20">
            <v>386.15909090909076</v>
          </cell>
          <cell r="K20">
            <v>1851</v>
          </cell>
          <cell r="L20">
            <v>68545</v>
          </cell>
          <cell r="M20">
            <v>8788</v>
          </cell>
          <cell r="N20">
            <v>1253</v>
          </cell>
          <cell r="O20">
            <v>5279</v>
          </cell>
          <cell r="P20">
            <v>4636</v>
          </cell>
          <cell r="Q20">
            <v>5201</v>
          </cell>
          <cell r="R20">
            <v>3647</v>
          </cell>
          <cell r="S20">
            <v>4922</v>
          </cell>
          <cell r="T20">
            <v>39</v>
          </cell>
          <cell r="U20">
            <v>140</v>
          </cell>
          <cell r="V20">
            <v>152</v>
          </cell>
          <cell r="W20">
            <v>184</v>
          </cell>
          <cell r="X20">
            <v>13</v>
          </cell>
        </row>
        <row r="21">
          <cell r="B21" t="str">
            <v>UCO</v>
          </cell>
          <cell r="C21" t="str">
            <v>CRUCH-PRIVADA</v>
          </cell>
          <cell r="D21" t="str">
            <v>Categoría I</v>
          </cell>
          <cell r="E21">
            <v>1088</v>
          </cell>
          <cell r="F21">
            <v>26408</v>
          </cell>
          <cell r="G21">
            <v>685.4318181818179</v>
          </cell>
          <cell r="H21">
            <v>1397.8409090909086</v>
          </cell>
          <cell r="I21">
            <v>389.20454545454527</v>
          </cell>
          <cell r="J21">
            <v>115.11363636363636</v>
          </cell>
          <cell r="K21">
            <v>946</v>
          </cell>
          <cell r="L21">
            <v>24135</v>
          </cell>
          <cell r="M21">
            <v>4558</v>
          </cell>
          <cell r="N21">
            <v>3288</v>
          </cell>
          <cell r="O21">
            <v>4876</v>
          </cell>
          <cell r="P21">
            <v>3772</v>
          </cell>
          <cell r="Q21">
            <v>4703</v>
          </cell>
          <cell r="R21">
            <v>3118</v>
          </cell>
          <cell r="S21">
            <v>4727</v>
          </cell>
          <cell r="T21">
            <v>24</v>
          </cell>
          <cell r="U21">
            <v>97</v>
          </cell>
          <cell r="V21">
            <v>97</v>
          </cell>
          <cell r="W21">
            <v>105</v>
          </cell>
          <cell r="X21">
            <v>8</v>
          </cell>
        </row>
        <row r="22">
          <cell r="B22" t="str">
            <v>UCV</v>
          </cell>
          <cell r="C22" t="str">
            <v>CRUCH-PRIVADA</v>
          </cell>
          <cell r="D22" t="str">
            <v>Categoría II</v>
          </cell>
          <cell r="E22">
            <v>488</v>
          </cell>
          <cell r="F22">
            <v>14972</v>
          </cell>
          <cell r="G22">
            <v>343.44886363636357</v>
          </cell>
          <cell r="H22">
            <v>647.05113636363581</v>
          </cell>
          <cell r="I22">
            <v>154.81249999999986</v>
          </cell>
          <cell r="J22">
            <v>0.95454545454545459</v>
          </cell>
          <cell r="K22">
            <v>484</v>
          </cell>
          <cell r="L22">
            <v>6917</v>
          </cell>
          <cell r="M22">
            <v>1890</v>
          </cell>
          <cell r="N22">
            <v>1875</v>
          </cell>
          <cell r="O22">
            <v>3287</v>
          </cell>
          <cell r="P22">
            <v>2558</v>
          </cell>
          <cell r="Q22">
            <v>3198</v>
          </cell>
          <cell r="R22">
            <v>1737</v>
          </cell>
          <cell r="S22">
            <v>2995</v>
          </cell>
          <cell r="T22">
            <v>9</v>
          </cell>
          <cell r="U22">
            <v>43</v>
          </cell>
          <cell r="V22">
            <v>41</v>
          </cell>
          <cell r="W22">
            <v>56</v>
          </cell>
          <cell r="X22">
            <v>1</v>
          </cell>
        </row>
        <row r="23">
          <cell r="B23" t="str">
            <v>AUS</v>
          </cell>
          <cell r="C23" t="str">
            <v>CRUCH-PRIVADA</v>
          </cell>
          <cell r="D23" t="str">
            <v>Categoría II</v>
          </cell>
          <cell r="E23">
            <v>729</v>
          </cell>
          <cell r="F23">
            <v>13852</v>
          </cell>
          <cell r="G23">
            <v>354.13636363636368</v>
          </cell>
          <cell r="H23">
            <v>934.90909090909156</v>
          </cell>
          <cell r="I23">
            <v>218.40909090909111</v>
          </cell>
          <cell r="J23">
            <v>64.409090909090935</v>
          </cell>
          <cell r="K23">
            <v>460</v>
          </cell>
          <cell r="L23">
            <v>10927</v>
          </cell>
          <cell r="M23">
            <v>2124</v>
          </cell>
          <cell r="N23">
            <v>1820</v>
          </cell>
          <cell r="O23">
            <v>2937</v>
          </cell>
          <cell r="P23">
            <v>2278</v>
          </cell>
          <cell r="Q23">
            <v>2751</v>
          </cell>
          <cell r="R23">
            <v>1493</v>
          </cell>
          <cell r="S23">
            <v>2371</v>
          </cell>
          <cell r="T23">
            <v>9</v>
          </cell>
          <cell r="U23">
            <v>4</v>
          </cell>
          <cell r="V23">
            <v>36</v>
          </cell>
          <cell r="W23">
            <v>54</v>
          </cell>
          <cell r="X23">
            <v>0</v>
          </cell>
        </row>
        <row r="24">
          <cell r="B24" t="str">
            <v>UCN</v>
          </cell>
          <cell r="C24" t="str">
            <v>CRUCH-PRIVADA</v>
          </cell>
          <cell r="D24" t="str">
            <v>Categoría II</v>
          </cell>
          <cell r="E24">
            <v>411</v>
          </cell>
          <cell r="F24">
            <v>10767</v>
          </cell>
          <cell r="G24">
            <v>197.59318181818185</v>
          </cell>
          <cell r="H24">
            <v>553.11363636363626</v>
          </cell>
          <cell r="I24">
            <v>157.10681818181826</v>
          </cell>
          <cell r="J24">
            <v>20.5</v>
          </cell>
          <cell r="K24">
            <v>312</v>
          </cell>
          <cell r="L24">
            <v>5338</v>
          </cell>
          <cell r="M24">
            <v>1352</v>
          </cell>
          <cell r="N24">
            <v>907</v>
          </cell>
          <cell r="O24">
            <v>1950</v>
          </cell>
          <cell r="P24">
            <v>1522</v>
          </cell>
          <cell r="Q24">
            <v>1881</v>
          </cell>
          <cell r="R24">
            <v>1133</v>
          </cell>
          <cell r="S24">
            <v>1745</v>
          </cell>
          <cell r="T24">
            <v>3</v>
          </cell>
          <cell r="U24">
            <v>12</v>
          </cell>
          <cell r="V24">
            <v>14</v>
          </cell>
          <cell r="W24">
            <v>10</v>
          </cell>
          <cell r="X24">
            <v>0</v>
          </cell>
        </row>
        <row r="25">
          <cell r="B25" t="str">
            <v>FSM</v>
          </cell>
          <cell r="C25" t="str">
            <v>CRUCH-PRIVADA</v>
          </cell>
          <cell r="D25" t="str">
            <v>Categoría II</v>
          </cell>
          <cell r="E25">
            <v>415</v>
          </cell>
          <cell r="F25">
            <v>19268</v>
          </cell>
          <cell r="G25">
            <v>230.84227272727284</v>
          </cell>
          <cell r="H25">
            <v>635.52568181818174</v>
          </cell>
          <cell r="I25">
            <v>167.9997727272727</v>
          </cell>
          <cell r="J25">
            <v>0</v>
          </cell>
          <cell r="K25">
            <v>495</v>
          </cell>
          <cell r="L25">
            <v>23322</v>
          </cell>
          <cell r="M25">
            <v>2326</v>
          </cell>
          <cell r="N25">
            <v>912</v>
          </cell>
          <cell r="O25">
            <v>1851</v>
          </cell>
          <cell r="P25">
            <v>1489</v>
          </cell>
          <cell r="Q25">
            <v>1861</v>
          </cell>
          <cell r="R25">
            <v>1093</v>
          </cell>
          <cell r="S25">
            <v>1849</v>
          </cell>
          <cell r="T25">
            <v>3</v>
          </cell>
          <cell r="U25">
            <v>15</v>
          </cell>
          <cell r="V25">
            <v>22</v>
          </cell>
          <cell r="W25">
            <v>27</v>
          </cell>
          <cell r="X25">
            <v>0</v>
          </cell>
        </row>
        <row r="26">
          <cell r="B26" t="str">
            <v>UCT</v>
          </cell>
          <cell r="C26" t="str">
            <v>CRUCH-PRIVADA</v>
          </cell>
          <cell r="D26" t="str">
            <v>Categoría II</v>
          </cell>
          <cell r="E26">
            <v>295</v>
          </cell>
          <cell r="F26">
            <v>8848</v>
          </cell>
          <cell r="G26">
            <v>121.20522727272726</v>
          </cell>
          <cell r="H26">
            <v>429.141818181818</v>
          </cell>
          <cell r="I26">
            <v>165.03295454545449</v>
          </cell>
          <cell r="J26">
            <v>0.13636363636363635</v>
          </cell>
          <cell r="K26">
            <v>109</v>
          </cell>
          <cell r="L26">
            <v>976</v>
          </cell>
          <cell r="M26">
            <v>455</v>
          </cell>
          <cell r="N26">
            <v>1532</v>
          </cell>
          <cell r="O26">
            <v>1926</v>
          </cell>
          <cell r="P26">
            <v>1437</v>
          </cell>
          <cell r="Q26">
            <v>1697</v>
          </cell>
          <cell r="R26">
            <v>1053</v>
          </cell>
          <cell r="S26">
            <v>1647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USC</v>
          </cell>
          <cell r="C27" t="str">
            <v>CRUCH-PRIVADA</v>
          </cell>
          <cell r="D27" t="str">
            <v>Categoría III</v>
          </cell>
          <cell r="E27">
            <v>258</v>
          </cell>
          <cell r="F27">
            <v>13548</v>
          </cell>
          <cell r="G27">
            <v>117.6818181818182</v>
          </cell>
          <cell r="H27">
            <v>446.2045454545451</v>
          </cell>
          <cell r="I27">
            <v>154.3181818181819</v>
          </cell>
          <cell r="J27">
            <v>24.886363636363637</v>
          </cell>
          <cell r="K27">
            <v>80</v>
          </cell>
          <cell r="L27">
            <v>790</v>
          </cell>
          <cell r="M27">
            <v>326</v>
          </cell>
          <cell r="N27">
            <v>1395</v>
          </cell>
          <cell r="O27">
            <v>1789</v>
          </cell>
          <cell r="P27">
            <v>1459</v>
          </cell>
          <cell r="Q27">
            <v>1715</v>
          </cell>
          <cell r="R27">
            <v>1290</v>
          </cell>
          <cell r="S27">
            <v>1876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UCM</v>
          </cell>
          <cell r="C28" t="str">
            <v>CRUCH-PRIVADA</v>
          </cell>
          <cell r="D28" t="str">
            <v>Categoría III</v>
          </cell>
          <cell r="E28">
            <v>271</v>
          </cell>
          <cell r="F28">
            <v>7101</v>
          </cell>
          <cell r="G28">
            <v>109.24999999999999</v>
          </cell>
          <cell r="H28">
            <v>378.59090909090918</v>
          </cell>
          <cell r="I28">
            <v>150.75000000000009</v>
          </cell>
          <cell r="J28">
            <v>31.363636363636367</v>
          </cell>
          <cell r="K28">
            <v>66</v>
          </cell>
          <cell r="L28">
            <v>922</v>
          </cell>
          <cell r="M28">
            <v>332</v>
          </cell>
          <cell r="N28">
            <v>1093</v>
          </cell>
          <cell r="O28">
            <v>1414</v>
          </cell>
          <cell r="P28">
            <v>1153</v>
          </cell>
          <cell r="Q28">
            <v>1355</v>
          </cell>
          <cell r="R28">
            <v>1008</v>
          </cell>
          <cell r="S28">
            <v>1308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UDP</v>
          </cell>
          <cell r="C29" t="str">
            <v>U.PRIVADA</v>
          </cell>
          <cell r="D29" t="str">
            <v>Categoría II</v>
          </cell>
          <cell r="E29">
            <v>309</v>
          </cell>
          <cell r="F29">
            <v>16199</v>
          </cell>
          <cell r="G29">
            <v>165.5090909090909</v>
          </cell>
          <cell r="H29">
            <v>652.69999999999982</v>
          </cell>
          <cell r="I29">
            <v>248.54545454545462</v>
          </cell>
          <cell r="J29">
            <v>55.684090909090926</v>
          </cell>
          <cell r="K29">
            <v>221</v>
          </cell>
          <cell r="L29">
            <v>2367</v>
          </cell>
          <cell r="M29">
            <v>823</v>
          </cell>
          <cell r="N29">
            <v>1106</v>
          </cell>
          <cell r="O29">
            <v>2833</v>
          </cell>
          <cell r="P29">
            <v>2338</v>
          </cell>
          <cell r="Q29">
            <v>2786</v>
          </cell>
          <cell r="R29">
            <v>1776</v>
          </cell>
          <cell r="S29">
            <v>2545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UAH</v>
          </cell>
          <cell r="C30" t="str">
            <v>U.PRIVADA</v>
          </cell>
          <cell r="D30" t="str">
            <v>Categoría III</v>
          </cell>
          <cell r="E30">
            <v>136</v>
          </cell>
          <cell r="F30">
            <v>6225</v>
          </cell>
          <cell r="G30">
            <v>87.147727272727153</v>
          </cell>
          <cell r="H30">
            <v>220.09090909090745</v>
          </cell>
          <cell r="I30">
            <v>82.79545454545449</v>
          </cell>
          <cell r="J30">
            <v>0.13636363636363635</v>
          </cell>
          <cell r="K30">
            <v>70</v>
          </cell>
          <cell r="L30">
            <v>176</v>
          </cell>
          <cell r="M30">
            <v>243</v>
          </cell>
          <cell r="N30">
            <v>697</v>
          </cell>
          <cell r="O30">
            <v>1268</v>
          </cell>
          <cell r="P30">
            <v>955</v>
          </cell>
          <cell r="Q30">
            <v>1234</v>
          </cell>
          <cell r="R30">
            <v>540</v>
          </cell>
          <cell r="S30">
            <v>884</v>
          </cell>
          <cell r="T30">
            <v>0</v>
          </cell>
          <cell r="U30">
            <v>5</v>
          </cell>
          <cell r="V30">
            <v>3</v>
          </cell>
          <cell r="W30">
            <v>7</v>
          </cell>
          <cell r="X30">
            <v>0</v>
          </cell>
        </row>
        <row r="31">
          <cell r="B31" t="str">
            <v>UCS</v>
          </cell>
          <cell r="C31" t="str">
            <v>U.PRIVADA</v>
          </cell>
          <cell r="D31" t="str">
            <v>Categoría III</v>
          </cell>
          <cell r="E31">
            <v>107</v>
          </cell>
          <cell r="F31">
            <v>5211</v>
          </cell>
          <cell r="G31">
            <v>33.579545454545453</v>
          </cell>
          <cell r="H31">
            <v>212.23863636363748</v>
          </cell>
          <cell r="I31">
            <v>110.76136363636363</v>
          </cell>
          <cell r="J31">
            <v>0</v>
          </cell>
          <cell r="K31">
            <v>9</v>
          </cell>
          <cell r="L31">
            <v>46</v>
          </cell>
          <cell r="M31">
            <v>60</v>
          </cell>
          <cell r="N31">
            <v>582</v>
          </cell>
          <cell r="O31">
            <v>1059</v>
          </cell>
          <cell r="P31">
            <v>721</v>
          </cell>
          <cell r="Q31">
            <v>912</v>
          </cell>
          <cell r="R31">
            <v>678</v>
          </cell>
          <cell r="S31">
            <v>1125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B32" t="str">
            <v>UAU</v>
          </cell>
          <cell r="C32" t="str">
            <v>U.PRIVADA</v>
          </cell>
          <cell r="D32" t="str">
            <v>Categoría III</v>
          </cell>
          <cell r="E32">
            <v>443</v>
          </cell>
          <cell r="F32">
            <v>20539</v>
          </cell>
          <cell r="G32">
            <v>118.40909090909086</v>
          </cell>
          <cell r="H32">
            <v>807.93181818181813</v>
          </cell>
          <cell r="I32">
            <v>358.9090909090915</v>
          </cell>
          <cell r="J32">
            <v>22.295454545454547</v>
          </cell>
          <cell r="K32">
            <v>225</v>
          </cell>
          <cell r="L32">
            <v>527</v>
          </cell>
          <cell r="M32">
            <v>401</v>
          </cell>
          <cell r="N32">
            <v>2571</v>
          </cell>
          <cell r="O32">
            <v>3706</v>
          </cell>
          <cell r="P32">
            <v>3143</v>
          </cell>
          <cell r="Q32">
            <v>3945</v>
          </cell>
          <cell r="R32">
            <v>3273</v>
          </cell>
          <cell r="S32">
            <v>4655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B33" t="str">
            <v>UFT</v>
          </cell>
          <cell r="C33" t="str">
            <v>U.PRIVADA</v>
          </cell>
          <cell r="D33" t="str">
            <v>Categoría III</v>
          </cell>
          <cell r="E33">
            <v>60</v>
          </cell>
          <cell r="F33">
            <v>6195</v>
          </cell>
          <cell r="G33">
            <v>20.910454545454542</v>
          </cell>
          <cell r="H33">
            <v>290.13499999999976</v>
          </cell>
          <cell r="I33">
            <v>82.394090909091176</v>
          </cell>
          <cell r="J33">
            <v>49.337045454545468</v>
          </cell>
          <cell r="K33">
            <v>52</v>
          </cell>
          <cell r="L33">
            <v>174</v>
          </cell>
          <cell r="M33">
            <v>128</v>
          </cell>
          <cell r="N33">
            <v>362</v>
          </cell>
          <cell r="O33">
            <v>1175</v>
          </cell>
          <cell r="P33">
            <v>923</v>
          </cell>
          <cell r="Q33">
            <v>1130</v>
          </cell>
          <cell r="R33">
            <v>539</v>
          </cell>
          <cell r="S33">
            <v>850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_ACRE_31_12_2017"/>
    </sheetNames>
    <sheetDataSet>
      <sheetData sheetId="0">
        <row r="6">
          <cell r="C6" t="str">
            <v>CENTRO DE FORMACIÓN TÉCNICA CEDUC - UCN</v>
          </cell>
          <cell r="D6" t="str">
            <v>CFT</v>
          </cell>
          <cell r="E6">
            <v>42349</v>
          </cell>
          <cell r="F6">
            <v>44176</v>
          </cell>
          <cell r="G6" t="str">
            <v>SÍ</v>
          </cell>
          <cell r="H6" t="str">
            <v>SÍ</v>
          </cell>
          <cell r="I6" t="str">
            <v>NO</v>
          </cell>
          <cell r="J6" t="str">
            <v>NO</v>
          </cell>
          <cell r="K6" t="str">
            <v>NO</v>
          </cell>
          <cell r="L6">
            <v>5</v>
          </cell>
          <cell r="M6">
            <v>0</v>
          </cell>
          <cell r="N6">
            <v>0</v>
          </cell>
        </row>
        <row r="7">
          <cell r="C7" t="str">
            <v>CENTRO DE FORMACIÓN TÉCNICA INACAP</v>
          </cell>
          <cell r="D7" t="str">
            <v>CFT</v>
          </cell>
          <cell r="E7">
            <v>40912</v>
          </cell>
          <cell r="F7">
            <v>43104</v>
          </cell>
          <cell r="G7" t="str">
            <v>SÍ</v>
          </cell>
          <cell r="H7" t="str">
            <v>SÍ</v>
          </cell>
          <cell r="I7" t="str">
            <v>NO</v>
          </cell>
          <cell r="J7" t="str">
            <v>NO</v>
          </cell>
          <cell r="K7" t="str">
            <v>NO</v>
          </cell>
          <cell r="L7">
            <v>6</v>
          </cell>
          <cell r="M7">
            <v>0</v>
          </cell>
          <cell r="N7">
            <v>0</v>
          </cell>
        </row>
        <row r="8">
          <cell r="C8" t="str">
            <v>CENTRO DE FORMACIÓN TÉCNICA INSTITUTO TECNOLÓGICO DE CHILE (ITC)</v>
          </cell>
          <cell r="D8" t="str">
            <v>CFT</v>
          </cell>
          <cell r="E8">
            <v>42397</v>
          </cell>
          <cell r="F8">
            <v>43128</v>
          </cell>
          <cell r="G8" t="str">
            <v>SÍ</v>
          </cell>
          <cell r="H8" t="str">
            <v>SÍ</v>
          </cell>
          <cell r="I8" t="str">
            <v>NO</v>
          </cell>
          <cell r="J8" t="str">
            <v>NO</v>
          </cell>
          <cell r="K8" t="str">
            <v>NO</v>
          </cell>
          <cell r="L8">
            <v>2</v>
          </cell>
          <cell r="M8">
            <v>0</v>
          </cell>
          <cell r="N8">
            <v>0</v>
          </cell>
        </row>
        <row r="9">
          <cell r="C9" t="str">
            <v>CENTRO DE FORMACIÓN TÉCNICA IPROSEC</v>
          </cell>
          <cell r="D9" t="str">
            <v>CFT</v>
          </cell>
          <cell r="E9">
            <v>42858</v>
          </cell>
          <cell r="F9">
            <v>43588</v>
          </cell>
          <cell r="G9" t="str">
            <v>SÍ</v>
          </cell>
          <cell r="H9" t="str">
            <v>SÍ</v>
          </cell>
          <cell r="I9" t="str">
            <v>NO</v>
          </cell>
          <cell r="J9" t="str">
            <v>NO</v>
          </cell>
          <cell r="K9" t="str">
            <v>NO</v>
          </cell>
          <cell r="L9">
            <v>2</v>
          </cell>
          <cell r="M9">
            <v>0</v>
          </cell>
          <cell r="N9">
            <v>0</v>
          </cell>
        </row>
        <row r="10">
          <cell r="C10" t="str">
            <v>CENTRO DE FORMACIÓN TÉCNICA LOTA ARAUCO</v>
          </cell>
          <cell r="D10" t="str">
            <v>CFT</v>
          </cell>
          <cell r="E10">
            <v>42571</v>
          </cell>
          <cell r="F10">
            <v>43666</v>
          </cell>
          <cell r="G10" t="str">
            <v>SÍ</v>
          </cell>
          <cell r="H10" t="str">
            <v>SÍ</v>
          </cell>
          <cell r="I10" t="str">
            <v>NO</v>
          </cell>
          <cell r="J10" t="str">
            <v>NO</v>
          </cell>
          <cell r="K10" t="str">
            <v>NO</v>
          </cell>
          <cell r="L10">
            <v>3</v>
          </cell>
          <cell r="M10">
            <v>0</v>
          </cell>
          <cell r="N10">
            <v>0</v>
          </cell>
        </row>
        <row r="11">
          <cell r="C11" t="str">
            <v>CENTRO DE FORMACIÓN TÉCNICA SAN AGUSTÍN DE TALCA</v>
          </cell>
          <cell r="D11" t="str">
            <v>CFT</v>
          </cell>
          <cell r="E11">
            <v>41618</v>
          </cell>
          <cell r="F11">
            <v>43444</v>
          </cell>
          <cell r="G11" t="str">
            <v>SÍ</v>
          </cell>
          <cell r="H11" t="str">
            <v>SÍ</v>
          </cell>
          <cell r="I11" t="str">
            <v>NO</v>
          </cell>
          <cell r="J11" t="str">
            <v>NO</v>
          </cell>
          <cell r="K11" t="str">
            <v>NO</v>
          </cell>
          <cell r="L11">
            <v>5</v>
          </cell>
          <cell r="M11">
            <v>0</v>
          </cell>
          <cell r="N11">
            <v>0</v>
          </cell>
        </row>
        <row r="12">
          <cell r="C12" t="str">
            <v>CENTRO DE FORMACIÓN TÉCNICA SANTO TOMÁS</v>
          </cell>
          <cell r="D12" t="str">
            <v>CFT</v>
          </cell>
          <cell r="E12">
            <v>42723</v>
          </cell>
          <cell r="F12">
            <v>43818</v>
          </cell>
          <cell r="G12" t="str">
            <v>SÍ</v>
          </cell>
          <cell r="H12" t="str">
            <v>SÍ</v>
          </cell>
          <cell r="I12" t="str">
            <v>NO</v>
          </cell>
          <cell r="J12" t="str">
            <v>NO</v>
          </cell>
          <cell r="K12" t="str">
            <v>NO</v>
          </cell>
          <cell r="L12">
            <v>3</v>
          </cell>
          <cell r="M12">
            <v>0</v>
          </cell>
          <cell r="N12">
            <v>0</v>
          </cell>
        </row>
        <row r="13">
          <cell r="C13" t="str">
            <v>CENTRO DE FORMACIÓN TÉCNICA TARAPACÁ</v>
          </cell>
          <cell r="D13" t="str">
            <v>CFT</v>
          </cell>
          <cell r="E13">
            <v>43074</v>
          </cell>
          <cell r="F13">
            <v>44170</v>
          </cell>
          <cell r="G13" t="str">
            <v>SÍ</v>
          </cell>
          <cell r="H13" t="str">
            <v>SÍ</v>
          </cell>
          <cell r="I13" t="str">
            <v>NO</v>
          </cell>
          <cell r="J13" t="str">
            <v>NO</v>
          </cell>
          <cell r="K13" t="str">
            <v>NO</v>
          </cell>
          <cell r="L13">
            <v>3</v>
          </cell>
          <cell r="M13">
            <v>0</v>
          </cell>
          <cell r="N13">
            <v>0</v>
          </cell>
        </row>
        <row r="14">
          <cell r="C14" t="str">
            <v>CENTRO DE FORMACIÓN TÉCNICA CÁMARA DE COMERCIO DE SANTIAGO</v>
          </cell>
          <cell r="D14" t="str">
            <v>CFT</v>
          </cell>
          <cell r="E14">
            <v>42064</v>
          </cell>
          <cell r="F14">
            <v>43160</v>
          </cell>
          <cell r="G14" t="str">
            <v>SÍ</v>
          </cell>
          <cell r="H14" t="str">
            <v>SÍ</v>
          </cell>
          <cell r="I14" t="str">
            <v>NO</v>
          </cell>
          <cell r="J14" t="str">
            <v>NO</v>
          </cell>
          <cell r="K14" t="str">
            <v>NO</v>
          </cell>
          <cell r="L14">
            <v>3</v>
          </cell>
          <cell r="M14">
            <v>0</v>
          </cell>
          <cell r="N14">
            <v>0</v>
          </cell>
        </row>
        <row r="15">
          <cell r="C15" t="str">
            <v>CENTRO DE FORMACIÓN TÉCNICA ENAC</v>
          </cell>
          <cell r="D15" t="str">
            <v>CFT</v>
          </cell>
          <cell r="E15">
            <v>42668</v>
          </cell>
          <cell r="F15">
            <v>44859</v>
          </cell>
          <cell r="G15" t="str">
            <v>SÍ</v>
          </cell>
          <cell r="H15" t="str">
            <v>SÍ</v>
          </cell>
          <cell r="I15" t="str">
            <v>NO</v>
          </cell>
          <cell r="J15" t="str">
            <v>NO</v>
          </cell>
          <cell r="K15" t="str">
            <v>NO</v>
          </cell>
          <cell r="L15">
            <v>6</v>
          </cell>
          <cell r="M15">
            <v>0</v>
          </cell>
          <cell r="N15">
            <v>0</v>
          </cell>
        </row>
        <row r="16">
          <cell r="C16" t="str">
            <v>CENTRO DE FORMACIÓN TÉCNICA UCEVALPO</v>
          </cell>
          <cell r="D16" t="str">
            <v>CFT</v>
          </cell>
          <cell r="E16">
            <v>43069</v>
          </cell>
          <cell r="F16">
            <v>44530</v>
          </cell>
          <cell r="G16" t="str">
            <v>SÍ</v>
          </cell>
          <cell r="H16" t="str">
            <v>SÍ</v>
          </cell>
          <cell r="I16" t="str">
            <v>NO</v>
          </cell>
          <cell r="J16" t="str">
            <v>NO</v>
          </cell>
          <cell r="K16" t="str">
            <v>NO</v>
          </cell>
          <cell r="L16">
            <v>4</v>
          </cell>
          <cell r="M16">
            <v>0</v>
          </cell>
          <cell r="N16">
            <v>0</v>
          </cell>
        </row>
        <row r="17">
          <cell r="C17" t="str">
            <v>CENTRO DE FORMACIÓN TÉCNICA PROANDES</v>
          </cell>
          <cell r="D17" t="str">
            <v>CFT</v>
          </cell>
          <cell r="E17">
            <v>42032</v>
          </cell>
          <cell r="F17">
            <v>43128</v>
          </cell>
          <cell r="G17" t="str">
            <v>SÍ</v>
          </cell>
          <cell r="H17" t="str">
            <v>SÍ</v>
          </cell>
          <cell r="I17" t="str">
            <v>NO</v>
          </cell>
          <cell r="J17" t="str">
            <v>NO</v>
          </cell>
          <cell r="K17" t="str">
            <v>NO</v>
          </cell>
          <cell r="L17">
            <v>3</v>
          </cell>
          <cell r="M17">
            <v>0</v>
          </cell>
          <cell r="N17">
            <v>0</v>
          </cell>
        </row>
        <row r="18">
          <cell r="C18" t="str">
            <v>CENTRO DE FORMACIÓN TÉCNICA UVALPO</v>
          </cell>
          <cell r="D18" t="str">
            <v>CFT</v>
          </cell>
          <cell r="E18">
            <v>42949</v>
          </cell>
          <cell r="F18">
            <v>44045</v>
          </cell>
          <cell r="G18" t="str">
            <v>SÍ</v>
          </cell>
          <cell r="H18" t="str">
            <v>SÍ</v>
          </cell>
          <cell r="I18" t="str">
            <v>NO</v>
          </cell>
          <cell r="J18" t="str">
            <v>NO</v>
          </cell>
          <cell r="K18" t="str">
            <v>NO</v>
          </cell>
          <cell r="L18">
            <v>3</v>
          </cell>
          <cell r="M18">
            <v>0</v>
          </cell>
          <cell r="N18">
            <v>0</v>
          </cell>
        </row>
        <row r="19">
          <cell r="C19" t="str">
            <v>CENTRO DE FORMACIÓN TÉCNICA JUAN BOHON</v>
          </cell>
          <cell r="D19" t="str">
            <v>CFT</v>
          </cell>
          <cell r="E19">
            <v>42975</v>
          </cell>
          <cell r="F19">
            <v>43705</v>
          </cell>
          <cell r="G19" t="str">
            <v>SÍ</v>
          </cell>
          <cell r="H19" t="str">
            <v>SÍ</v>
          </cell>
          <cell r="I19" t="str">
            <v>NO</v>
          </cell>
          <cell r="J19" t="str">
            <v>NO</v>
          </cell>
          <cell r="K19" t="str">
            <v>NO</v>
          </cell>
          <cell r="L19">
            <v>2</v>
          </cell>
          <cell r="M19">
            <v>0</v>
          </cell>
          <cell r="N19">
            <v>0</v>
          </cell>
        </row>
        <row r="20">
          <cell r="C20" t="str">
            <v>CENTRO DE FORMACIÓN TÉCNICA TEODORO WICKEL KLÜWEN</v>
          </cell>
          <cell r="D20" t="str">
            <v>CFT</v>
          </cell>
          <cell r="E20">
            <v>42960</v>
          </cell>
          <cell r="F20">
            <v>44056</v>
          </cell>
          <cell r="G20" t="str">
            <v>SÍ</v>
          </cell>
          <cell r="H20" t="str">
            <v>SÍ</v>
          </cell>
          <cell r="I20" t="str">
            <v>NO</v>
          </cell>
          <cell r="J20" t="str">
            <v>NO</v>
          </cell>
          <cell r="K20" t="str">
            <v>NO</v>
          </cell>
          <cell r="L20">
            <v>3</v>
          </cell>
          <cell r="M20">
            <v>0</v>
          </cell>
          <cell r="N20">
            <v>0</v>
          </cell>
        </row>
        <row r="21">
          <cell r="C21" t="str">
            <v>ESCUELA DE AVIACIÓN CAPITÁN MANUEL ÁVALOS PRADO</v>
          </cell>
          <cell r="D21" t="str">
            <v>FFAA</v>
          </cell>
          <cell r="E21">
            <v>41647</v>
          </cell>
          <cell r="F21">
            <v>43108</v>
          </cell>
          <cell r="G21" t="str">
            <v>SÍ</v>
          </cell>
          <cell r="H21" t="str">
            <v>SÍ</v>
          </cell>
          <cell r="I21" t="str">
            <v>NO</v>
          </cell>
          <cell r="J21" t="str">
            <v>NO</v>
          </cell>
          <cell r="K21" t="str">
            <v>NO</v>
          </cell>
          <cell r="L21">
            <v>4</v>
          </cell>
          <cell r="M21">
            <v>0</v>
          </cell>
          <cell r="N21">
            <v>0</v>
          </cell>
        </row>
        <row r="22">
          <cell r="C22" t="str">
            <v>ESCUELA MILITAR DEL LIBERTADOR BERNARDO O´HIGGINS</v>
          </cell>
          <cell r="D22" t="str">
            <v>FFAA</v>
          </cell>
          <cell r="E22">
            <v>42761</v>
          </cell>
          <cell r="F22">
            <v>44587</v>
          </cell>
          <cell r="G22" t="str">
            <v>SÍ</v>
          </cell>
          <cell r="H22" t="str">
            <v>SÍ</v>
          </cell>
          <cell r="I22" t="str">
            <v>NO</v>
          </cell>
          <cell r="J22" t="str">
            <v>NO</v>
          </cell>
          <cell r="K22" t="str">
            <v>NO</v>
          </cell>
          <cell r="L22">
            <v>5</v>
          </cell>
          <cell r="M22">
            <v>0</v>
          </cell>
          <cell r="N22">
            <v>0</v>
          </cell>
        </row>
        <row r="23">
          <cell r="C23" t="str">
            <v>ESCUELA NAVAL ARTURO PRAT</v>
          </cell>
          <cell r="D23" t="str">
            <v>FFAA</v>
          </cell>
          <cell r="E23">
            <v>41619</v>
          </cell>
          <cell r="F23">
            <v>43445</v>
          </cell>
          <cell r="G23" t="str">
            <v>SÍ</v>
          </cell>
          <cell r="H23" t="str">
            <v>SÍ</v>
          </cell>
          <cell r="I23" t="str">
            <v>NO</v>
          </cell>
          <cell r="J23" t="str">
            <v>NO</v>
          </cell>
          <cell r="K23" t="str">
            <v>NO</v>
          </cell>
          <cell r="L23">
            <v>5</v>
          </cell>
          <cell r="M23">
            <v>0</v>
          </cell>
          <cell r="N23">
            <v>0</v>
          </cell>
        </row>
        <row r="24">
          <cell r="C24" t="str">
            <v>ACADEMIA POLITÉCNICA NAVAL</v>
          </cell>
          <cell r="D24" t="str">
            <v>FFAA</v>
          </cell>
          <cell r="E24">
            <v>41905</v>
          </cell>
          <cell r="F24">
            <v>43366</v>
          </cell>
          <cell r="G24" t="str">
            <v>SÍ</v>
          </cell>
          <cell r="H24" t="str">
            <v>SÍ</v>
          </cell>
          <cell r="I24" t="str">
            <v>NO</v>
          </cell>
          <cell r="J24" t="str">
            <v>NO</v>
          </cell>
          <cell r="K24" t="str">
            <v>NO</v>
          </cell>
          <cell r="L24">
            <v>4</v>
          </cell>
          <cell r="M24">
            <v>0</v>
          </cell>
          <cell r="N24">
            <v>0</v>
          </cell>
        </row>
        <row r="25">
          <cell r="C25" t="str">
            <v>ESCUELA DE INVESTIGACIONES POLICIALES</v>
          </cell>
          <cell r="D25" t="str">
            <v>FFAA</v>
          </cell>
          <cell r="E25">
            <v>41954</v>
          </cell>
          <cell r="F25">
            <v>43415</v>
          </cell>
          <cell r="G25" t="str">
            <v>SÍ</v>
          </cell>
          <cell r="H25" t="str">
            <v>SÍ</v>
          </cell>
          <cell r="I25" t="str">
            <v>NO</v>
          </cell>
          <cell r="J25" t="str">
            <v>NO</v>
          </cell>
          <cell r="K25" t="str">
            <v>NO</v>
          </cell>
          <cell r="L25">
            <v>4</v>
          </cell>
          <cell r="M25">
            <v>0</v>
          </cell>
          <cell r="N25">
            <v>0</v>
          </cell>
        </row>
        <row r="26">
          <cell r="C26" t="str">
            <v>ACADEMIA POLITÉCNICA MILITAR</v>
          </cell>
          <cell r="D26" t="str">
            <v>FFAA</v>
          </cell>
          <cell r="E26">
            <v>43040</v>
          </cell>
          <cell r="F26">
            <v>44136</v>
          </cell>
          <cell r="G26" t="str">
            <v>SÍ</v>
          </cell>
          <cell r="H26" t="str">
            <v>SÍ</v>
          </cell>
          <cell r="I26" t="str">
            <v>NO</v>
          </cell>
          <cell r="J26" t="str">
            <v>NO</v>
          </cell>
          <cell r="K26" t="str">
            <v>NO</v>
          </cell>
          <cell r="L26">
            <v>3</v>
          </cell>
          <cell r="M26">
            <v>0</v>
          </cell>
          <cell r="N26">
            <v>0</v>
          </cell>
        </row>
        <row r="27">
          <cell r="C27" t="str">
            <v>ESCUELA DE GRUMETES A.N.C.</v>
          </cell>
          <cell r="D27" t="str">
            <v>FFAA</v>
          </cell>
          <cell r="E27">
            <v>42571</v>
          </cell>
          <cell r="F27">
            <v>44032</v>
          </cell>
          <cell r="G27" t="str">
            <v>SÍ</v>
          </cell>
          <cell r="H27" t="str">
            <v>SÍ</v>
          </cell>
          <cell r="I27" t="str">
            <v>NO</v>
          </cell>
          <cell r="J27" t="str">
            <v>NO</v>
          </cell>
          <cell r="K27" t="str">
            <v>NO</v>
          </cell>
          <cell r="L27">
            <v>4</v>
          </cell>
          <cell r="M27">
            <v>0</v>
          </cell>
          <cell r="N27">
            <v>0</v>
          </cell>
        </row>
        <row r="28">
          <cell r="C28" t="str">
            <v>ESCUELA TÉCNICA AERONÁUTICA</v>
          </cell>
          <cell r="D28" t="str">
            <v>FFAA</v>
          </cell>
          <cell r="E28">
            <v>42757</v>
          </cell>
          <cell r="F28">
            <v>43852</v>
          </cell>
          <cell r="G28" t="str">
            <v>SÍ</v>
          </cell>
          <cell r="H28" t="str">
            <v>SÍ</v>
          </cell>
          <cell r="I28" t="str">
            <v>NO</v>
          </cell>
          <cell r="J28" t="str">
            <v>NO</v>
          </cell>
          <cell r="K28" t="str">
            <v>NO</v>
          </cell>
          <cell r="L28">
            <v>3</v>
          </cell>
          <cell r="M28">
            <v>0</v>
          </cell>
          <cell r="N28">
            <v>0</v>
          </cell>
        </row>
        <row r="29">
          <cell r="C29" t="str">
            <v>INSTITUTO PROFESIONAL AIEP</v>
          </cell>
          <cell r="D29" t="str">
            <v>IP</v>
          </cell>
          <cell r="E29">
            <v>43030</v>
          </cell>
          <cell r="F29">
            <v>44491</v>
          </cell>
          <cell r="G29" t="str">
            <v>SÍ</v>
          </cell>
          <cell r="H29" t="str">
            <v>SÍ</v>
          </cell>
          <cell r="I29" t="str">
            <v>NO</v>
          </cell>
          <cell r="J29" t="str">
            <v>NO</v>
          </cell>
          <cell r="K29" t="str">
            <v>NO</v>
          </cell>
          <cell r="L29">
            <v>4</v>
          </cell>
          <cell r="M29">
            <v>0</v>
          </cell>
          <cell r="N29">
            <v>0</v>
          </cell>
        </row>
        <row r="30">
          <cell r="C30" t="str">
            <v>INSTITUTO PROFESIONAL DE ARTES Y COMUNICACIÓN ARCOS</v>
          </cell>
          <cell r="D30" t="str">
            <v>IP</v>
          </cell>
          <cell r="E30">
            <v>42706</v>
          </cell>
          <cell r="F30">
            <v>44167</v>
          </cell>
          <cell r="G30" t="str">
            <v>SÍ</v>
          </cell>
          <cell r="H30" t="str">
            <v>SÍ</v>
          </cell>
          <cell r="I30" t="str">
            <v>NO</v>
          </cell>
          <cell r="J30" t="str">
            <v>NO</v>
          </cell>
          <cell r="K30" t="str">
            <v>NO</v>
          </cell>
          <cell r="L30">
            <v>4</v>
          </cell>
          <cell r="M30">
            <v>0</v>
          </cell>
          <cell r="N30">
            <v>0</v>
          </cell>
        </row>
        <row r="31">
          <cell r="C31" t="str">
            <v>INSTITUTO PROFESIONAL DE CHILE</v>
          </cell>
          <cell r="D31" t="str">
            <v>IP</v>
          </cell>
          <cell r="E31">
            <v>42075</v>
          </cell>
          <cell r="F31">
            <v>43536</v>
          </cell>
          <cell r="G31" t="str">
            <v>SÍ</v>
          </cell>
          <cell r="H31" t="str">
            <v>SÍ</v>
          </cell>
          <cell r="I31" t="str">
            <v>NO</v>
          </cell>
          <cell r="J31" t="str">
            <v>NO</v>
          </cell>
          <cell r="K31" t="str">
            <v>NO</v>
          </cell>
          <cell r="L31">
            <v>4</v>
          </cell>
          <cell r="M31">
            <v>0</v>
          </cell>
          <cell r="N31">
            <v>0</v>
          </cell>
        </row>
        <row r="32">
          <cell r="C32" t="str">
            <v>INSTITUTO PROFESIONAL DUOC UC</v>
          </cell>
          <cell r="D32" t="str">
            <v>IP</v>
          </cell>
          <cell r="E32">
            <v>42973</v>
          </cell>
          <cell r="F32">
            <v>45530</v>
          </cell>
          <cell r="G32" t="str">
            <v>SÍ</v>
          </cell>
          <cell r="H32" t="str">
            <v>SÍ</v>
          </cell>
          <cell r="I32" t="str">
            <v>NO</v>
          </cell>
          <cell r="J32" t="str">
            <v>NO</v>
          </cell>
          <cell r="K32" t="str">
            <v>SÍ</v>
          </cell>
          <cell r="L32">
            <v>7</v>
          </cell>
          <cell r="M32">
            <v>0</v>
          </cell>
          <cell r="N32">
            <v>0</v>
          </cell>
        </row>
        <row r="33">
          <cell r="C33" t="str">
            <v>INSTITUTO PROFESIONAL GUILLERMO SUBERCASEAUX</v>
          </cell>
          <cell r="D33" t="str">
            <v>IP</v>
          </cell>
          <cell r="E33">
            <v>43086</v>
          </cell>
          <cell r="F33">
            <v>44912</v>
          </cell>
          <cell r="G33" t="str">
            <v>SÍ</v>
          </cell>
          <cell r="H33" t="str">
            <v>SÍ</v>
          </cell>
          <cell r="I33" t="str">
            <v>NO</v>
          </cell>
          <cell r="J33" t="str">
            <v>NO</v>
          </cell>
          <cell r="K33" t="str">
            <v>NO</v>
          </cell>
          <cell r="L33">
            <v>5</v>
          </cell>
          <cell r="M33">
            <v>0</v>
          </cell>
          <cell r="N33">
            <v>0</v>
          </cell>
        </row>
        <row r="34">
          <cell r="C34" t="str">
            <v>INSTITUTO PROFESIONAL INACAP</v>
          </cell>
          <cell r="D34" t="str">
            <v>IP</v>
          </cell>
          <cell r="E34">
            <v>42715</v>
          </cell>
          <cell r="F34">
            <v>44906</v>
          </cell>
          <cell r="G34" t="str">
            <v>SÍ</v>
          </cell>
          <cell r="H34" t="str">
            <v>SÍ</v>
          </cell>
          <cell r="I34" t="str">
            <v>NO</v>
          </cell>
          <cell r="J34" t="str">
            <v>NO</v>
          </cell>
          <cell r="K34" t="str">
            <v>NO</v>
          </cell>
          <cell r="L34">
            <v>6</v>
          </cell>
          <cell r="M34">
            <v>0</v>
          </cell>
          <cell r="N34">
            <v>0</v>
          </cell>
        </row>
        <row r="35">
          <cell r="C35" t="str">
            <v>INSTITUTO PROFESIONAL LA ARAUCANA</v>
          </cell>
          <cell r="D35" t="str">
            <v>IP</v>
          </cell>
          <cell r="E35">
            <v>42851</v>
          </cell>
          <cell r="F35">
            <v>43581</v>
          </cell>
          <cell r="G35" t="str">
            <v>SÍ</v>
          </cell>
          <cell r="H35" t="str">
            <v>SÍ</v>
          </cell>
          <cell r="I35" t="str">
            <v>NO</v>
          </cell>
          <cell r="J35" t="str">
            <v>NO</v>
          </cell>
          <cell r="K35" t="str">
            <v>NO</v>
          </cell>
          <cell r="L35">
            <v>2</v>
          </cell>
          <cell r="M35">
            <v>0</v>
          </cell>
          <cell r="N35">
            <v>0</v>
          </cell>
        </row>
        <row r="36">
          <cell r="C36" t="str">
            <v>INSTITUTO PROFESIONAL SANTO TOMÁS</v>
          </cell>
          <cell r="D36" t="str">
            <v>IP</v>
          </cell>
          <cell r="E36">
            <v>43065</v>
          </cell>
          <cell r="F36">
            <v>44161</v>
          </cell>
          <cell r="G36" t="str">
            <v>SÍ</v>
          </cell>
          <cell r="H36" t="str">
            <v>SÍ</v>
          </cell>
          <cell r="I36" t="str">
            <v>NO</v>
          </cell>
          <cell r="J36" t="str">
            <v>NO</v>
          </cell>
          <cell r="K36" t="str">
            <v>NO</v>
          </cell>
          <cell r="L36">
            <v>3</v>
          </cell>
          <cell r="M36">
            <v>0</v>
          </cell>
          <cell r="N36">
            <v>0</v>
          </cell>
        </row>
        <row r="37">
          <cell r="C37" t="str">
            <v>INSTITUTO PROFESIONAL VIRGINIO GÓMEZ</v>
          </cell>
          <cell r="D37" t="str">
            <v>IP</v>
          </cell>
          <cell r="E37">
            <v>43087</v>
          </cell>
          <cell r="F37">
            <v>44183</v>
          </cell>
          <cell r="G37" t="str">
            <v>SÍ</v>
          </cell>
          <cell r="H37" t="str">
            <v>SÍ</v>
          </cell>
          <cell r="I37" t="str">
            <v>NO</v>
          </cell>
          <cell r="J37" t="str">
            <v>NO</v>
          </cell>
          <cell r="K37" t="str">
            <v>NO</v>
          </cell>
          <cell r="L37">
            <v>3</v>
          </cell>
          <cell r="M37">
            <v>0</v>
          </cell>
          <cell r="N37">
            <v>0</v>
          </cell>
        </row>
        <row r="38">
          <cell r="C38" t="str">
            <v>INSTITUTO PROFESIONAL ESCUELA MODERNA DE MÚSICA</v>
          </cell>
          <cell r="D38" t="str">
            <v>IP</v>
          </cell>
          <cell r="E38">
            <v>42724</v>
          </cell>
          <cell r="F38">
            <v>44185</v>
          </cell>
          <cell r="G38" t="str">
            <v>SÍ</v>
          </cell>
          <cell r="H38" t="str">
            <v>SÍ</v>
          </cell>
          <cell r="I38" t="str">
            <v>NO</v>
          </cell>
          <cell r="J38" t="str">
            <v>NO</v>
          </cell>
          <cell r="K38" t="str">
            <v>NO</v>
          </cell>
          <cell r="L38">
            <v>4</v>
          </cell>
          <cell r="M38">
            <v>0</v>
          </cell>
          <cell r="N38">
            <v>0</v>
          </cell>
        </row>
        <row r="39">
          <cell r="C39" t="str">
            <v>INSTITUTO PROFESIONAL ESCUELA DE CONTADORES AUDITORES DE SANTIAGO</v>
          </cell>
          <cell r="D39" t="str">
            <v>IP</v>
          </cell>
          <cell r="E39">
            <v>42609</v>
          </cell>
          <cell r="F39">
            <v>43704</v>
          </cell>
          <cell r="G39" t="str">
            <v>SÍ</v>
          </cell>
          <cell r="H39" t="str">
            <v>SÍ</v>
          </cell>
          <cell r="I39" t="str">
            <v>NO</v>
          </cell>
          <cell r="J39" t="str">
            <v>NO</v>
          </cell>
          <cell r="K39" t="str">
            <v>NO</v>
          </cell>
          <cell r="L39">
            <v>3</v>
          </cell>
          <cell r="M39">
            <v>0</v>
          </cell>
          <cell r="N39">
            <v>0</v>
          </cell>
        </row>
        <row r="40">
          <cell r="C40" t="str">
            <v>INSTITUTO PROFESIONAL CARLOS CASANUEVA</v>
          </cell>
          <cell r="D40" t="str">
            <v>IP</v>
          </cell>
          <cell r="E40">
            <v>42620</v>
          </cell>
          <cell r="F40">
            <v>43350</v>
          </cell>
          <cell r="G40" t="str">
            <v>SÍ</v>
          </cell>
          <cell r="H40" t="str">
            <v>SÍ</v>
          </cell>
          <cell r="I40" t="str">
            <v>NO</v>
          </cell>
          <cell r="J40" t="str">
            <v>NO</v>
          </cell>
          <cell r="K40" t="str">
            <v>NO</v>
          </cell>
          <cell r="L40">
            <v>2</v>
          </cell>
          <cell r="M40">
            <v>0</v>
          </cell>
          <cell r="N40">
            <v>0</v>
          </cell>
        </row>
        <row r="41">
          <cell r="C41" t="str">
            <v>INSTITUTO PROFESIONAL ESUCOMEX</v>
          </cell>
          <cell r="D41" t="str">
            <v>IP</v>
          </cell>
          <cell r="E41">
            <v>42358</v>
          </cell>
          <cell r="F41">
            <v>43454</v>
          </cell>
          <cell r="G41" t="str">
            <v>SÍ</v>
          </cell>
          <cell r="H41" t="str">
            <v>SÍ</v>
          </cell>
          <cell r="I41" t="str">
            <v>NO</v>
          </cell>
          <cell r="J41" t="str">
            <v>NO</v>
          </cell>
          <cell r="K41" t="str">
            <v>NO</v>
          </cell>
          <cell r="L41">
            <v>3</v>
          </cell>
          <cell r="M41">
            <v>0</v>
          </cell>
          <cell r="N41">
            <v>0</v>
          </cell>
        </row>
        <row r="42">
          <cell r="C42" t="str">
            <v>INSTITUTO NACIONAL DEL FÚTBOL, DEPORTE Y ACTIVIDAD FÍSICA ( IP INAF)</v>
          </cell>
          <cell r="D42" t="str">
            <v>IP</v>
          </cell>
          <cell r="E42">
            <v>43064</v>
          </cell>
          <cell r="F42">
            <v>44160</v>
          </cell>
          <cell r="G42" t="str">
            <v>SÍ</v>
          </cell>
          <cell r="H42" t="str">
            <v>SÍ</v>
          </cell>
          <cell r="I42" t="str">
            <v>NO</v>
          </cell>
          <cell r="J42" t="str">
            <v>NO</v>
          </cell>
          <cell r="K42" t="str">
            <v>NO</v>
          </cell>
          <cell r="L42">
            <v>3</v>
          </cell>
          <cell r="M42">
            <v>0</v>
          </cell>
          <cell r="N42">
            <v>0</v>
          </cell>
        </row>
        <row r="43">
          <cell r="C43" t="str">
            <v>INSTITUTO PROFESIONAL AGRARIO ADOLFO MATTHEI</v>
          </cell>
          <cell r="D43" t="str">
            <v>IP</v>
          </cell>
          <cell r="E43">
            <v>42002</v>
          </cell>
          <cell r="F43">
            <v>43828</v>
          </cell>
          <cell r="G43" t="str">
            <v>SÍ</v>
          </cell>
          <cell r="H43" t="str">
            <v>SÍ</v>
          </cell>
          <cell r="I43" t="str">
            <v>NO</v>
          </cell>
          <cell r="J43" t="str">
            <v>NO</v>
          </cell>
          <cell r="K43" t="str">
            <v>NO</v>
          </cell>
          <cell r="L43">
            <v>5</v>
          </cell>
          <cell r="M43">
            <v>0</v>
          </cell>
          <cell r="N43">
            <v>0</v>
          </cell>
        </row>
        <row r="44">
          <cell r="C44" t="str">
            <v>INSTITUTO PROFESIONAL CIISA</v>
          </cell>
          <cell r="D44" t="str">
            <v>IP</v>
          </cell>
          <cell r="E44">
            <v>42367</v>
          </cell>
          <cell r="F44">
            <v>43463</v>
          </cell>
          <cell r="G44" t="str">
            <v>SÍ</v>
          </cell>
          <cell r="H44" t="str">
            <v>SÍ</v>
          </cell>
          <cell r="I44" t="str">
            <v>NO</v>
          </cell>
          <cell r="J44" t="str">
            <v>NO</v>
          </cell>
          <cell r="K44" t="str">
            <v>NO</v>
          </cell>
          <cell r="L44">
            <v>3</v>
          </cell>
          <cell r="M44">
            <v>0</v>
          </cell>
          <cell r="N44">
            <v>0</v>
          </cell>
        </row>
        <row r="45">
          <cell r="C45" t="str">
            <v>INSTITUTO PROFESIONAL GALDÁMEZ, IPG</v>
          </cell>
          <cell r="D45" t="str">
            <v>IP</v>
          </cell>
          <cell r="E45">
            <v>42606</v>
          </cell>
          <cell r="F45">
            <v>43336</v>
          </cell>
          <cell r="G45" t="str">
            <v>SÍ</v>
          </cell>
          <cell r="H45" t="str">
            <v>SÍ</v>
          </cell>
          <cell r="I45" t="str">
            <v>NO</v>
          </cell>
          <cell r="J45" t="str">
            <v>NO</v>
          </cell>
          <cell r="K45" t="str">
            <v>NO</v>
          </cell>
          <cell r="L45">
            <v>2</v>
          </cell>
          <cell r="M45">
            <v>0</v>
          </cell>
          <cell r="N45">
            <v>0</v>
          </cell>
        </row>
        <row r="46">
          <cell r="C46" t="str">
            <v>INSTITUTO PROFESIONAL LATINOAMERICANO DE COMERCIO EXTERIOR, IPLACEX</v>
          </cell>
          <cell r="D46" t="str">
            <v>IP</v>
          </cell>
          <cell r="E46">
            <v>43082</v>
          </cell>
          <cell r="F46">
            <v>44178</v>
          </cell>
          <cell r="G46" t="str">
            <v>SÍ</v>
          </cell>
          <cell r="H46" t="str">
            <v>SÍ</v>
          </cell>
          <cell r="I46" t="str">
            <v>NO</v>
          </cell>
          <cell r="J46" t="str">
            <v>NO</v>
          </cell>
          <cell r="K46" t="str">
            <v>NO</v>
          </cell>
          <cell r="L46">
            <v>3</v>
          </cell>
          <cell r="M46">
            <v>0</v>
          </cell>
          <cell r="N46">
            <v>0</v>
          </cell>
        </row>
        <row r="47">
          <cell r="C47" t="str">
            <v>PONTIFICIA UNIVERSIDAD CATÓLICA DE CHILE</v>
          </cell>
          <cell r="D47" t="str">
            <v>UNIV</v>
          </cell>
          <cell r="E47">
            <v>40877</v>
          </cell>
          <cell r="F47">
            <v>43434</v>
          </cell>
          <cell r="G47" t="str">
            <v>SÍ</v>
          </cell>
          <cell r="H47" t="str">
            <v>SÍ</v>
          </cell>
          <cell r="I47" t="str">
            <v>SÍ</v>
          </cell>
          <cell r="J47" t="str">
            <v>SÍ</v>
          </cell>
          <cell r="K47" t="str">
            <v>SÍ</v>
          </cell>
          <cell r="L47">
            <v>7</v>
          </cell>
          <cell r="M47">
            <v>1</v>
          </cell>
          <cell r="N47">
            <v>1</v>
          </cell>
        </row>
        <row r="48">
          <cell r="C48" t="str">
            <v>PONTIFICIA UNIVERSIDAD CATÓLICA DE VALPARAÍSO</v>
          </cell>
          <cell r="D48" t="str">
            <v>UNIV</v>
          </cell>
          <cell r="E48">
            <v>42334</v>
          </cell>
          <cell r="F48">
            <v>44526</v>
          </cell>
          <cell r="G48" t="str">
            <v>SÍ</v>
          </cell>
          <cell r="H48" t="str">
            <v>SÍ</v>
          </cell>
          <cell r="I48" t="str">
            <v>SÍ</v>
          </cell>
          <cell r="J48" t="str">
            <v>SÍ</v>
          </cell>
          <cell r="K48" t="str">
            <v>SÍ</v>
          </cell>
          <cell r="L48">
            <v>6</v>
          </cell>
          <cell r="M48">
            <v>1</v>
          </cell>
          <cell r="N48">
            <v>1</v>
          </cell>
        </row>
        <row r="49">
          <cell r="C49" t="str">
            <v>UNIVERSIDAD ACADEMIA DE HUMANISMO CRISTIANO</v>
          </cell>
          <cell r="D49" t="str">
            <v>UNIV</v>
          </cell>
          <cell r="E49">
            <v>43089</v>
          </cell>
          <cell r="F49">
            <v>44550</v>
          </cell>
          <cell r="G49" t="str">
            <v>SÍ</v>
          </cell>
          <cell r="H49" t="str">
            <v>SÍ</v>
          </cell>
          <cell r="I49" t="str">
            <v>NO</v>
          </cell>
          <cell r="J49" t="str">
            <v>NO</v>
          </cell>
          <cell r="K49" t="str">
            <v>SÍ</v>
          </cell>
          <cell r="L49">
            <v>4</v>
          </cell>
          <cell r="M49">
            <v>0</v>
          </cell>
          <cell r="N49">
            <v>0</v>
          </cell>
        </row>
        <row r="50">
          <cell r="C50" t="str">
            <v>UNIVERSIDAD ADOLFO IBÁÑEZ</v>
          </cell>
          <cell r="D50" t="str">
            <v>UNIV</v>
          </cell>
          <cell r="E50">
            <v>42326</v>
          </cell>
          <cell r="F50">
            <v>44153</v>
          </cell>
          <cell r="G50" t="str">
            <v>SÍ</v>
          </cell>
          <cell r="H50" t="str">
            <v>SÍ</v>
          </cell>
          <cell r="I50" t="str">
            <v>SÍ</v>
          </cell>
          <cell r="J50" t="str">
            <v>SÍ</v>
          </cell>
          <cell r="K50" t="str">
            <v>SÍ</v>
          </cell>
          <cell r="L50">
            <v>5</v>
          </cell>
          <cell r="M50">
            <v>1</v>
          </cell>
          <cell r="N50">
            <v>1</v>
          </cell>
        </row>
        <row r="51">
          <cell r="C51" t="str">
            <v>UNIVERSIDAD ADVENTISTA DE CHILE</v>
          </cell>
          <cell r="D51" t="str">
            <v>UNIV</v>
          </cell>
          <cell r="E51">
            <v>42382</v>
          </cell>
          <cell r="F51">
            <v>43478</v>
          </cell>
          <cell r="G51" t="str">
            <v>SÍ</v>
          </cell>
          <cell r="H51" t="str">
            <v>SÍ</v>
          </cell>
          <cell r="I51" t="str">
            <v>NO</v>
          </cell>
          <cell r="J51" t="str">
            <v>NO</v>
          </cell>
          <cell r="K51" t="str">
            <v>SÍ</v>
          </cell>
          <cell r="L51">
            <v>3</v>
          </cell>
          <cell r="M51">
            <v>0</v>
          </cell>
          <cell r="N51">
            <v>0</v>
          </cell>
        </row>
        <row r="52">
          <cell r="C52" t="str">
            <v>UNIVERSIDAD ALBERTO HURTADO</v>
          </cell>
          <cell r="D52" t="str">
            <v>UNIV</v>
          </cell>
          <cell r="E52">
            <v>41990</v>
          </cell>
          <cell r="F52">
            <v>43816</v>
          </cell>
          <cell r="G52" t="str">
            <v>SÍ</v>
          </cell>
          <cell r="H52" t="str">
            <v>SÍ</v>
          </cell>
          <cell r="I52" t="str">
            <v>SÍ</v>
          </cell>
          <cell r="J52" t="str">
            <v>SÍ</v>
          </cell>
          <cell r="K52" t="str">
            <v>SÍ</v>
          </cell>
          <cell r="L52">
            <v>5</v>
          </cell>
          <cell r="M52">
            <v>1</v>
          </cell>
          <cell r="N52">
            <v>1</v>
          </cell>
        </row>
        <row r="53">
          <cell r="C53" t="str">
            <v>UNIVERSIDAD ANDRÉS BELLO</v>
          </cell>
          <cell r="D53" t="str">
            <v>UNIV</v>
          </cell>
          <cell r="E53">
            <v>43093</v>
          </cell>
          <cell r="F53">
            <v>44554</v>
          </cell>
          <cell r="G53" t="str">
            <v>SÍ</v>
          </cell>
          <cell r="H53" t="str">
            <v>SÍ</v>
          </cell>
          <cell r="I53" t="str">
            <v>SÍ</v>
          </cell>
          <cell r="J53" t="str">
            <v>NO</v>
          </cell>
          <cell r="K53" t="str">
            <v>SÍ</v>
          </cell>
          <cell r="L53">
            <v>4</v>
          </cell>
          <cell r="M53">
            <v>0</v>
          </cell>
          <cell r="N53">
            <v>1</v>
          </cell>
        </row>
        <row r="54">
          <cell r="C54" t="str">
            <v>UNIVERSIDAD ARTURO PRAT</v>
          </cell>
          <cell r="D54" t="str">
            <v>UNIV</v>
          </cell>
          <cell r="E54">
            <v>43090</v>
          </cell>
          <cell r="F54">
            <v>44551</v>
          </cell>
          <cell r="G54" t="str">
            <v>SÍ</v>
          </cell>
          <cell r="H54" t="str">
            <v>SÍ</v>
          </cell>
          <cell r="I54" t="str">
            <v>NO</v>
          </cell>
          <cell r="J54" t="str">
            <v>NO</v>
          </cell>
          <cell r="K54" t="str">
            <v>SÍ</v>
          </cell>
          <cell r="L54">
            <v>4</v>
          </cell>
          <cell r="M54">
            <v>0</v>
          </cell>
          <cell r="N54">
            <v>0</v>
          </cell>
        </row>
        <row r="55">
          <cell r="C55" t="str">
            <v>UNIVERSIDAD AUSTRAL DE CHILE</v>
          </cell>
          <cell r="D55" t="str">
            <v>UNIV</v>
          </cell>
          <cell r="E55">
            <v>42320</v>
          </cell>
          <cell r="F55">
            <v>44512</v>
          </cell>
          <cell r="G55" t="str">
            <v>SÍ</v>
          </cell>
          <cell r="H55" t="str">
            <v>SÍ</v>
          </cell>
          <cell r="I55" t="str">
            <v>SÍ</v>
          </cell>
          <cell r="J55" t="str">
            <v>SÍ</v>
          </cell>
          <cell r="K55" t="str">
            <v>SÍ</v>
          </cell>
          <cell r="L55">
            <v>6</v>
          </cell>
          <cell r="M55">
            <v>1</v>
          </cell>
          <cell r="N55">
            <v>1</v>
          </cell>
        </row>
        <row r="56">
          <cell r="C56" t="str">
            <v>UNIVERSIDAD AUTÓNOMA DE CHILE</v>
          </cell>
          <cell r="D56" t="str">
            <v>UNIV</v>
          </cell>
          <cell r="E56">
            <v>42305</v>
          </cell>
          <cell r="F56">
            <v>43766</v>
          </cell>
          <cell r="G56" t="str">
            <v>SÍ</v>
          </cell>
          <cell r="H56" t="str">
            <v>SÍ</v>
          </cell>
          <cell r="I56" t="str">
            <v>SÍ</v>
          </cell>
          <cell r="J56" t="str">
            <v>NO</v>
          </cell>
          <cell r="K56" t="str">
            <v>SÍ</v>
          </cell>
          <cell r="L56">
            <v>4</v>
          </cell>
          <cell r="M56">
            <v>0</v>
          </cell>
          <cell r="N56">
            <v>1</v>
          </cell>
        </row>
        <row r="57">
          <cell r="C57" t="str">
            <v>UNIVERSIDAD BERNARDO O'HIGGINS</v>
          </cell>
          <cell r="D57" t="str">
            <v>UNIV</v>
          </cell>
          <cell r="E57">
            <v>42207</v>
          </cell>
          <cell r="F57">
            <v>43303</v>
          </cell>
          <cell r="G57" t="str">
            <v>SÍ</v>
          </cell>
          <cell r="H57" t="str">
            <v>SÍ</v>
          </cell>
          <cell r="I57" t="str">
            <v>NO</v>
          </cell>
          <cell r="J57" t="str">
            <v>NO</v>
          </cell>
          <cell r="K57" t="str">
            <v>SÍ</v>
          </cell>
          <cell r="L57">
            <v>3</v>
          </cell>
          <cell r="M57">
            <v>0</v>
          </cell>
          <cell r="N57">
            <v>0</v>
          </cell>
        </row>
        <row r="58">
          <cell r="C58" t="str">
            <v>UNIVERSIDAD CATÓLICA SILVA HENRÍQUEZ</v>
          </cell>
          <cell r="D58" t="str">
            <v>UNIV</v>
          </cell>
          <cell r="E58">
            <v>42703</v>
          </cell>
          <cell r="F58">
            <v>44164</v>
          </cell>
          <cell r="G58" t="str">
            <v>SÍ</v>
          </cell>
          <cell r="H58" t="str">
            <v>SÍ</v>
          </cell>
          <cell r="I58" t="str">
            <v>NO</v>
          </cell>
          <cell r="J58" t="str">
            <v>NO</v>
          </cell>
          <cell r="K58" t="str">
            <v>NO</v>
          </cell>
          <cell r="L58">
            <v>4</v>
          </cell>
          <cell r="M58">
            <v>0</v>
          </cell>
          <cell r="N58">
            <v>0</v>
          </cell>
        </row>
        <row r="59">
          <cell r="C59" t="str">
            <v>UNIVERSIDAD CATÓLICA DE LA SANTÍSIMA CONCEPCIÓN</v>
          </cell>
          <cell r="D59" t="str">
            <v>UNIV</v>
          </cell>
          <cell r="E59">
            <v>42689</v>
          </cell>
          <cell r="F59">
            <v>44150</v>
          </cell>
          <cell r="G59" t="str">
            <v>SÍ</v>
          </cell>
          <cell r="H59" t="str">
            <v>SÍ</v>
          </cell>
          <cell r="I59" t="str">
            <v>NO</v>
          </cell>
          <cell r="J59" t="str">
            <v>NO</v>
          </cell>
          <cell r="K59" t="str">
            <v>SÍ</v>
          </cell>
          <cell r="L59">
            <v>4</v>
          </cell>
          <cell r="M59">
            <v>0</v>
          </cell>
          <cell r="N59">
            <v>0</v>
          </cell>
        </row>
        <row r="60">
          <cell r="C60" t="str">
            <v>UNIVERSIDAD CATÓLICA DE TEMUCO</v>
          </cell>
          <cell r="D60" t="str">
            <v>UNIV</v>
          </cell>
          <cell r="E60">
            <v>42200</v>
          </cell>
          <cell r="F60">
            <v>43661</v>
          </cell>
          <cell r="G60" t="str">
            <v>SÍ</v>
          </cell>
          <cell r="H60" t="str">
            <v>SÍ</v>
          </cell>
          <cell r="I60" t="str">
            <v>SÍ</v>
          </cell>
          <cell r="J60" t="str">
            <v>NO</v>
          </cell>
          <cell r="K60" t="str">
            <v>SÍ</v>
          </cell>
          <cell r="L60">
            <v>4</v>
          </cell>
          <cell r="M60">
            <v>0</v>
          </cell>
          <cell r="N60">
            <v>1</v>
          </cell>
        </row>
        <row r="61">
          <cell r="C61" t="str">
            <v>UNIVERSIDAD CATÓLICA DEL MAULE</v>
          </cell>
          <cell r="D61" t="str">
            <v>UNIV</v>
          </cell>
          <cell r="E61">
            <v>42179</v>
          </cell>
          <cell r="F61">
            <v>44006</v>
          </cell>
          <cell r="G61" t="str">
            <v>SÍ</v>
          </cell>
          <cell r="H61" t="str">
            <v>SÍ</v>
          </cell>
          <cell r="I61" t="str">
            <v>NO</v>
          </cell>
          <cell r="J61" t="str">
            <v>NO</v>
          </cell>
          <cell r="K61" t="str">
            <v>SÍ</v>
          </cell>
          <cell r="L61">
            <v>5</v>
          </cell>
          <cell r="M61">
            <v>0</v>
          </cell>
          <cell r="N61">
            <v>0</v>
          </cell>
        </row>
        <row r="62">
          <cell r="C62" t="str">
            <v>UNIVERSIDAD CATÓLICA DEL NORTE</v>
          </cell>
          <cell r="D62" t="str">
            <v>UNIV</v>
          </cell>
          <cell r="E62">
            <v>42699</v>
          </cell>
          <cell r="F62">
            <v>44890</v>
          </cell>
          <cell r="G62" t="str">
            <v>SÍ</v>
          </cell>
          <cell r="H62" t="str">
            <v>SÍ</v>
          </cell>
          <cell r="I62" t="str">
            <v>SÍ</v>
          </cell>
          <cell r="J62" t="str">
            <v>SÍ</v>
          </cell>
          <cell r="K62" t="str">
            <v>SÍ</v>
          </cell>
          <cell r="L62">
            <v>6</v>
          </cell>
          <cell r="M62">
            <v>1</v>
          </cell>
          <cell r="N62">
            <v>1</v>
          </cell>
        </row>
        <row r="63">
          <cell r="C63" t="str">
            <v>UNIVERSIDAD CENTRAL DE CHILE</v>
          </cell>
          <cell r="D63" t="str">
            <v>UNIV</v>
          </cell>
          <cell r="E63">
            <v>43090</v>
          </cell>
          <cell r="F63">
            <v>44551</v>
          </cell>
          <cell r="G63" t="str">
            <v>SÍ</v>
          </cell>
          <cell r="H63" t="str">
            <v>SÍ</v>
          </cell>
          <cell r="I63" t="str">
            <v>NO</v>
          </cell>
          <cell r="J63" t="str">
            <v>NO</v>
          </cell>
          <cell r="K63" t="str">
            <v>SÍ</v>
          </cell>
          <cell r="L63">
            <v>4</v>
          </cell>
          <cell r="M63">
            <v>0</v>
          </cell>
          <cell r="N63">
            <v>0</v>
          </cell>
        </row>
        <row r="64">
          <cell r="C64" t="str">
            <v>UNIVERSIDAD DE ANTOFAGASTA</v>
          </cell>
          <cell r="D64" t="str">
            <v>UNIV</v>
          </cell>
          <cell r="E64">
            <v>42962</v>
          </cell>
          <cell r="F64">
            <v>44788</v>
          </cell>
          <cell r="G64" t="str">
            <v>SÍ</v>
          </cell>
          <cell r="H64" t="str">
            <v>SÍ</v>
          </cell>
          <cell r="I64" t="str">
            <v>SÍ</v>
          </cell>
          <cell r="J64" t="str">
            <v>NO</v>
          </cell>
          <cell r="K64" t="str">
            <v>SÍ</v>
          </cell>
          <cell r="L64">
            <v>5</v>
          </cell>
          <cell r="M64">
            <v>0</v>
          </cell>
          <cell r="N64">
            <v>1</v>
          </cell>
        </row>
        <row r="65">
          <cell r="C65" t="str">
            <v>UNIVERSIDAD DE ATACAMA</v>
          </cell>
          <cell r="D65" t="str">
            <v>UNIV</v>
          </cell>
          <cell r="E65">
            <v>43086</v>
          </cell>
          <cell r="F65">
            <v>44182</v>
          </cell>
          <cell r="G65" t="str">
            <v>SÍ</v>
          </cell>
          <cell r="H65" t="str">
            <v>SÍ</v>
          </cell>
          <cell r="I65" t="str">
            <v>SÍ</v>
          </cell>
          <cell r="J65" t="str">
            <v>NO</v>
          </cell>
          <cell r="K65" t="str">
            <v>SÍ</v>
          </cell>
          <cell r="L65">
            <v>3</v>
          </cell>
          <cell r="M65">
            <v>0</v>
          </cell>
          <cell r="N65">
            <v>1</v>
          </cell>
        </row>
        <row r="66">
          <cell r="C66" t="str">
            <v>UNIVERSIDAD DE CHILE</v>
          </cell>
          <cell r="D66" t="str">
            <v>UNIV</v>
          </cell>
          <cell r="E66">
            <v>40898</v>
          </cell>
          <cell r="F66">
            <v>43455</v>
          </cell>
          <cell r="G66" t="str">
            <v>SÍ</v>
          </cell>
          <cell r="H66" t="str">
            <v>SÍ</v>
          </cell>
          <cell r="I66" t="str">
            <v>SÍ</v>
          </cell>
          <cell r="J66" t="str">
            <v>SÍ</v>
          </cell>
          <cell r="K66" t="str">
            <v>SÍ</v>
          </cell>
          <cell r="L66">
            <v>7</v>
          </cell>
          <cell r="M66">
            <v>1</v>
          </cell>
          <cell r="N66">
            <v>1</v>
          </cell>
        </row>
        <row r="67">
          <cell r="C67" t="str">
            <v>UNIVERSIDAD DE CONCEPCIÓN</v>
          </cell>
          <cell r="D67" t="str">
            <v>UNIV</v>
          </cell>
          <cell r="E67">
            <v>42685</v>
          </cell>
          <cell r="F67">
            <v>45241</v>
          </cell>
          <cell r="G67" t="str">
            <v>SÍ</v>
          </cell>
          <cell r="H67" t="str">
            <v>SÍ</v>
          </cell>
          <cell r="I67" t="str">
            <v>SÍ</v>
          </cell>
          <cell r="J67" t="str">
            <v>SÍ</v>
          </cell>
          <cell r="K67" t="str">
            <v>SÍ</v>
          </cell>
          <cell r="L67">
            <v>7</v>
          </cell>
          <cell r="M67">
            <v>1</v>
          </cell>
          <cell r="N67">
            <v>1</v>
          </cell>
        </row>
        <row r="68">
          <cell r="C68" t="str">
            <v>UNIVERSIDAD DE LA FRONTERA</v>
          </cell>
          <cell r="D68" t="str">
            <v>UNIV</v>
          </cell>
          <cell r="E68">
            <v>41605</v>
          </cell>
          <cell r="F68">
            <v>43431</v>
          </cell>
          <cell r="G68" t="str">
            <v>SÍ</v>
          </cell>
          <cell r="H68" t="str">
            <v>SÍ</v>
          </cell>
          <cell r="I68" t="str">
            <v>SÍ</v>
          </cell>
          <cell r="J68" t="str">
            <v>SÍ</v>
          </cell>
          <cell r="K68" t="str">
            <v>SÍ</v>
          </cell>
          <cell r="L68">
            <v>5</v>
          </cell>
          <cell r="M68">
            <v>1</v>
          </cell>
          <cell r="N68">
            <v>1</v>
          </cell>
        </row>
        <row r="69">
          <cell r="C69" t="str">
            <v>UNIVERSIDAD DE LA SERENA</v>
          </cell>
          <cell r="D69" t="str">
            <v>UNIV</v>
          </cell>
          <cell r="E69">
            <v>42724</v>
          </cell>
          <cell r="F69">
            <v>44185</v>
          </cell>
          <cell r="G69" t="str">
            <v>SÍ</v>
          </cell>
          <cell r="H69" t="str">
            <v>SÍ</v>
          </cell>
          <cell r="I69" t="str">
            <v>SÍ</v>
          </cell>
          <cell r="J69" t="str">
            <v>NO</v>
          </cell>
          <cell r="K69" t="str">
            <v>SÍ</v>
          </cell>
          <cell r="L69">
            <v>4</v>
          </cell>
          <cell r="M69">
            <v>0</v>
          </cell>
          <cell r="N69">
            <v>1</v>
          </cell>
        </row>
        <row r="70">
          <cell r="C70" t="str">
            <v>UNIVERSIDAD DE LAS AMÉRICAS</v>
          </cell>
          <cell r="D70" t="str">
            <v>UNIV</v>
          </cell>
          <cell r="E70">
            <v>42445</v>
          </cell>
          <cell r="F70">
            <v>43540</v>
          </cell>
          <cell r="G70" t="str">
            <v>SÍ</v>
          </cell>
          <cell r="H70" t="str">
            <v>SÍ</v>
          </cell>
          <cell r="I70" t="str">
            <v>NO</v>
          </cell>
          <cell r="J70" t="str">
            <v>NO</v>
          </cell>
          <cell r="K70" t="str">
            <v>NO</v>
          </cell>
          <cell r="L70">
            <v>3</v>
          </cell>
          <cell r="M70">
            <v>0</v>
          </cell>
          <cell r="N70">
            <v>0</v>
          </cell>
        </row>
        <row r="71">
          <cell r="C71" t="str">
            <v>UNIVERSIDAD DE LOS ANDES</v>
          </cell>
          <cell r="D71" t="str">
            <v>UNIV</v>
          </cell>
          <cell r="E71">
            <v>43082</v>
          </cell>
          <cell r="F71">
            <v>44908</v>
          </cell>
          <cell r="G71" t="str">
            <v>SÍ</v>
          </cell>
          <cell r="H71" t="str">
            <v>SÍ</v>
          </cell>
          <cell r="I71" t="str">
            <v>SÍ</v>
          </cell>
          <cell r="J71" t="str">
            <v>SÍ</v>
          </cell>
          <cell r="K71" t="str">
            <v>SÍ</v>
          </cell>
          <cell r="L71">
            <v>5</v>
          </cell>
          <cell r="M71">
            <v>1</v>
          </cell>
          <cell r="N71">
            <v>1</v>
          </cell>
        </row>
        <row r="72">
          <cell r="C72" t="str">
            <v>UNIVERSIDAD DE LOS LAGOS</v>
          </cell>
          <cell r="D72" t="str">
            <v>UNIV</v>
          </cell>
          <cell r="E72">
            <v>42716</v>
          </cell>
          <cell r="F72">
            <v>44177</v>
          </cell>
          <cell r="G72" t="str">
            <v>SÍ</v>
          </cell>
          <cell r="H72" t="str">
            <v>SÍ</v>
          </cell>
          <cell r="I72" t="str">
            <v>NO</v>
          </cell>
          <cell r="J72" t="str">
            <v>NO</v>
          </cell>
          <cell r="K72" t="str">
            <v>SÍ</v>
          </cell>
          <cell r="L72">
            <v>4</v>
          </cell>
          <cell r="M72">
            <v>0</v>
          </cell>
          <cell r="N72">
            <v>0</v>
          </cell>
        </row>
        <row r="73">
          <cell r="C73" t="str">
            <v>UNIVERSIDAD DE MAGALLANES</v>
          </cell>
          <cell r="D73" t="str">
            <v>UNIV</v>
          </cell>
          <cell r="E73">
            <v>42367</v>
          </cell>
          <cell r="F73">
            <v>43828</v>
          </cell>
          <cell r="G73" t="str">
            <v>SÍ</v>
          </cell>
          <cell r="H73" t="str">
            <v>SÍ</v>
          </cell>
          <cell r="I73" t="str">
            <v>SÍ</v>
          </cell>
          <cell r="J73" t="str">
            <v>NO</v>
          </cell>
          <cell r="K73" t="str">
            <v>SÍ</v>
          </cell>
          <cell r="L73">
            <v>4</v>
          </cell>
          <cell r="M73">
            <v>0</v>
          </cell>
          <cell r="N73">
            <v>1</v>
          </cell>
        </row>
        <row r="74">
          <cell r="C74" t="str">
            <v>UNIVERSIDAD DE PLAYA ANCHA DE CIENCIAS DE LA EDUCACIÓN</v>
          </cell>
          <cell r="D74" t="str">
            <v>UNIV</v>
          </cell>
          <cell r="E74">
            <v>42640</v>
          </cell>
          <cell r="F74">
            <v>44466</v>
          </cell>
          <cell r="G74" t="str">
            <v>SÍ</v>
          </cell>
          <cell r="H74" t="str">
            <v>SÍ</v>
          </cell>
          <cell r="I74" t="str">
            <v>NO</v>
          </cell>
          <cell r="J74" t="str">
            <v>NO</v>
          </cell>
          <cell r="K74" t="str">
            <v>SÍ</v>
          </cell>
          <cell r="L74">
            <v>5</v>
          </cell>
          <cell r="M74">
            <v>0</v>
          </cell>
          <cell r="N74">
            <v>0</v>
          </cell>
        </row>
        <row r="75">
          <cell r="C75" t="str">
            <v>UNIVERSIDAD DE SANTIAGO DE CHILE</v>
          </cell>
          <cell r="D75" t="str">
            <v>UNIV</v>
          </cell>
          <cell r="E75">
            <v>41914</v>
          </cell>
          <cell r="F75">
            <v>44106</v>
          </cell>
          <cell r="G75" t="str">
            <v>SÍ</v>
          </cell>
          <cell r="H75" t="str">
            <v>SÍ</v>
          </cell>
          <cell r="I75" t="str">
            <v>SÍ</v>
          </cell>
          <cell r="J75" t="str">
            <v>SÍ</v>
          </cell>
          <cell r="K75" t="str">
            <v>SÍ</v>
          </cell>
          <cell r="L75">
            <v>6</v>
          </cell>
          <cell r="M75">
            <v>1</v>
          </cell>
          <cell r="N75">
            <v>1</v>
          </cell>
        </row>
        <row r="76">
          <cell r="C76" t="str">
            <v>UNIVERSIDAD DE TALCA</v>
          </cell>
          <cell r="D76" t="str">
            <v>UNIV</v>
          </cell>
          <cell r="E76">
            <v>41969</v>
          </cell>
          <cell r="F76">
            <v>43795</v>
          </cell>
          <cell r="G76" t="str">
            <v>SÍ</v>
          </cell>
          <cell r="H76" t="str">
            <v>SÍ</v>
          </cell>
          <cell r="I76" t="str">
            <v>SÍ</v>
          </cell>
          <cell r="J76" t="str">
            <v>SÍ</v>
          </cell>
          <cell r="K76" t="str">
            <v>SÍ</v>
          </cell>
          <cell r="L76">
            <v>5</v>
          </cell>
          <cell r="M76">
            <v>1</v>
          </cell>
          <cell r="N76">
            <v>1</v>
          </cell>
        </row>
        <row r="77">
          <cell r="C77" t="str">
            <v>UNIVERSIDAD DE TARAPACÁ</v>
          </cell>
          <cell r="D77" t="str">
            <v>UNIV</v>
          </cell>
          <cell r="E77">
            <v>43061</v>
          </cell>
          <cell r="F77">
            <v>44887</v>
          </cell>
          <cell r="G77" t="str">
            <v>SÍ</v>
          </cell>
          <cell r="H77" t="str">
            <v>SÍ</v>
          </cell>
          <cell r="I77" t="str">
            <v>SÍ</v>
          </cell>
          <cell r="J77" t="str">
            <v>NO</v>
          </cell>
          <cell r="K77" t="str">
            <v>SÍ</v>
          </cell>
          <cell r="L77">
            <v>5</v>
          </cell>
          <cell r="M77">
            <v>0</v>
          </cell>
          <cell r="N77">
            <v>1</v>
          </cell>
        </row>
        <row r="78">
          <cell r="C78" t="str">
            <v>UNIVERSIDAD DE VALPARAÍSO</v>
          </cell>
          <cell r="D78" t="str">
            <v>UNIV</v>
          </cell>
          <cell r="E78">
            <v>43033</v>
          </cell>
          <cell r="F78">
            <v>44859</v>
          </cell>
          <cell r="G78" t="str">
            <v>SÍ</v>
          </cell>
          <cell r="H78" t="str">
            <v>SÍ</v>
          </cell>
          <cell r="I78" t="str">
            <v>SÍ</v>
          </cell>
          <cell r="J78" t="str">
            <v>SÍ</v>
          </cell>
          <cell r="K78" t="str">
            <v>SÍ</v>
          </cell>
          <cell r="L78">
            <v>5</v>
          </cell>
          <cell r="M78">
            <v>1</v>
          </cell>
          <cell r="N78">
            <v>1</v>
          </cell>
        </row>
        <row r="79">
          <cell r="C79" t="str">
            <v>UNIVERSIDAD DE VIÑA DEL MAR</v>
          </cell>
          <cell r="D79" t="str">
            <v>UNIV</v>
          </cell>
          <cell r="E79">
            <v>42346</v>
          </cell>
          <cell r="F79">
            <v>43807</v>
          </cell>
          <cell r="G79" t="str">
            <v>SÍ</v>
          </cell>
          <cell r="H79" t="str">
            <v>SÍ</v>
          </cell>
          <cell r="I79" t="str">
            <v>NO</v>
          </cell>
          <cell r="J79" t="str">
            <v>NO</v>
          </cell>
          <cell r="K79" t="str">
            <v>NO</v>
          </cell>
          <cell r="L79">
            <v>4</v>
          </cell>
          <cell r="M79">
            <v>0</v>
          </cell>
          <cell r="N79">
            <v>0</v>
          </cell>
        </row>
        <row r="80">
          <cell r="C80" t="str">
            <v>UNIVERSIDAD DEL BÍO-BÍO</v>
          </cell>
          <cell r="D80" t="str">
            <v>UNIV</v>
          </cell>
          <cell r="E80">
            <v>41878</v>
          </cell>
          <cell r="F80">
            <v>43704</v>
          </cell>
          <cell r="G80" t="str">
            <v>SÍ</v>
          </cell>
          <cell r="H80" t="str">
            <v>SÍ</v>
          </cell>
          <cell r="I80" t="str">
            <v>SÍ</v>
          </cell>
          <cell r="J80" t="str">
            <v>NO</v>
          </cell>
          <cell r="K80" t="str">
            <v>SÍ</v>
          </cell>
          <cell r="L80">
            <v>5</v>
          </cell>
          <cell r="M80">
            <v>0</v>
          </cell>
          <cell r="N80">
            <v>1</v>
          </cell>
        </row>
        <row r="81">
          <cell r="C81" t="str">
            <v>UNIVERSIDAD DEL DESARROLLO</v>
          </cell>
          <cell r="D81" t="str">
            <v>UNIV</v>
          </cell>
          <cell r="E81">
            <v>42719</v>
          </cell>
          <cell r="F81">
            <v>44545</v>
          </cell>
          <cell r="G81" t="str">
            <v>SÍ</v>
          </cell>
          <cell r="H81" t="str">
            <v>SÍ</v>
          </cell>
          <cell r="I81" t="str">
            <v>SÍ</v>
          </cell>
          <cell r="J81" t="str">
            <v>NO</v>
          </cell>
          <cell r="K81" t="str">
            <v>SÍ</v>
          </cell>
          <cell r="L81">
            <v>5</v>
          </cell>
          <cell r="M81">
            <v>0</v>
          </cell>
          <cell r="N81">
            <v>1</v>
          </cell>
        </row>
        <row r="82">
          <cell r="C82" t="str">
            <v>UNIVERSIDAD DIEGO PORTALES</v>
          </cell>
          <cell r="D82" t="str">
            <v>UNIV</v>
          </cell>
          <cell r="E82">
            <v>41570</v>
          </cell>
          <cell r="F82">
            <v>43396</v>
          </cell>
          <cell r="G82" t="str">
            <v>SÍ</v>
          </cell>
          <cell r="H82" t="str">
            <v>SÍ</v>
          </cell>
          <cell r="I82" t="str">
            <v>SÍ</v>
          </cell>
          <cell r="J82" t="str">
            <v>NO</v>
          </cell>
          <cell r="K82" t="str">
            <v>SÍ</v>
          </cell>
          <cell r="L82">
            <v>5</v>
          </cell>
          <cell r="M82">
            <v>0</v>
          </cell>
          <cell r="N82">
            <v>1</v>
          </cell>
        </row>
        <row r="83">
          <cell r="C83" t="str">
            <v>UNIVERSIDAD FINIS TERRAE</v>
          </cell>
          <cell r="D83" t="str">
            <v>UNIV</v>
          </cell>
          <cell r="E83">
            <v>42326</v>
          </cell>
          <cell r="F83">
            <v>43787</v>
          </cell>
          <cell r="G83" t="str">
            <v>SÍ</v>
          </cell>
          <cell r="H83" t="str">
            <v>SÍ</v>
          </cell>
          <cell r="I83" t="str">
            <v>NO</v>
          </cell>
          <cell r="J83" t="str">
            <v>NO</v>
          </cell>
          <cell r="K83" t="str">
            <v>SÍ</v>
          </cell>
          <cell r="L83">
            <v>4</v>
          </cell>
          <cell r="M83">
            <v>0</v>
          </cell>
          <cell r="N83">
            <v>0</v>
          </cell>
        </row>
        <row r="84">
          <cell r="C84" t="str">
            <v>UNIVERSIDAD IBEROAMERICANA DE CIENCIAS Y TECNOLOGÍA UNICIT</v>
          </cell>
          <cell r="D84" t="str">
            <v>UNIV</v>
          </cell>
          <cell r="E84">
            <v>42669</v>
          </cell>
          <cell r="F84">
            <v>43399</v>
          </cell>
          <cell r="G84" t="str">
            <v>SÍ</v>
          </cell>
          <cell r="H84" t="str">
            <v>SÍ</v>
          </cell>
          <cell r="I84" t="str">
            <v>NO</v>
          </cell>
          <cell r="J84" t="str">
            <v>NO</v>
          </cell>
          <cell r="K84" t="str">
            <v>NO</v>
          </cell>
          <cell r="L84">
            <v>2</v>
          </cell>
          <cell r="M84">
            <v>0</v>
          </cell>
          <cell r="N84">
            <v>0</v>
          </cell>
        </row>
        <row r="85">
          <cell r="C85" t="str">
            <v>UNIVERSIDAD SAN SEBASTIÁN</v>
          </cell>
          <cell r="D85" t="str">
            <v>UNIV</v>
          </cell>
          <cell r="E85">
            <v>42626</v>
          </cell>
          <cell r="F85">
            <v>44452</v>
          </cell>
          <cell r="G85" t="str">
            <v>SÍ</v>
          </cell>
          <cell r="H85" t="str">
            <v>SÍ</v>
          </cell>
          <cell r="I85" t="str">
            <v>NO</v>
          </cell>
          <cell r="J85" t="str">
            <v>NO</v>
          </cell>
          <cell r="K85" t="str">
            <v>SÍ</v>
          </cell>
          <cell r="L85">
            <v>5</v>
          </cell>
          <cell r="M85">
            <v>0</v>
          </cell>
          <cell r="N85">
            <v>0</v>
          </cell>
        </row>
        <row r="86">
          <cell r="C86" t="str">
            <v>UNIVERSIDAD METROPOLITANA DE CIENCIAS DE LA EDUCACIÓN</v>
          </cell>
          <cell r="D86" t="str">
            <v>UNIV</v>
          </cell>
          <cell r="E86">
            <v>42733</v>
          </cell>
          <cell r="F86">
            <v>43828</v>
          </cell>
          <cell r="G86" t="str">
            <v>SÍ</v>
          </cell>
          <cell r="H86" t="str">
            <v>SÍ</v>
          </cell>
          <cell r="I86" t="str">
            <v>NO</v>
          </cell>
          <cell r="J86" t="str">
            <v>NO</v>
          </cell>
          <cell r="K86" t="str">
            <v>NO</v>
          </cell>
          <cell r="L86">
            <v>3</v>
          </cell>
          <cell r="M86">
            <v>0</v>
          </cell>
          <cell r="N86">
            <v>0</v>
          </cell>
        </row>
        <row r="87">
          <cell r="C87" t="str">
            <v>UNIVERSIDAD TÉCNICA FEDERICO SANTA MARÍA</v>
          </cell>
          <cell r="D87" t="str">
            <v>UNIV</v>
          </cell>
          <cell r="E87">
            <v>42733</v>
          </cell>
          <cell r="F87">
            <v>44924</v>
          </cell>
          <cell r="G87" t="str">
            <v>SÍ</v>
          </cell>
          <cell r="H87" t="str">
            <v>SÍ</v>
          </cell>
          <cell r="I87" t="str">
            <v>SÍ</v>
          </cell>
          <cell r="J87" t="str">
            <v>SÍ</v>
          </cell>
          <cell r="K87" t="str">
            <v>SÍ</v>
          </cell>
          <cell r="L87">
            <v>6</v>
          </cell>
          <cell r="M87">
            <v>1</v>
          </cell>
          <cell r="N87">
            <v>1</v>
          </cell>
        </row>
        <row r="88">
          <cell r="C88" t="str">
            <v>UNIVERSIDAD TECNOLÓGICA DE CHILE INACAP</v>
          </cell>
          <cell r="D88" t="str">
            <v>UNIV</v>
          </cell>
          <cell r="E88">
            <v>42700</v>
          </cell>
          <cell r="F88">
            <v>43430</v>
          </cell>
          <cell r="G88" t="str">
            <v>SÍ</v>
          </cell>
          <cell r="H88" t="str">
            <v>SÍ</v>
          </cell>
          <cell r="I88" t="str">
            <v>NO</v>
          </cell>
          <cell r="J88" t="str">
            <v>NO</v>
          </cell>
          <cell r="K88" t="str">
            <v>SÍ</v>
          </cell>
          <cell r="L88">
            <v>2</v>
          </cell>
          <cell r="M88">
            <v>0</v>
          </cell>
          <cell r="N88">
            <v>0</v>
          </cell>
        </row>
        <row r="89">
          <cell r="C89" t="str">
            <v>UNIVERSIDAD TECNOLÓGICA METROPOLITANA</v>
          </cell>
          <cell r="D89" t="str">
            <v>UNIV</v>
          </cell>
          <cell r="E89">
            <v>42734</v>
          </cell>
          <cell r="F89">
            <v>44195</v>
          </cell>
          <cell r="G89" t="str">
            <v>SÍ</v>
          </cell>
          <cell r="H89" t="str">
            <v>SÍ</v>
          </cell>
          <cell r="I89" t="str">
            <v>NO</v>
          </cell>
          <cell r="J89" t="str">
            <v>NO</v>
          </cell>
          <cell r="K89" t="str">
            <v>SÍ</v>
          </cell>
          <cell r="L89">
            <v>4</v>
          </cell>
          <cell r="M89">
            <v>0</v>
          </cell>
          <cell r="N89">
            <v>0</v>
          </cell>
        </row>
        <row r="90">
          <cell r="C90" t="str">
            <v>UNIVERSIDAD SANTO TOMÁS</v>
          </cell>
          <cell r="D90" t="str">
            <v>UNIV</v>
          </cell>
          <cell r="E90">
            <v>43078</v>
          </cell>
          <cell r="F90">
            <v>44174</v>
          </cell>
          <cell r="G90" t="str">
            <v>SÍ</v>
          </cell>
          <cell r="H90" t="str">
            <v>SÍ</v>
          </cell>
          <cell r="I90" t="str">
            <v>NO</v>
          </cell>
          <cell r="J90" t="str">
            <v>NO</v>
          </cell>
          <cell r="K90" t="str">
            <v>NO</v>
          </cell>
          <cell r="L90">
            <v>3</v>
          </cell>
          <cell r="M90">
            <v>0</v>
          </cell>
          <cell r="N90">
            <v>0</v>
          </cell>
        </row>
        <row r="91">
          <cell r="C91" t="str">
            <v>UNIVERSIDAD MAYOR</v>
          </cell>
          <cell r="D91" t="str">
            <v>UNIV</v>
          </cell>
          <cell r="E91">
            <v>42144</v>
          </cell>
          <cell r="F91">
            <v>43971</v>
          </cell>
          <cell r="G91" t="str">
            <v>SÍ</v>
          </cell>
          <cell r="H91" t="str">
            <v>SÍ</v>
          </cell>
          <cell r="I91" t="str">
            <v>NO</v>
          </cell>
          <cell r="J91" t="str">
            <v>NO</v>
          </cell>
          <cell r="K91" t="str">
            <v>SÍ</v>
          </cell>
          <cell r="L91">
            <v>5</v>
          </cell>
          <cell r="M91">
            <v>0</v>
          </cell>
          <cell r="N91">
            <v>0</v>
          </cell>
        </row>
        <row r="92">
          <cell r="C92" t="str">
            <v>UNIVERSIDAD GABRIELA MISTRAL</v>
          </cell>
          <cell r="D92" t="str">
            <v>UNIV</v>
          </cell>
          <cell r="E92">
            <v>42634</v>
          </cell>
          <cell r="F92">
            <v>43364</v>
          </cell>
          <cell r="G92" t="str">
            <v>SÍ</v>
          </cell>
          <cell r="H92" t="str">
            <v>SÍ</v>
          </cell>
          <cell r="I92" t="str">
            <v>NO</v>
          </cell>
          <cell r="J92" t="str">
            <v>NO</v>
          </cell>
          <cell r="K92" t="str">
            <v>NO</v>
          </cell>
          <cell r="L92">
            <v>2</v>
          </cell>
          <cell r="M92">
            <v>0</v>
          </cell>
          <cell r="N92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 c.1)"/>
    </sheetNames>
    <sheetDataSet>
      <sheetData sheetId="0">
        <row r="2">
          <cell r="B2" t="str">
            <v>UNIVERSIDAD GABRIELA MISTRAL</v>
          </cell>
          <cell r="C2">
            <v>8</v>
          </cell>
          <cell r="D2">
            <v>23</v>
          </cell>
          <cell r="E2">
            <v>0</v>
          </cell>
          <cell r="F2">
            <v>48</v>
          </cell>
        </row>
        <row r="3">
          <cell r="B3" t="str">
            <v>UNIVERSIDAD FINIS TERRAE</v>
          </cell>
          <cell r="C3">
            <v>22</v>
          </cell>
          <cell r="D3">
            <v>53</v>
          </cell>
          <cell r="E3">
            <v>4</v>
          </cell>
          <cell r="F3">
            <v>105</v>
          </cell>
        </row>
        <row r="4">
          <cell r="B4" t="str">
            <v>UNIVERSIDAD DIEGO PORTALES</v>
          </cell>
          <cell r="C4">
            <v>160</v>
          </cell>
          <cell r="D4">
            <v>134</v>
          </cell>
          <cell r="E4">
            <v>21</v>
          </cell>
          <cell r="F4">
            <v>381</v>
          </cell>
        </row>
        <row r="5">
          <cell r="B5" t="str">
            <v>UNIVERSIDAD CENTRAL DE CHILE</v>
          </cell>
          <cell r="C5">
            <v>62</v>
          </cell>
          <cell r="D5">
            <v>146</v>
          </cell>
          <cell r="E5">
            <v>1</v>
          </cell>
          <cell r="F5">
            <v>266</v>
          </cell>
        </row>
        <row r="6">
          <cell r="B6" t="str">
            <v>UNIVERSIDAD BOLIVARIANA</v>
          </cell>
          <cell r="C6">
            <v>1</v>
          </cell>
          <cell r="D6">
            <v>7</v>
          </cell>
          <cell r="E6">
            <v>3</v>
          </cell>
          <cell r="F6">
            <v>26</v>
          </cell>
        </row>
        <row r="7">
          <cell r="B7" t="str">
            <v>UNIVERSIDAD PEDRO DE VALDIVIA</v>
          </cell>
          <cell r="C7">
            <v>0</v>
          </cell>
          <cell r="D7">
            <v>25</v>
          </cell>
          <cell r="E7">
            <v>2</v>
          </cell>
          <cell r="F7">
            <v>55</v>
          </cell>
        </row>
        <row r="8">
          <cell r="B8" t="str">
            <v>UNIVERSIDAD MAYOR</v>
          </cell>
          <cell r="C8">
            <v>42</v>
          </cell>
          <cell r="D8">
            <v>229</v>
          </cell>
          <cell r="E8">
            <v>27</v>
          </cell>
          <cell r="F8">
            <v>660</v>
          </cell>
        </row>
        <row r="9">
          <cell r="B9" t="str">
            <v>UNIVERSIDAD ACADEMIA DE HUMANISMO CRISTIANO</v>
          </cell>
          <cell r="C9">
            <v>9</v>
          </cell>
          <cell r="D9">
            <v>27</v>
          </cell>
          <cell r="E9">
            <v>9</v>
          </cell>
          <cell r="F9">
            <v>53</v>
          </cell>
        </row>
        <row r="10">
          <cell r="B10" t="str">
            <v>UNIVERSIDAD SANTO TOMAS</v>
          </cell>
          <cell r="C10">
            <v>60</v>
          </cell>
          <cell r="D10">
            <v>276</v>
          </cell>
          <cell r="E10">
            <v>1</v>
          </cell>
          <cell r="F10">
            <v>479</v>
          </cell>
        </row>
        <row r="11">
          <cell r="B11" t="str">
            <v>UNIVERSIDAD LA REPUBLICA</v>
          </cell>
          <cell r="C11">
            <v>1</v>
          </cell>
          <cell r="D11">
            <v>12</v>
          </cell>
          <cell r="E11">
            <v>0</v>
          </cell>
          <cell r="F11">
            <v>43</v>
          </cell>
        </row>
        <row r="12">
          <cell r="B12" t="str">
            <v>UNIVERSIDAD SEK</v>
          </cell>
          <cell r="C12">
            <v>7</v>
          </cell>
          <cell r="D12">
            <v>22</v>
          </cell>
          <cell r="E12">
            <v>0</v>
          </cell>
          <cell r="F12">
            <v>47</v>
          </cell>
        </row>
        <row r="13">
          <cell r="B13" t="str">
            <v>UNIVERSIDAD DE LAS AMERICAS</v>
          </cell>
          <cell r="C13">
            <v>15</v>
          </cell>
          <cell r="D13">
            <v>213</v>
          </cell>
          <cell r="E13">
            <v>1</v>
          </cell>
          <cell r="F13">
            <v>520</v>
          </cell>
        </row>
        <row r="14">
          <cell r="B14" t="str">
            <v>UNIVERSIDAD ANDRES BELLO</v>
          </cell>
          <cell r="C14">
            <v>299</v>
          </cell>
          <cell r="D14">
            <v>383</v>
          </cell>
          <cell r="E14">
            <v>52</v>
          </cell>
          <cell r="F14">
            <v>961</v>
          </cell>
        </row>
        <row r="15">
          <cell r="B15" t="str">
            <v>UNIVERSIDAD DE VIÑA DEL MAR</v>
          </cell>
          <cell r="C15">
            <v>15</v>
          </cell>
          <cell r="D15">
            <v>80</v>
          </cell>
          <cell r="E15">
            <v>1</v>
          </cell>
          <cell r="F15">
            <v>186</v>
          </cell>
        </row>
        <row r="16">
          <cell r="B16" t="str">
            <v>UNIVERSIDAD ADOLFO IBAÑEZ</v>
          </cell>
          <cell r="C16">
            <v>197</v>
          </cell>
          <cell r="D16">
            <v>72</v>
          </cell>
          <cell r="E16">
            <v>0</v>
          </cell>
          <cell r="F16">
            <v>291</v>
          </cell>
        </row>
        <row r="17">
          <cell r="B17" t="str">
            <v>UNIVERSIDAD IBEROAMERICANA DE CIENCIAS Y TECNOLOGIA, UNICYT</v>
          </cell>
          <cell r="C17">
            <v>3</v>
          </cell>
          <cell r="D17">
            <v>20</v>
          </cell>
          <cell r="E17">
            <v>0</v>
          </cell>
          <cell r="F17">
            <v>75</v>
          </cell>
        </row>
        <row r="18">
          <cell r="B18" t="str">
            <v>UNIVERSIDAD DE ARTES, CIENCIAS Y COMUNICACION - UNIACC</v>
          </cell>
          <cell r="C18">
            <v>1</v>
          </cell>
          <cell r="D18">
            <v>24</v>
          </cell>
          <cell r="E18">
            <v>0</v>
          </cell>
          <cell r="F18">
            <v>43</v>
          </cell>
        </row>
        <row r="19">
          <cell r="B19" t="str">
            <v>UNIVERSIDAD DEL MAR</v>
          </cell>
          <cell r="C19">
            <v>0</v>
          </cell>
          <cell r="D19">
            <v>1</v>
          </cell>
          <cell r="E19">
            <v>0</v>
          </cell>
          <cell r="F19">
            <v>1</v>
          </cell>
        </row>
        <row r="20">
          <cell r="B20" t="str">
            <v>UNIVERSIDAD UCINF</v>
          </cell>
          <cell r="C20">
            <v>0</v>
          </cell>
          <cell r="D20">
            <v>2</v>
          </cell>
          <cell r="E20">
            <v>0</v>
          </cell>
          <cell r="F20">
            <v>2</v>
          </cell>
        </row>
        <row r="21">
          <cell r="B21" t="str">
            <v>UNIVERSIDAD AUTONOMA DE CHILE</v>
          </cell>
          <cell r="C21">
            <v>84</v>
          </cell>
          <cell r="D21">
            <v>219</v>
          </cell>
          <cell r="E21">
            <v>9</v>
          </cell>
          <cell r="F21">
            <v>453</v>
          </cell>
        </row>
        <row r="22">
          <cell r="B22" t="str">
            <v>UNIVERSIDAD DE LOS ANDES</v>
          </cell>
          <cell r="C22">
            <v>117</v>
          </cell>
          <cell r="D22">
            <v>43</v>
          </cell>
          <cell r="E22">
            <v>7</v>
          </cell>
          <cell r="F22">
            <v>191</v>
          </cell>
        </row>
        <row r="23">
          <cell r="B23" t="str">
            <v>UNIVERSIDAD ADVENTISTA DE CHILE</v>
          </cell>
          <cell r="C23">
            <v>12</v>
          </cell>
          <cell r="D23">
            <v>61</v>
          </cell>
          <cell r="E23">
            <v>0</v>
          </cell>
          <cell r="F23">
            <v>111</v>
          </cell>
        </row>
        <row r="24">
          <cell r="B24" t="str">
            <v>UNIVERSIDAD SAN SEBASTIAN</v>
          </cell>
          <cell r="C24">
            <v>71</v>
          </cell>
          <cell r="D24">
            <v>299</v>
          </cell>
          <cell r="E24">
            <v>31</v>
          </cell>
          <cell r="F24">
            <v>620</v>
          </cell>
        </row>
        <row r="25">
          <cell r="B25" t="str">
            <v>UNIVERSIDAD DE ARTE Y CIENCIAS SOCIALES ARCIS</v>
          </cell>
          <cell r="C25">
            <v>0</v>
          </cell>
          <cell r="D25">
            <v>4</v>
          </cell>
          <cell r="E25">
            <v>0</v>
          </cell>
          <cell r="F25">
            <v>12</v>
          </cell>
        </row>
        <row r="26">
          <cell r="B26" t="str">
            <v>UNIVERSIDAD CATOLICA SILVA HENRIQUEZ</v>
          </cell>
          <cell r="C26">
            <v>44</v>
          </cell>
          <cell r="D26">
            <v>61</v>
          </cell>
          <cell r="E26">
            <v>0</v>
          </cell>
          <cell r="F26">
            <v>132</v>
          </cell>
        </row>
        <row r="27">
          <cell r="B27" t="str">
            <v>UNIVERSIDAD DEL DESARROLLO</v>
          </cell>
          <cell r="C27">
            <v>83</v>
          </cell>
          <cell r="D27">
            <v>126</v>
          </cell>
          <cell r="E27">
            <v>28</v>
          </cell>
          <cell r="F27">
            <v>324</v>
          </cell>
        </row>
        <row r="28">
          <cell r="B28" t="str">
            <v>UNIVERSIDAD DE ACONCAGUA</v>
          </cell>
          <cell r="C28">
            <v>2</v>
          </cell>
          <cell r="D28">
            <v>10</v>
          </cell>
          <cell r="E28">
            <v>0</v>
          </cell>
          <cell r="F28">
            <v>38</v>
          </cell>
        </row>
        <row r="29">
          <cell r="B29" t="str">
            <v>UNIVERSIDAD DEL PACIFICO</v>
          </cell>
          <cell r="C29">
            <v>5</v>
          </cell>
          <cell r="D29">
            <v>42</v>
          </cell>
          <cell r="E29">
            <v>0</v>
          </cell>
          <cell r="F29">
            <v>74</v>
          </cell>
        </row>
        <row r="30">
          <cell r="B30" t="str">
            <v>UNIVERSIDAD LOS LEONES</v>
          </cell>
          <cell r="C30">
            <v>0</v>
          </cell>
          <cell r="D30">
            <v>1</v>
          </cell>
          <cell r="E30">
            <v>0</v>
          </cell>
          <cell r="F30">
            <v>4</v>
          </cell>
        </row>
        <row r="31">
          <cell r="B31" t="str">
            <v>UNIVERSIDAD BERNARDO OHIGGINS</v>
          </cell>
          <cell r="C31">
            <v>32</v>
          </cell>
          <cell r="D31">
            <v>86</v>
          </cell>
          <cell r="E31">
            <v>0</v>
          </cell>
          <cell r="F31">
            <v>203</v>
          </cell>
        </row>
        <row r="32">
          <cell r="B32" t="str">
            <v>UNIVERSIDAD TECNOLOGICA DE CHILE INACAP</v>
          </cell>
          <cell r="C32">
            <v>0</v>
          </cell>
          <cell r="D32">
            <v>8</v>
          </cell>
          <cell r="E32">
            <v>0</v>
          </cell>
          <cell r="F32">
            <v>21</v>
          </cell>
        </row>
        <row r="33">
          <cell r="B33" t="str">
            <v>UNIVERSIDAD MIGUEL DE CERVANTES</v>
          </cell>
          <cell r="C33">
            <v>1</v>
          </cell>
          <cell r="D33">
            <v>12</v>
          </cell>
          <cell r="E33">
            <v>0</v>
          </cell>
          <cell r="F33">
            <v>18</v>
          </cell>
        </row>
        <row r="34">
          <cell r="B34" t="str">
            <v>UNIVERSIDAD ALBERTO HURTADO</v>
          </cell>
          <cell r="C34">
            <v>102</v>
          </cell>
          <cell r="D34">
            <v>36</v>
          </cell>
          <cell r="E34">
            <v>0</v>
          </cell>
          <cell r="F34">
            <v>152</v>
          </cell>
        </row>
        <row r="35">
          <cell r="B35" t="str">
            <v>UNIVERSIDAD DE CHILE</v>
          </cell>
          <cell r="C35">
            <v>1031</v>
          </cell>
          <cell r="D35">
            <v>228</v>
          </cell>
          <cell r="E35">
            <v>27</v>
          </cell>
          <cell r="F35">
            <v>1559</v>
          </cell>
        </row>
        <row r="36">
          <cell r="B36" t="str">
            <v>UNIVERSIDAD DE SANTIAGO DE CHILE</v>
          </cell>
          <cell r="C36">
            <v>405</v>
          </cell>
          <cell r="D36">
            <v>133</v>
          </cell>
          <cell r="E36">
            <v>0</v>
          </cell>
          <cell r="F36">
            <v>640</v>
          </cell>
        </row>
        <row r="37">
          <cell r="B37" t="str">
            <v>UNIVERSIDAD DE VALPARAISO</v>
          </cell>
          <cell r="C37">
            <v>216</v>
          </cell>
          <cell r="D37">
            <v>239</v>
          </cell>
          <cell r="E37">
            <v>9</v>
          </cell>
          <cell r="F37">
            <v>568</v>
          </cell>
        </row>
        <row r="38">
          <cell r="B38" t="str">
            <v>UNIVERSIDAD DE ANTOFAGASTA</v>
          </cell>
          <cell r="C38">
            <v>135</v>
          </cell>
          <cell r="D38">
            <v>106</v>
          </cell>
          <cell r="E38">
            <v>7</v>
          </cell>
          <cell r="F38">
            <v>315</v>
          </cell>
        </row>
        <row r="39">
          <cell r="B39" t="str">
            <v>UNIVERSIDAD DE LA SERENA</v>
          </cell>
          <cell r="C39">
            <v>111</v>
          </cell>
          <cell r="D39">
            <v>62</v>
          </cell>
          <cell r="E39">
            <v>0</v>
          </cell>
          <cell r="F39">
            <v>232</v>
          </cell>
        </row>
        <row r="40">
          <cell r="B40" t="str">
            <v>UNIVERSIDAD DEL BIO-BIO</v>
          </cell>
          <cell r="C40">
            <v>218</v>
          </cell>
          <cell r="D40">
            <v>185</v>
          </cell>
          <cell r="E40">
            <v>0</v>
          </cell>
          <cell r="F40">
            <v>461</v>
          </cell>
        </row>
        <row r="41">
          <cell r="B41" t="str">
            <v>UNIVERSIDAD DE LA FRONTERA</v>
          </cell>
          <cell r="C41">
            <v>185</v>
          </cell>
          <cell r="D41">
            <v>72</v>
          </cell>
          <cell r="E41">
            <v>1</v>
          </cell>
          <cell r="F41">
            <v>320</v>
          </cell>
        </row>
        <row r="42">
          <cell r="B42" t="str">
            <v>UNIVERSIDAD DE MAGALLANES</v>
          </cell>
          <cell r="C42">
            <v>57</v>
          </cell>
          <cell r="D42">
            <v>63</v>
          </cell>
          <cell r="E42">
            <v>0</v>
          </cell>
          <cell r="F42">
            <v>189</v>
          </cell>
        </row>
        <row r="43">
          <cell r="B43" t="str">
            <v>UNIVERSIDAD DE TALCA</v>
          </cell>
          <cell r="C43">
            <v>213</v>
          </cell>
          <cell r="D43">
            <v>139</v>
          </cell>
          <cell r="E43">
            <v>1</v>
          </cell>
          <cell r="F43">
            <v>364</v>
          </cell>
        </row>
        <row r="44">
          <cell r="B44" t="str">
            <v>UNIVERSIDAD DE ATACAMA</v>
          </cell>
          <cell r="C44">
            <v>70</v>
          </cell>
          <cell r="D44">
            <v>68</v>
          </cell>
          <cell r="E44">
            <v>0</v>
          </cell>
          <cell r="F44">
            <v>311</v>
          </cell>
        </row>
        <row r="45">
          <cell r="B45" t="str">
            <v>UNIVERSIDAD DE TARAPACA</v>
          </cell>
          <cell r="C45">
            <v>124</v>
          </cell>
          <cell r="D45">
            <v>153</v>
          </cell>
          <cell r="E45">
            <v>1</v>
          </cell>
          <cell r="F45">
            <v>319</v>
          </cell>
        </row>
        <row r="46">
          <cell r="B46" t="str">
            <v>UNIVERSIDAD ARTURO PRAT</v>
          </cell>
          <cell r="C46">
            <v>62</v>
          </cell>
          <cell r="D46">
            <v>124</v>
          </cell>
          <cell r="E46">
            <v>0</v>
          </cell>
          <cell r="F46">
            <v>273</v>
          </cell>
        </row>
        <row r="47">
          <cell r="B47" t="str">
            <v>UNIVERSIDAD METROPOLITANA DE CIENCIAS DE LA EDUCACION</v>
          </cell>
          <cell r="C47">
            <v>60</v>
          </cell>
          <cell r="D47">
            <v>118</v>
          </cell>
          <cell r="E47">
            <v>0</v>
          </cell>
          <cell r="F47">
            <v>240</v>
          </cell>
        </row>
        <row r="48">
          <cell r="B48" t="str">
            <v>UNIVERSIDAD DE PLAYA ANCHA DE CIENCIAS DE LA EDUCACION</v>
          </cell>
          <cell r="C48">
            <v>110</v>
          </cell>
          <cell r="D48">
            <v>146</v>
          </cell>
          <cell r="E48">
            <v>0</v>
          </cell>
          <cell r="F48">
            <v>314</v>
          </cell>
        </row>
        <row r="49">
          <cell r="B49" t="str">
            <v>UNIVERSIDAD DE LOS LAGOS</v>
          </cell>
          <cell r="C49">
            <v>89</v>
          </cell>
          <cell r="D49">
            <v>132</v>
          </cell>
          <cell r="E49">
            <v>0</v>
          </cell>
          <cell r="F49">
            <v>294</v>
          </cell>
        </row>
        <row r="50">
          <cell r="B50" t="str">
            <v>UNIVERSIDAD TECNOLOGICA METROPOLITANA</v>
          </cell>
          <cell r="C50">
            <v>47</v>
          </cell>
          <cell r="D50">
            <v>94</v>
          </cell>
          <cell r="E50">
            <v>0</v>
          </cell>
          <cell r="F50">
            <v>195</v>
          </cell>
        </row>
        <row r="51">
          <cell r="B51" t="str">
            <v>PONTIFICIA UNIVERSIDAD CATOLICA DE CHILE</v>
          </cell>
          <cell r="C51">
            <v>903</v>
          </cell>
          <cell r="D51">
            <v>247</v>
          </cell>
          <cell r="E51">
            <v>319</v>
          </cell>
          <cell r="F51">
            <v>1561</v>
          </cell>
        </row>
        <row r="52">
          <cell r="B52" t="str">
            <v>UNIVERSIDAD DE CONCEPCION</v>
          </cell>
          <cell r="C52">
            <v>693</v>
          </cell>
          <cell r="D52">
            <v>307</v>
          </cell>
          <cell r="E52">
            <v>2</v>
          </cell>
          <cell r="F52">
            <v>1127</v>
          </cell>
        </row>
        <row r="53">
          <cell r="B53" t="str">
            <v>UNIVERSIDAD TECNICA FEDERICO SANTA MARIA</v>
          </cell>
          <cell r="C53">
            <v>230</v>
          </cell>
          <cell r="D53">
            <v>101</v>
          </cell>
          <cell r="E53">
            <v>0</v>
          </cell>
          <cell r="F53">
            <v>444</v>
          </cell>
        </row>
        <row r="54">
          <cell r="B54" t="str">
            <v>PONTIFICIA UNIVERSIDAD CATOLICA DE VALPARAISO</v>
          </cell>
          <cell r="C54">
            <v>362</v>
          </cell>
          <cell r="D54">
            <v>91</v>
          </cell>
          <cell r="E54">
            <v>0</v>
          </cell>
          <cell r="F54">
            <v>504</v>
          </cell>
        </row>
        <row r="55">
          <cell r="B55" t="str">
            <v>UNIVERSIDAD AUSTRAL DE CHILE</v>
          </cell>
          <cell r="C55">
            <v>356</v>
          </cell>
          <cell r="D55">
            <v>207</v>
          </cell>
          <cell r="E55">
            <v>11</v>
          </cell>
          <cell r="F55">
            <v>721</v>
          </cell>
        </row>
        <row r="56">
          <cell r="B56" t="str">
            <v>UNIVERSIDAD CATOLICA DEL NORTE</v>
          </cell>
          <cell r="C56">
            <v>206</v>
          </cell>
          <cell r="D56">
            <v>128</v>
          </cell>
          <cell r="E56">
            <v>3</v>
          </cell>
          <cell r="F56">
            <v>434</v>
          </cell>
        </row>
        <row r="57">
          <cell r="B57" t="str">
            <v>UNIVERSIDAD CATOLICA DEL MAULE</v>
          </cell>
          <cell r="C57">
            <v>128</v>
          </cell>
          <cell r="D57">
            <v>123</v>
          </cell>
          <cell r="E57">
            <v>2</v>
          </cell>
          <cell r="F57">
            <v>297</v>
          </cell>
        </row>
        <row r="58">
          <cell r="B58" t="str">
            <v>UNIVERSIDAD CATOLICA DE LA SANTISIMA CONCEPCION</v>
          </cell>
          <cell r="C58">
            <v>122</v>
          </cell>
          <cell r="D58">
            <v>108</v>
          </cell>
          <cell r="E58">
            <v>4</v>
          </cell>
          <cell r="F58">
            <v>284</v>
          </cell>
        </row>
        <row r="59">
          <cell r="B59" t="str">
            <v>UNIVERSIDAD CATOLICA DE TEMUCO</v>
          </cell>
          <cell r="C59">
            <v>142</v>
          </cell>
          <cell r="D59">
            <v>135</v>
          </cell>
          <cell r="E59">
            <v>0</v>
          </cell>
          <cell r="F59">
            <v>332</v>
          </cell>
        </row>
        <row r="60">
          <cell r="B60" t="str">
            <v>UNIVERSIDAD CHILENO BRITANICA DE CULTURA</v>
          </cell>
          <cell r="C60">
            <v>2</v>
          </cell>
          <cell r="D60">
            <v>3</v>
          </cell>
          <cell r="E60">
            <v>0</v>
          </cell>
          <cell r="F60">
            <v>6</v>
          </cell>
        </row>
        <row r="61">
          <cell r="B61" t="str">
            <v>UNIVERSIDAD DE O'HIGGINS</v>
          </cell>
          <cell r="C61">
            <v>22</v>
          </cell>
          <cell r="D61">
            <v>4</v>
          </cell>
          <cell r="E61">
            <v>0</v>
          </cell>
          <cell r="F61">
            <v>27</v>
          </cell>
        </row>
        <row r="62">
          <cell r="B62" t="str">
            <v>UNIVERSIDAD DE AYSÉN</v>
          </cell>
          <cell r="C62">
            <v>7</v>
          </cell>
          <cell r="D62">
            <v>3</v>
          </cell>
          <cell r="E62">
            <v>1</v>
          </cell>
          <cell r="F62">
            <v>14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6"/>
      <sheetName val="Hoja1"/>
      <sheetName val="mat_web_2017_131217_v2"/>
      <sheetName val="Programas Pedagogía"/>
      <sheetName val="Matricula_pedagogias_año"/>
      <sheetName val="Matrícula_total_1eraño"/>
      <sheetName val="Matricula_total"/>
      <sheetName val="Areas Pedagogías"/>
      <sheetName val="Acreditaciones postgrado1er año"/>
      <sheetName val="Acreditaciones Postgrado total"/>
      <sheetName val="Hoja8"/>
    </sheetNames>
    <sheetDataSet>
      <sheetData sheetId="0"/>
      <sheetData sheetId="1"/>
      <sheetData sheetId="2"/>
      <sheetData sheetId="3"/>
      <sheetData sheetId="4"/>
      <sheetData sheetId="5">
        <row r="26">
          <cell r="C26" t="str">
            <v>PUC</v>
          </cell>
        </row>
      </sheetData>
      <sheetData sheetId="6">
        <row r="8">
          <cell r="C8" t="str">
            <v>UAP</v>
          </cell>
          <cell r="D8">
            <v>9618</v>
          </cell>
        </row>
        <row r="9">
          <cell r="C9" t="str">
            <v>ANT</v>
          </cell>
          <cell r="D9">
            <v>7275</v>
          </cell>
        </row>
        <row r="10">
          <cell r="C10" t="str">
            <v>ATA</v>
          </cell>
          <cell r="D10">
            <v>6899</v>
          </cell>
        </row>
        <row r="11">
          <cell r="C11" t="str">
            <v>URY</v>
          </cell>
          <cell r="D11">
            <v>93</v>
          </cell>
        </row>
        <row r="12">
          <cell r="C12" t="str">
            <v>UCH</v>
          </cell>
          <cell r="D12">
            <v>28183</v>
          </cell>
        </row>
        <row r="13">
          <cell r="C13" t="str">
            <v>FRO</v>
          </cell>
          <cell r="D13">
            <v>9682</v>
          </cell>
        </row>
        <row r="14">
          <cell r="C14" t="str">
            <v>ULS</v>
          </cell>
          <cell r="D14">
            <v>7411</v>
          </cell>
        </row>
        <row r="15">
          <cell r="C15" t="str">
            <v>ULA</v>
          </cell>
          <cell r="D15">
            <v>8320</v>
          </cell>
        </row>
        <row r="16">
          <cell r="C16" t="str">
            <v>MAG</v>
          </cell>
          <cell r="D16">
            <v>4102</v>
          </cell>
        </row>
        <row r="17">
          <cell r="C17" t="str">
            <v>URO</v>
          </cell>
          <cell r="D17">
            <v>435</v>
          </cell>
        </row>
        <row r="18">
          <cell r="C18" t="str">
            <v>UPA</v>
          </cell>
          <cell r="D18">
            <v>7795</v>
          </cell>
        </row>
        <row r="19">
          <cell r="C19" t="str">
            <v>USA</v>
          </cell>
          <cell r="D19">
            <v>18965</v>
          </cell>
        </row>
        <row r="20">
          <cell r="C20" t="str">
            <v>TAL</v>
          </cell>
          <cell r="D20">
            <v>9946</v>
          </cell>
        </row>
        <row r="21">
          <cell r="C21" t="str">
            <v>UTA</v>
          </cell>
          <cell r="D21">
            <v>8452</v>
          </cell>
        </row>
        <row r="22">
          <cell r="C22" t="str">
            <v>UVA</v>
          </cell>
          <cell r="D22">
            <v>14936</v>
          </cell>
        </row>
        <row r="23">
          <cell r="C23" t="str">
            <v>UBB</v>
          </cell>
          <cell r="D23">
            <v>11419</v>
          </cell>
        </row>
        <row r="24">
          <cell r="C24" t="str">
            <v>UMC</v>
          </cell>
          <cell r="D24">
            <v>4701</v>
          </cell>
        </row>
        <row r="25">
          <cell r="C25" t="str">
            <v>UTM</v>
          </cell>
          <cell r="D25">
            <v>8294</v>
          </cell>
        </row>
        <row r="26">
          <cell r="D26">
            <v>166526</v>
          </cell>
        </row>
        <row r="27">
          <cell r="C27" t="str">
            <v>PUC</v>
          </cell>
          <cell r="D27">
            <v>26629</v>
          </cell>
        </row>
        <row r="28">
          <cell r="C28" t="str">
            <v>UCV</v>
          </cell>
          <cell r="D28">
            <v>14582</v>
          </cell>
        </row>
        <row r="29">
          <cell r="C29" t="str">
            <v>AUS</v>
          </cell>
          <cell r="D29">
            <v>14483</v>
          </cell>
        </row>
        <row r="30">
          <cell r="C30" t="str">
            <v>USC</v>
          </cell>
          <cell r="D30">
            <v>12346</v>
          </cell>
        </row>
        <row r="31">
          <cell r="C31" t="str">
            <v>UCT</v>
          </cell>
          <cell r="D31">
            <v>9939</v>
          </cell>
        </row>
        <row r="32">
          <cell r="C32" t="str">
            <v>UCM</v>
          </cell>
          <cell r="D32">
            <v>7341</v>
          </cell>
        </row>
        <row r="33">
          <cell r="C33" t="str">
            <v>UCN</v>
          </cell>
          <cell r="D33">
            <v>10618</v>
          </cell>
        </row>
        <row r="34">
          <cell r="C34" t="str">
            <v>UCO</v>
          </cell>
          <cell r="D34">
            <v>24617</v>
          </cell>
        </row>
        <row r="35">
          <cell r="C35" t="str">
            <v>FSM</v>
          </cell>
          <cell r="D35">
            <v>15180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view="pageBreakPreview" zoomScale="60" zoomScaleNormal="90" workbookViewId="0">
      <pane xSplit="1" ySplit="10" topLeftCell="B11" activePane="bottomRight" state="frozen"/>
      <selection pane="topRight" activeCell="B1" sqref="B1"/>
      <selection pane="bottomLeft" activeCell="A4" sqref="A4"/>
      <selection pane="bottomRight" activeCell="F30" sqref="F30"/>
    </sheetView>
  </sheetViews>
  <sheetFormatPr baseColWidth="10" defaultRowHeight="15" x14ac:dyDescent="0.2"/>
  <cols>
    <col min="1" max="1" width="48" customWidth="1"/>
    <col min="2" max="2" width="13.5" customWidth="1"/>
    <col min="3" max="3" width="14.5" bestFit="1" customWidth="1"/>
    <col min="4" max="4" width="15" customWidth="1"/>
    <col min="5" max="5" width="13.83203125" customWidth="1"/>
    <col min="6" max="6" width="13.5" customWidth="1"/>
    <col min="7" max="7" width="14.1640625" customWidth="1"/>
    <col min="8" max="10" width="13.5" customWidth="1"/>
    <col min="12" max="12" width="12.1640625" customWidth="1"/>
    <col min="14" max="14" width="12.6640625" customWidth="1"/>
    <col min="16" max="16" width="14.5" customWidth="1"/>
    <col min="17" max="17" width="12.1640625" customWidth="1"/>
    <col min="18" max="18" width="14.5" customWidth="1"/>
    <col min="19" max="19" width="16" customWidth="1"/>
    <col min="20" max="20" width="12.5" bestFit="1" customWidth="1"/>
    <col min="21" max="21" width="13.1640625" customWidth="1"/>
  </cols>
  <sheetData>
    <row r="1" spans="1:22" ht="17" x14ac:dyDescent="0.2">
      <c r="A1" s="104" t="s">
        <v>172</v>
      </c>
    </row>
    <row r="2" spans="1:22" ht="17" x14ac:dyDescent="0.2">
      <c r="A2" s="104" t="s">
        <v>177</v>
      </c>
    </row>
    <row r="3" spans="1:22" ht="17" x14ac:dyDescent="0.2">
      <c r="A3" s="104" t="s">
        <v>185</v>
      </c>
    </row>
    <row r="4" spans="1:22" x14ac:dyDescent="0.2">
      <c r="A4" s="24" t="s">
        <v>176</v>
      </c>
    </row>
    <row r="5" spans="1:22" x14ac:dyDescent="0.2">
      <c r="A5" s="24" t="s">
        <v>174</v>
      </c>
      <c r="B5" s="24"/>
      <c r="H5" s="24"/>
    </row>
    <row r="6" spans="1:22" x14ac:dyDescent="0.2">
      <c r="A6" s="24"/>
      <c r="B6" s="24"/>
      <c r="H6" s="24"/>
    </row>
    <row r="7" spans="1:22" ht="16" thickBot="1" x14ac:dyDescent="0.25">
      <c r="B7" s="115">
        <v>1</v>
      </c>
      <c r="C7" s="115">
        <v>2</v>
      </c>
      <c r="D7" s="115">
        <v>3</v>
      </c>
      <c r="E7" s="115">
        <v>4</v>
      </c>
      <c r="F7" s="115">
        <v>5</v>
      </c>
      <c r="G7" s="115">
        <v>6</v>
      </c>
      <c r="H7" s="115">
        <v>7</v>
      </c>
      <c r="I7" s="115">
        <v>8</v>
      </c>
      <c r="J7" s="115">
        <v>9</v>
      </c>
      <c r="K7" s="115">
        <v>10</v>
      </c>
      <c r="L7" s="115">
        <v>11</v>
      </c>
      <c r="M7" s="115">
        <v>12</v>
      </c>
      <c r="N7" s="115">
        <v>13</v>
      </c>
      <c r="O7" s="115">
        <v>14</v>
      </c>
      <c r="P7" s="115">
        <v>15</v>
      </c>
      <c r="Q7" s="115">
        <v>16</v>
      </c>
      <c r="R7" s="115">
        <v>17</v>
      </c>
      <c r="S7" s="115">
        <v>18</v>
      </c>
      <c r="T7" s="115">
        <v>19</v>
      </c>
    </row>
    <row r="8" spans="1:22" x14ac:dyDescent="0.2">
      <c r="A8" s="171" t="s">
        <v>20</v>
      </c>
      <c r="B8" s="174" t="s">
        <v>10</v>
      </c>
      <c r="C8" s="174" t="s">
        <v>28</v>
      </c>
      <c r="D8" s="177" t="s">
        <v>39</v>
      </c>
      <c r="E8" s="185" t="s">
        <v>169</v>
      </c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6" t="s">
        <v>81</v>
      </c>
      <c r="S8" s="189" t="s">
        <v>175</v>
      </c>
      <c r="T8" s="192" t="s">
        <v>187</v>
      </c>
      <c r="U8" s="180" t="s">
        <v>94</v>
      </c>
    </row>
    <row r="9" spans="1:22" ht="15" customHeight="1" x14ac:dyDescent="0.2">
      <c r="A9" s="172"/>
      <c r="B9" s="175"/>
      <c r="C9" s="175"/>
      <c r="D9" s="178"/>
      <c r="E9" s="195" t="s">
        <v>79</v>
      </c>
      <c r="F9" s="195"/>
      <c r="G9" s="196" t="s">
        <v>166</v>
      </c>
      <c r="H9" s="197"/>
      <c r="I9" s="198"/>
      <c r="J9" s="199" t="s">
        <v>126</v>
      </c>
      <c r="K9" s="199"/>
      <c r="L9" s="199"/>
      <c r="M9" s="199"/>
      <c r="N9" s="199"/>
      <c r="O9" s="199"/>
      <c r="P9" s="199"/>
      <c r="Q9" s="183" t="s">
        <v>80</v>
      </c>
      <c r="R9" s="187"/>
      <c r="S9" s="190"/>
      <c r="T9" s="193"/>
      <c r="U9" s="181"/>
    </row>
    <row r="10" spans="1:22" ht="57" thickBot="1" x14ac:dyDescent="0.25">
      <c r="A10" s="173"/>
      <c r="B10" s="176"/>
      <c r="C10" s="176"/>
      <c r="D10" s="179"/>
      <c r="E10" s="139" t="s">
        <v>79</v>
      </c>
      <c r="F10" s="139" t="s">
        <v>125</v>
      </c>
      <c r="G10" s="140" t="s">
        <v>166</v>
      </c>
      <c r="H10" s="140" t="s">
        <v>167</v>
      </c>
      <c r="I10" s="140" t="s">
        <v>168</v>
      </c>
      <c r="J10" s="141" t="s">
        <v>132</v>
      </c>
      <c r="K10" s="141" t="s">
        <v>133</v>
      </c>
      <c r="L10" s="141" t="s">
        <v>134</v>
      </c>
      <c r="M10" s="141" t="s">
        <v>135</v>
      </c>
      <c r="N10" s="141" t="s">
        <v>136</v>
      </c>
      <c r="O10" s="141" t="s">
        <v>137</v>
      </c>
      <c r="P10" s="141" t="s">
        <v>171</v>
      </c>
      <c r="Q10" s="184"/>
      <c r="R10" s="188"/>
      <c r="S10" s="191"/>
      <c r="T10" s="194"/>
      <c r="U10" s="182"/>
      <c r="V10" s="1"/>
    </row>
    <row r="11" spans="1:22" x14ac:dyDescent="0.2">
      <c r="A11" s="128" t="str">
        <f>Indicadores!A4</f>
        <v>PONTIFICIA UNIVERSIDAD CATÓLICA DE CHILE</v>
      </c>
      <c r="B11" s="154" t="str">
        <f>Indicadores!B4</f>
        <v>PUC</v>
      </c>
      <c r="C11" s="129" t="str">
        <f>Indicadores!C4</f>
        <v>CRUCH-PRIVADA</v>
      </c>
      <c r="D11" s="129" t="str">
        <f>Indicadores!D4</f>
        <v>Categoría I</v>
      </c>
      <c r="E11" s="130">
        <f>VLOOKUP(B11,'[1]Revisión BD jul16_SIM2017_OCT'!$B$32:$M$42,12,0)</f>
        <v>2471405</v>
      </c>
      <c r="F11" s="130">
        <f t="shared" ref="F11:F19" si="0">E11*(1+$B$28)</f>
        <v>2545547.15</v>
      </c>
      <c r="G11" s="131">
        <v>100000</v>
      </c>
      <c r="H11" s="131">
        <v>0</v>
      </c>
      <c r="I11" s="131">
        <f t="shared" ref="I11:I19" si="1">G11+H11</f>
        <v>100000</v>
      </c>
      <c r="J11" s="132">
        <f>IFERROR(VLOOKUP(B11,'Publicaciones CM'!$B$3:$E$11,4,0),0)</f>
        <v>737110.99244833074</v>
      </c>
      <c r="K11" s="132">
        <f>IFERROR(VLOOKUP(B11,'Acreditación CM'!$B$3:$K$11,10,0),0)</f>
        <v>276355.60035211267</v>
      </c>
      <c r="L11" s="132">
        <f>IFERROR(VLOOKUP(B11,'Doctorado JC CM'!$B$3:$E$11,4,0),0)</f>
        <v>537055.15459898149</v>
      </c>
      <c r="M11" s="132">
        <f>IFERROR(VLOOKUP(B11,'Programas Doct. Acreditados CM'!$B$3:$E$11,4,0),0)</f>
        <v>765487.57228915661</v>
      </c>
      <c r="N11" s="132">
        <f>IFERROR(VLOOKUP(B11,'Académicos JC CM'!$B$3:$E$11,4,0),0)</f>
        <v>511399.97900596075</v>
      </c>
      <c r="O11" s="132">
        <f>IFERROR(VLOOKUP(B11,'Matrícula Regular Pre CM'!$B$3:$E$11,4,0),0)</f>
        <v>366606.64285003865</v>
      </c>
      <c r="P11" s="133">
        <f t="shared" ref="P11:P19" si="2">J11+K11+L11+M11+N11+O11</f>
        <v>3194015.9415445807</v>
      </c>
      <c r="Q11" s="134">
        <f t="shared" ref="Q11:Q19" si="3">F11+I11+P11</f>
        <v>5839563.0915445806</v>
      </c>
      <c r="R11" s="135">
        <f>IFERROR(VLOOKUP(B11,Indicadores!$B$4:$AH$12,33,0),0)</f>
        <v>3450409</v>
      </c>
      <c r="S11" s="136">
        <f t="shared" ref="S11:S19" si="4">Q11+R11</f>
        <v>9289972.0915445797</v>
      </c>
      <c r="T11" s="137">
        <f t="shared" ref="T11:T19" si="5">ROUND(S11,0)</f>
        <v>9289972</v>
      </c>
      <c r="U11" s="138">
        <f t="shared" ref="U11:U19" si="6">S11/$T$20</f>
        <v>0.24856907375485529</v>
      </c>
      <c r="V11" s="95" t="s">
        <v>13</v>
      </c>
    </row>
    <row r="12" spans="1:22" x14ac:dyDescent="0.2">
      <c r="A12" s="126" t="str">
        <f>Indicadores!A5</f>
        <v>UNIVERSIDAD DE CONCEPCIÓN</v>
      </c>
      <c r="B12" s="155" t="str">
        <f>Indicadores!B5</f>
        <v>UCO</v>
      </c>
      <c r="C12" s="105" t="str">
        <f>Indicadores!C5</f>
        <v>CRUCH-PRIVADA</v>
      </c>
      <c r="D12" s="105" t="str">
        <f>Indicadores!D5</f>
        <v>Categoría I</v>
      </c>
      <c r="E12" s="56">
        <f>VLOOKUP(B12,'[1]Revisión BD jul16_SIM2017_OCT'!$B$32:$M$42,12,0)</f>
        <v>834829</v>
      </c>
      <c r="F12" s="56">
        <f t="shared" si="0"/>
        <v>859873.87</v>
      </c>
      <c r="G12" s="116">
        <v>100000</v>
      </c>
      <c r="H12" s="116">
        <v>0</v>
      </c>
      <c r="I12" s="116">
        <f t="shared" si="1"/>
        <v>100000</v>
      </c>
      <c r="J12" s="117">
        <f>IFERROR(VLOOKUP(B12,'Publicaciones CM'!$B$3:$E$11,4,0),0)</f>
        <v>358157.37877583463</v>
      </c>
      <c r="K12" s="117">
        <f>IFERROR(VLOOKUP(B12,'Acreditación CM'!$B$3:$K$11,10,0),0)</f>
        <v>276355.60035211267</v>
      </c>
      <c r="L12" s="117">
        <f>IFERROR(VLOOKUP(B12,'Doctorado JC CM'!$B$3:$E$11,4,0),0)</f>
        <v>412158.60701782303</v>
      </c>
      <c r="M12" s="117">
        <f>IFERROR(VLOOKUP(B12,'Programas Doct. Acreditados CM'!$B$3:$E$11,4,0),0)</f>
        <v>495315.48795180727</v>
      </c>
      <c r="N12" s="117">
        <f>IFERROR(VLOOKUP(B12,'Académicos JC CM'!$B$3:$E$11,4,0),0)</f>
        <v>369217.02520161291</v>
      </c>
      <c r="O12" s="117">
        <f>IFERROR(VLOOKUP(B12,'Matrícula Regular Pre CM'!$B$3:$E$11,4,0),0)</f>
        <v>338907.04596640513</v>
      </c>
      <c r="P12" s="118">
        <f t="shared" si="2"/>
        <v>2250111.1452655955</v>
      </c>
      <c r="Q12" s="87">
        <f t="shared" si="3"/>
        <v>3209985.0152655956</v>
      </c>
      <c r="R12" s="119">
        <f>IFERROR(VLOOKUP(B12,Indicadores!$B$4:$AH$12,33,0),0)</f>
        <v>3170869</v>
      </c>
      <c r="S12" s="102">
        <f t="shared" si="4"/>
        <v>6380854.0152655952</v>
      </c>
      <c r="T12" s="120">
        <f t="shared" si="5"/>
        <v>6380854</v>
      </c>
      <c r="U12" s="127">
        <f t="shared" si="6"/>
        <v>0.17073064985664679</v>
      </c>
      <c r="V12" s="95" t="s">
        <v>14</v>
      </c>
    </row>
    <row r="13" spans="1:22" x14ac:dyDescent="0.2">
      <c r="A13" s="126" t="str">
        <f>Indicadores!A9</f>
        <v>UNIVERSIDAD TÉCNICA FEDERICO SANTA MARÍA</v>
      </c>
      <c r="B13" s="155" t="str">
        <f>Indicadores!B9</f>
        <v>FSM</v>
      </c>
      <c r="C13" s="105" t="str">
        <f>Indicadores!C9</f>
        <v>CRUCH-PRIVADA</v>
      </c>
      <c r="D13" s="105" t="str">
        <f>Indicadores!D9</f>
        <v>Categoría II</v>
      </c>
      <c r="E13" s="56">
        <f>VLOOKUP(B13,'[1]Revisión BD jul16_SIM2017_OCT'!$B$32:$M$42,12,0)</f>
        <v>796618</v>
      </c>
      <c r="F13" s="56">
        <f t="shared" si="0"/>
        <v>820516.54</v>
      </c>
      <c r="G13" s="116">
        <v>0</v>
      </c>
      <c r="H13" s="116">
        <f>IFERROR(VLOOKUP(B13,'[2]Puntaje Final FID'!$C$7:$M$14,11,0),0)</f>
        <v>0</v>
      </c>
      <c r="I13" s="116">
        <f t="shared" si="1"/>
        <v>0</v>
      </c>
      <c r="J13" s="117">
        <f>IFERROR(VLOOKUP(B13,'Publicaciones CM'!$B$3:$E$11,4,0),0)</f>
        <v>197399.18203497617</v>
      </c>
      <c r="K13" s="117">
        <f>IFERROR(VLOOKUP(B13,'Acreditación CM'!$B$3:$K$11,10,0),0)</f>
        <v>263195.80985915492</v>
      </c>
      <c r="L13" s="117">
        <f>IFERROR(VLOOKUP(B13,'Doctorado JC CM'!$B$3:$E$11,4,0),0)</f>
        <v>136791.45687460215</v>
      </c>
      <c r="M13" s="117">
        <f>IFERROR(VLOOKUP(B13,'Programas Doct. Acreditados CM'!$B$3:$E$11,4,0),0)</f>
        <v>67543.02108433735</v>
      </c>
      <c r="N13" s="117">
        <f>IFERROR(VLOOKUP(B13,'Académicos JC CM'!$B$3:$E$11,4,0),0)</f>
        <v>145459.05873071527</v>
      </c>
      <c r="O13" s="117">
        <f>IFERROR(VLOOKUP(B13,'Matrícula Regular Pre CM'!$B$3:$E$11,4,0),0)</f>
        <v>208986.02420156923</v>
      </c>
      <c r="P13" s="118">
        <f t="shared" si="2"/>
        <v>1019374.5527853551</v>
      </c>
      <c r="Q13" s="87">
        <f t="shared" si="3"/>
        <v>1839891.0927853552</v>
      </c>
      <c r="R13" s="93">
        <f>IFERROR(VLOOKUP(B13,Indicadores!$B$4:$AH$12,33,0),0)</f>
        <v>2561769</v>
      </c>
      <c r="S13" s="102">
        <f t="shared" si="4"/>
        <v>4401660.0927853547</v>
      </c>
      <c r="T13" s="120">
        <f t="shared" si="5"/>
        <v>4401660</v>
      </c>
      <c r="U13" s="127">
        <f t="shared" si="6"/>
        <v>0.11777393532141976</v>
      </c>
      <c r="V13" s="95" t="s">
        <v>17</v>
      </c>
    </row>
    <row r="14" spans="1:22" x14ac:dyDescent="0.2">
      <c r="A14" s="126" t="str">
        <f>Indicadores!A6</f>
        <v>PONTIFICIA UNIVERSIDAD CATÓLICA DE VALPARAÍSO</v>
      </c>
      <c r="B14" s="155" t="str">
        <f>Indicadores!B6</f>
        <v>UCV</v>
      </c>
      <c r="C14" s="105" t="str">
        <f>Indicadores!C6</f>
        <v>CRUCH-PRIVADA</v>
      </c>
      <c r="D14" s="105" t="str">
        <f>Indicadores!D6</f>
        <v>Categoría II</v>
      </c>
      <c r="E14" s="56">
        <f>VLOOKUP(B14,'[1]Revisión BD jul16_SIM2017_OCT'!$B$32:$M$42,12,0)</f>
        <v>534276</v>
      </c>
      <c r="F14" s="56">
        <f t="shared" si="0"/>
        <v>550304.28</v>
      </c>
      <c r="G14" s="116">
        <v>100000</v>
      </c>
      <c r="H14" s="116">
        <v>0</v>
      </c>
      <c r="I14" s="116">
        <f t="shared" si="1"/>
        <v>100000</v>
      </c>
      <c r="J14" s="117">
        <f>IFERROR(VLOOKUP(B14,'Publicaciones CM'!$B$3:$E$11,4,0),0)</f>
        <v>204331.26033386326</v>
      </c>
      <c r="K14" s="117">
        <f>IFERROR(VLOOKUP(B14,'Acreditación CM'!$B$3:$K$11,10,0),0)</f>
        <v>263195.80985915492</v>
      </c>
      <c r="L14" s="117">
        <f>IFERROR(VLOOKUP(B14,'Doctorado JC CM'!$B$3:$E$11,4,0),0)</f>
        <v>215297.85821133037</v>
      </c>
      <c r="M14" s="117">
        <f>IFERROR(VLOOKUP(B14,'Programas Doct. Acreditados CM'!$B$3:$E$11,4,0),0)</f>
        <v>180114.72289156629</v>
      </c>
      <c r="N14" s="117">
        <f>IFERROR(VLOOKUP(B14,'Académicos JC CM'!$B$3:$E$11,4,0),0)</f>
        <v>165115.68828892006</v>
      </c>
      <c r="O14" s="117">
        <f>IFERROR(VLOOKUP(B14,'Matrícula Regular Pre CM'!$B$3:$E$11,4,0),0)</f>
        <v>200753.24142999225</v>
      </c>
      <c r="P14" s="118">
        <f t="shared" si="2"/>
        <v>1228808.5810148271</v>
      </c>
      <c r="Q14" s="87">
        <f t="shared" si="3"/>
        <v>1879112.8610148272</v>
      </c>
      <c r="R14" s="93">
        <f>IFERROR(VLOOKUP(B14,Indicadores!$B$4:$AH$12,33,0),0)</f>
        <v>2452145</v>
      </c>
      <c r="S14" s="102">
        <f t="shared" si="4"/>
        <v>4331257.8610148272</v>
      </c>
      <c r="T14" s="120">
        <f t="shared" si="5"/>
        <v>4331258</v>
      </c>
      <c r="U14" s="127">
        <f t="shared" si="6"/>
        <v>0.11589020333933961</v>
      </c>
      <c r="V14" s="95" t="s">
        <v>15</v>
      </c>
    </row>
    <row r="15" spans="1:22" x14ac:dyDescent="0.2">
      <c r="A15" s="126" t="str">
        <f>Indicadores!A7</f>
        <v>UNIVERSIDAD AUSTRAL DE CHILE</v>
      </c>
      <c r="B15" s="155" t="str">
        <f>Indicadores!B7</f>
        <v>AUS</v>
      </c>
      <c r="C15" s="105" t="str">
        <f>Indicadores!C7</f>
        <v>CRUCH-PRIVADA</v>
      </c>
      <c r="D15" s="105" t="str">
        <f>Indicadores!D7</f>
        <v>Categoría II</v>
      </c>
      <c r="E15" s="56">
        <f>VLOOKUP(B15,'[1]Revisión BD jul16_SIM2017_OCT'!$B$32:$M$42,12,0)</f>
        <v>308805</v>
      </c>
      <c r="F15" s="56">
        <f t="shared" si="0"/>
        <v>318069.15000000002</v>
      </c>
      <c r="G15" s="116">
        <v>100000</v>
      </c>
      <c r="H15" s="116">
        <v>0</v>
      </c>
      <c r="I15" s="116">
        <f t="shared" si="1"/>
        <v>100000</v>
      </c>
      <c r="J15" s="117">
        <f>IFERROR(VLOOKUP(B15,'Publicaciones CM'!$B$3:$E$11,4,0),0)</f>
        <v>172311.66057233704</v>
      </c>
      <c r="K15" s="117">
        <f>IFERROR(VLOOKUP(B15,'Acreditación CM'!$B$3:$K$11,10,0),0)</f>
        <v>263195.80985915492</v>
      </c>
      <c r="L15" s="117">
        <f>IFERROR(VLOOKUP(B15,'Doctorado JC CM'!$B$3:$E$11,4,0),0)</f>
        <v>211729.38542329727</v>
      </c>
      <c r="M15" s="117">
        <f>IFERROR(VLOOKUP(B15,'Programas Doct. Acreditados CM'!$B$3:$E$11,4,0),0)</f>
        <v>202629.06325301205</v>
      </c>
      <c r="N15" s="117">
        <f>IFERROR(VLOOKUP(B15,'Académicos JC CM'!$B$3:$E$11,4,0),0)</f>
        <v>236207.16519109398</v>
      </c>
      <c r="O15" s="117">
        <f>IFERROR(VLOOKUP(B15,'Matrícula Regular Pre CM'!$B$3:$E$11,4,0),0)</f>
        <v>199390.28909824291</v>
      </c>
      <c r="P15" s="118">
        <f t="shared" si="2"/>
        <v>1285463.3733971382</v>
      </c>
      <c r="Q15" s="87">
        <f t="shared" si="3"/>
        <v>1703532.5233971383</v>
      </c>
      <c r="R15" s="93">
        <f>IFERROR(VLOOKUP(B15,Indicadores!$B$4:$AH$12,33,0),0)</f>
        <v>2305408</v>
      </c>
      <c r="S15" s="102">
        <f t="shared" si="4"/>
        <v>4008940.5233971383</v>
      </c>
      <c r="T15" s="120">
        <f t="shared" si="5"/>
        <v>4008941</v>
      </c>
      <c r="U15" s="127">
        <f t="shared" si="6"/>
        <v>0.10726605234326926</v>
      </c>
      <c r="V15" s="95" t="s">
        <v>16</v>
      </c>
    </row>
    <row r="16" spans="1:22" x14ac:dyDescent="0.2">
      <c r="A16" s="126" t="str">
        <f>Indicadores!A8</f>
        <v>UNIVERSIDAD CATÓLICA DEL NORTE</v>
      </c>
      <c r="B16" s="155" t="str">
        <f>Indicadores!B8</f>
        <v>UCN</v>
      </c>
      <c r="C16" s="105" t="str">
        <f>Indicadores!C8</f>
        <v>CRUCH-PRIVADA</v>
      </c>
      <c r="D16" s="105" t="str">
        <f>Indicadores!D8</f>
        <v>Categoría II</v>
      </c>
      <c r="E16" s="56">
        <f>VLOOKUP(B16,'[1]Revisión BD jul16_SIM2017_OCT'!$B$32:$M$42,12,0)</f>
        <v>189862</v>
      </c>
      <c r="F16" s="56">
        <f t="shared" si="0"/>
        <v>195557.86000000002</v>
      </c>
      <c r="G16" s="116">
        <v>100000</v>
      </c>
      <c r="H16" s="116">
        <v>0</v>
      </c>
      <c r="I16" s="116">
        <f t="shared" si="1"/>
        <v>100000</v>
      </c>
      <c r="J16" s="117">
        <f>IFERROR(VLOOKUP(B16,'Publicaciones CM'!$B$3:$E$11,4,0),0)</f>
        <v>100680.18481717011</v>
      </c>
      <c r="K16" s="117">
        <f>IFERROR(VLOOKUP(B16,'Acreditación CM'!$B$3:$K$11,10,0),0)</f>
        <v>263195.80985915492</v>
      </c>
      <c r="L16" s="117">
        <f>IFERROR(VLOOKUP(B16,'Doctorado JC CM'!$B$3:$E$11,4,0),0)</f>
        <v>122517.56572246975</v>
      </c>
      <c r="M16" s="117">
        <f>IFERROR(VLOOKUP(B16,'Programas Doct. Acreditados CM'!$B$3:$E$11,4,0),0)</f>
        <v>135086.0421686747</v>
      </c>
      <c r="N16" s="117">
        <f>IFERROR(VLOOKUP(B16,'Académicos JC CM'!$B$3:$E$11,4,0),0)</f>
        <v>142182.95380434784</v>
      </c>
      <c r="O16" s="117">
        <f>IFERROR(VLOOKUP(B16,'Matrícula Regular Pre CM'!$B$3:$E$11,4,0),0)</f>
        <v>146180.07937893691</v>
      </c>
      <c r="P16" s="118">
        <f t="shared" si="2"/>
        <v>909842.63575075427</v>
      </c>
      <c r="Q16" s="87">
        <f t="shared" si="3"/>
        <v>1205400.4957507541</v>
      </c>
      <c r="R16" s="93">
        <f>IFERROR(VLOOKUP(B16,Indicadores!$B$4:$AH$12,33,0),0)</f>
        <v>1874954</v>
      </c>
      <c r="S16" s="102">
        <f t="shared" si="4"/>
        <v>3080354.4957507541</v>
      </c>
      <c r="T16" s="120">
        <f t="shared" si="5"/>
        <v>3080354</v>
      </c>
      <c r="U16" s="127">
        <f t="shared" si="6"/>
        <v>8.2420146831470711E-2</v>
      </c>
      <c r="V16" s="95" t="s">
        <v>18</v>
      </c>
    </row>
    <row r="17" spans="1:22" x14ac:dyDescent="0.2">
      <c r="A17" s="126" t="str">
        <f>Indicadores!A10</f>
        <v>UNIVERSIDAD CATÓLICA DE TEMUCO</v>
      </c>
      <c r="B17" s="155" t="str">
        <f>Indicadores!B10</f>
        <v>UCT</v>
      </c>
      <c r="C17" s="105" t="str">
        <f>Indicadores!C10</f>
        <v>CRUCH-PRIVADA</v>
      </c>
      <c r="D17" s="105" t="str">
        <f>Indicadores!D10</f>
        <v>Categoría II</v>
      </c>
      <c r="E17" s="56">
        <f>VLOOKUP(B17,'[1]Revisión BD jul16_SIM2017_OCT'!$B$32:$M$42,12,0)</f>
        <v>30330</v>
      </c>
      <c r="F17" s="56">
        <f t="shared" si="0"/>
        <v>31239.9</v>
      </c>
      <c r="G17" s="116">
        <v>100000</v>
      </c>
      <c r="H17" s="116">
        <v>0</v>
      </c>
      <c r="I17" s="116">
        <f t="shared" si="1"/>
        <v>100000</v>
      </c>
      <c r="J17" s="117">
        <f>IFERROR(VLOOKUP(B17,'Publicaciones CM'!$B$3:$E$11,4,0),0)</f>
        <v>39941.974960254374</v>
      </c>
      <c r="K17" s="117">
        <f>IFERROR(VLOOKUP(B17,'Acreditación CM'!$B$3:$K$11,10,0),0)</f>
        <v>144757.69542253521</v>
      </c>
      <c r="L17" s="117">
        <f>IFERROR(VLOOKUP(B17,'Doctorado JC CM'!$B$3:$E$11,4,0),0)</f>
        <v>84453.855983450034</v>
      </c>
      <c r="M17" s="117">
        <f>IFERROR(VLOOKUP(B17,'Programas Doct. Acreditados CM'!$B$3:$E$11,4,0),0)</f>
        <v>22514.340361445786</v>
      </c>
      <c r="N17" s="117">
        <f>IFERROR(VLOOKUP(B17,'Académicos JC CM'!$B$3:$E$11,4,0),0)</f>
        <v>108766.68355539972</v>
      </c>
      <c r="O17" s="117">
        <f>IFERROR(VLOOKUP(B17,'Matrícula Regular Pre CM'!$B$3:$E$11,4,0),0)</f>
        <v>136832.15379047408</v>
      </c>
      <c r="P17" s="118">
        <f t="shared" si="2"/>
        <v>537266.70407355914</v>
      </c>
      <c r="Q17" s="87">
        <f t="shared" si="3"/>
        <v>668506.60407355917</v>
      </c>
      <c r="R17" s="93">
        <f>IFERROR(VLOOKUP(B17,Indicadores!$B$4:$AH$12,33,0),0)</f>
        <v>1841186</v>
      </c>
      <c r="S17" s="102">
        <f t="shared" si="4"/>
        <v>2509692.6040735589</v>
      </c>
      <c r="T17" s="120">
        <f t="shared" si="5"/>
        <v>2509693</v>
      </c>
      <c r="U17" s="127">
        <f t="shared" si="6"/>
        <v>6.7151113034210966E-2</v>
      </c>
      <c r="V17" s="95" t="s">
        <v>19</v>
      </c>
    </row>
    <row r="18" spans="1:22" x14ac:dyDescent="0.2">
      <c r="A18" s="126" t="str">
        <f>Indicadores!A12</f>
        <v>UNIVERSIDAD CATÓLICA DEL MAULE</v>
      </c>
      <c r="B18" s="155" t="str">
        <f>Indicadores!B12</f>
        <v>UCM</v>
      </c>
      <c r="C18" s="105" t="str">
        <f>Indicadores!C12</f>
        <v>CRUCH-PRIVADA</v>
      </c>
      <c r="D18" s="105" t="str">
        <f>Indicadores!D12</f>
        <v>Categoría III</v>
      </c>
      <c r="E18" s="56">
        <f>VLOOKUP(B18,'[1]Revisión BD jul16_SIM2017_OCT'!$B$32:$M$42,12,0)</f>
        <v>95377</v>
      </c>
      <c r="F18" s="56">
        <f t="shared" si="0"/>
        <v>98238.31</v>
      </c>
      <c r="G18" s="116">
        <v>100000</v>
      </c>
      <c r="H18" s="116">
        <v>0</v>
      </c>
      <c r="I18" s="116">
        <f t="shared" si="1"/>
        <v>100000</v>
      </c>
      <c r="J18" s="117">
        <f>IFERROR(VLOOKUP(B18,'Publicaciones CM'!$B$3:$E$11,4,0),0)</f>
        <v>27398.214228934819</v>
      </c>
      <c r="K18" s="117">
        <f>IFERROR(VLOOKUP(B18,'Acreditación CM'!$B$3:$K$11,10,0),0)</f>
        <v>65798.95246478873</v>
      </c>
      <c r="L18" s="117">
        <f>IFERROR(VLOOKUP(B18,'Doctorado JC CM'!$B$3:$E$11,4,0),0)</f>
        <v>76127.419478039461</v>
      </c>
      <c r="M18" s="117">
        <f>IFERROR(VLOOKUP(B18,'Programas Doct. Acreditados CM'!$B$3:$E$11,4,0),0)</f>
        <v>0</v>
      </c>
      <c r="N18" s="117">
        <f>IFERROR(VLOOKUP(B18,'Académicos JC CM'!$B$3:$E$11,4,0),0)</f>
        <v>97300.31631311361</v>
      </c>
      <c r="O18" s="117">
        <f>IFERROR(VLOOKUP(B18,'Matrícula Regular Pre CM'!$B$3:$E$11,4,0),0)</f>
        <v>101064.98047850591</v>
      </c>
      <c r="P18" s="118">
        <f t="shared" si="2"/>
        <v>367689.88296338252</v>
      </c>
      <c r="Q18" s="87">
        <f t="shared" si="3"/>
        <v>565928.19296338246</v>
      </c>
      <c r="R18" s="93">
        <f>IFERROR(VLOOKUP(B18,Indicadores!$B$4:$AH$12,33,0),0)</f>
        <v>1259085</v>
      </c>
      <c r="S18" s="102">
        <f t="shared" si="4"/>
        <v>1825013.1929633825</v>
      </c>
      <c r="T18" s="120">
        <f t="shared" si="5"/>
        <v>1825013</v>
      </c>
      <c r="U18" s="127">
        <f t="shared" si="6"/>
        <v>4.8831345723652768E-2</v>
      </c>
      <c r="V18" s="95" t="s">
        <v>30</v>
      </c>
    </row>
    <row r="19" spans="1:22" ht="16" thickBot="1" x14ac:dyDescent="0.25">
      <c r="A19" s="142" t="str">
        <f>Indicadores!A11</f>
        <v>UNIVERSIDAD CATÓLICA DE LA SANTÍSIMA CONCEPCIÓN</v>
      </c>
      <c r="B19" s="156" t="str">
        <f>Indicadores!B11</f>
        <v>USC</v>
      </c>
      <c r="C19" s="106" t="str">
        <f>Indicadores!C11</f>
        <v>CRUCH-PRIVADA</v>
      </c>
      <c r="D19" s="106" t="str">
        <f>Indicadores!D11</f>
        <v>Categoría III</v>
      </c>
      <c r="E19" s="143">
        <f>VLOOKUP(B19,'[1]Revisión BD jul16_SIM2017_OCT'!$B$32:$M$42,12,0)</f>
        <v>76198</v>
      </c>
      <c r="F19" s="143">
        <f t="shared" si="0"/>
        <v>78483.94</v>
      </c>
      <c r="G19" s="144">
        <v>100000</v>
      </c>
      <c r="H19" s="144">
        <v>0</v>
      </c>
      <c r="I19" s="144">
        <f t="shared" si="1"/>
        <v>100000</v>
      </c>
      <c r="J19" s="145">
        <f>IFERROR(VLOOKUP(B19,'Publicaciones CM'!$B$3:$E$11,4,0),0)</f>
        <v>31359.401828298887</v>
      </c>
      <c r="K19" s="145">
        <f>IFERROR(VLOOKUP(B19,'Acreditación CM'!$B$3:$K$11,10,0),0)</f>
        <v>52639.161971830981</v>
      </c>
      <c r="L19" s="145">
        <f>IFERROR(VLOOKUP(B19,'Doctorado JC CM'!$B$3:$E$11,4,0),0)</f>
        <v>72558.946690006356</v>
      </c>
      <c r="M19" s="145">
        <f>IFERROR(VLOOKUP(B19,'Programas Doct. Acreditados CM'!$B$3:$E$11,4,0),0)</f>
        <v>0</v>
      </c>
      <c r="N19" s="145">
        <f>IFERROR(VLOOKUP(B19,'Académicos JC CM'!$B$3:$E$11,4,0),0)</f>
        <v>93041.379908835908</v>
      </c>
      <c r="O19" s="145">
        <f>IFERROR(VLOOKUP(B19,'Matrícula Regular Pre CM'!$B$3:$E$11,4,0),0)</f>
        <v>169969.79280583491</v>
      </c>
      <c r="P19" s="146">
        <f t="shared" si="2"/>
        <v>419568.68320480705</v>
      </c>
      <c r="Q19" s="147">
        <f t="shared" si="3"/>
        <v>598052.62320480705</v>
      </c>
      <c r="R19" s="148">
        <f>IFERROR(VLOOKUP(B19,Indicadores!$B$4:$AH$12,33,0),0)</f>
        <v>948007</v>
      </c>
      <c r="S19" s="149">
        <f t="shared" si="4"/>
        <v>1546059.6232048071</v>
      </c>
      <c r="T19" s="150">
        <f t="shared" si="5"/>
        <v>1546060</v>
      </c>
      <c r="U19" s="151">
        <f t="shared" si="6"/>
        <v>4.1367466416780602E-2</v>
      </c>
      <c r="V19" s="95" t="s">
        <v>31</v>
      </c>
    </row>
    <row r="20" spans="1:22" ht="16" thickBot="1" x14ac:dyDescent="0.25">
      <c r="A20" s="169" t="s">
        <v>170</v>
      </c>
      <c r="B20" s="170"/>
      <c r="C20" s="170"/>
      <c r="D20" s="170"/>
      <c r="E20" s="107">
        <f t="shared" ref="E20:U20" si="7">SUMIF($C$11:$C$19,$C11,E$11:E$19)</f>
        <v>5337700</v>
      </c>
      <c r="F20" s="107">
        <f t="shared" si="7"/>
        <v>5497831.0000000019</v>
      </c>
      <c r="G20" s="108">
        <f t="shared" si="7"/>
        <v>800000</v>
      </c>
      <c r="H20" s="108">
        <f t="shared" si="7"/>
        <v>0</v>
      </c>
      <c r="I20" s="108">
        <f t="shared" si="7"/>
        <v>800000</v>
      </c>
      <c r="J20" s="109">
        <f t="shared" si="7"/>
        <v>1868690.2499999998</v>
      </c>
      <c r="K20" s="109">
        <f t="shared" si="7"/>
        <v>1868690.2500000002</v>
      </c>
      <c r="L20" s="109">
        <f t="shared" si="7"/>
        <v>1868690.25</v>
      </c>
      <c r="M20" s="109">
        <f t="shared" si="7"/>
        <v>1868690.25</v>
      </c>
      <c r="N20" s="109">
        <f t="shared" si="7"/>
        <v>1868690.25</v>
      </c>
      <c r="O20" s="109">
        <f t="shared" si="7"/>
        <v>1868690.25</v>
      </c>
      <c r="P20" s="110">
        <f t="shared" si="7"/>
        <v>11212141.499999998</v>
      </c>
      <c r="Q20" s="111">
        <f t="shared" si="7"/>
        <v>17509972.5</v>
      </c>
      <c r="R20" s="112">
        <f t="shared" si="7"/>
        <v>19863832</v>
      </c>
      <c r="S20" s="113">
        <f t="shared" si="7"/>
        <v>37373804.5</v>
      </c>
      <c r="T20" s="152">
        <f t="shared" si="7"/>
        <v>37373805</v>
      </c>
      <c r="U20" s="153">
        <f t="shared" si="7"/>
        <v>0.99999998662164569</v>
      </c>
    </row>
    <row r="21" spans="1:22" x14ac:dyDescent="0.2"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T21" s="103"/>
    </row>
    <row r="22" spans="1:22" x14ac:dyDescent="0.2"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</row>
    <row r="24" spans="1:22" ht="28" x14ac:dyDescent="0.2">
      <c r="A24" s="55" t="s">
        <v>98</v>
      </c>
      <c r="B24" s="55" t="s">
        <v>131</v>
      </c>
      <c r="C24" s="55" t="s">
        <v>164</v>
      </c>
      <c r="D24" s="55" t="s">
        <v>78</v>
      </c>
      <c r="E24" s="55" t="s">
        <v>126</v>
      </c>
      <c r="F24" s="55" t="s">
        <v>80</v>
      </c>
      <c r="G24" s="55" t="s">
        <v>81</v>
      </c>
      <c r="L24" s="53"/>
      <c r="M24" s="53"/>
      <c r="N24" s="53"/>
      <c r="O24" s="53"/>
    </row>
    <row r="25" spans="1:22" x14ac:dyDescent="0.2">
      <c r="A25" s="57" t="s">
        <v>82</v>
      </c>
      <c r="B25" s="94">
        <v>37373805</v>
      </c>
      <c r="C25" s="91">
        <f>F20</f>
        <v>5497831.0000000019</v>
      </c>
      <c r="D25" s="91">
        <f>SUMIF($C$11:$C$19,C11,$I$11:$I$19)</f>
        <v>800000</v>
      </c>
      <c r="E25" s="91">
        <f>P20</f>
        <v>11212141.499999998</v>
      </c>
      <c r="F25" s="91">
        <f>Q20</f>
        <v>17509972.5</v>
      </c>
      <c r="G25" s="90">
        <f>B25-F25</f>
        <v>19863832.5</v>
      </c>
      <c r="L25" s="54"/>
      <c r="M25" s="54"/>
      <c r="N25" s="54"/>
      <c r="O25" s="54"/>
    </row>
    <row r="27" spans="1:22" x14ac:dyDescent="0.2">
      <c r="A27" s="25" t="s">
        <v>165</v>
      </c>
      <c r="B27" s="58">
        <f>30%*B25</f>
        <v>11212141.5</v>
      </c>
    </row>
    <row r="28" spans="1:22" x14ac:dyDescent="0.2">
      <c r="A28" s="25" t="s">
        <v>97</v>
      </c>
      <c r="B28" s="26">
        <v>0.03</v>
      </c>
    </row>
    <row r="29" spans="1:22" x14ac:dyDescent="0.2">
      <c r="A29" s="2"/>
    </row>
  </sheetData>
  <sortState ref="A11:V19">
    <sortCondition descending="1" ref="T11:T19"/>
  </sortState>
  <mergeCells count="14">
    <mergeCell ref="U8:U10"/>
    <mergeCell ref="Q9:Q10"/>
    <mergeCell ref="E8:Q8"/>
    <mergeCell ref="R8:R10"/>
    <mergeCell ref="S8:S10"/>
    <mergeCell ref="T8:T10"/>
    <mergeCell ref="E9:F9"/>
    <mergeCell ref="G9:I9"/>
    <mergeCell ref="J9:P9"/>
    <mergeCell ref="A20:D20"/>
    <mergeCell ref="A8:A10"/>
    <mergeCell ref="B8:B10"/>
    <mergeCell ref="C8:C10"/>
    <mergeCell ref="D8:D10"/>
  </mergeCells>
  <phoneticPr fontId="13" type="noConversion"/>
  <pageMargins left="0.70866141732283472" right="0.70866141732283472" top="0.74803149606299213" bottom="0.74803149606299213" header="0.31496062992125984" footer="0.31496062992125984"/>
  <pageSetup paperSize="14" scale="6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view="pageBreakPreview" zoomScale="60" zoomScaleNormal="90" workbookViewId="0">
      <pane xSplit="1" ySplit="8" topLeftCell="B9" activePane="bottomRight" state="frozen"/>
      <selection pane="topRight" activeCell="B1" sqref="B1"/>
      <selection pane="bottomLeft" activeCell="A4" sqref="A4"/>
      <selection pane="bottomRight" activeCell="D27" sqref="D27"/>
    </sheetView>
  </sheetViews>
  <sheetFormatPr baseColWidth="10" defaultRowHeight="15" x14ac:dyDescent="0.2"/>
  <cols>
    <col min="1" max="1" width="52.1640625" customWidth="1"/>
    <col min="2" max="2" width="15.33203125" bestFit="1" customWidth="1"/>
    <col min="3" max="3" width="14.5" bestFit="1" customWidth="1"/>
    <col min="4" max="4" width="15" customWidth="1"/>
    <col min="5" max="5" width="20.5" customWidth="1"/>
    <col min="6" max="6" width="10.83203125" customWidth="1"/>
    <col min="7" max="7" width="6.33203125" customWidth="1"/>
    <col min="8" max="8" width="3.1640625" customWidth="1"/>
    <col min="9" max="9" width="12.5" bestFit="1" customWidth="1"/>
    <col min="11" max="12" width="14.33203125" customWidth="1"/>
  </cols>
  <sheetData>
    <row r="1" spans="1:13" ht="17" x14ac:dyDescent="0.2">
      <c r="A1" s="104" t="s">
        <v>172</v>
      </c>
    </row>
    <row r="2" spans="1:13" ht="17" x14ac:dyDescent="0.2">
      <c r="A2" s="104" t="s">
        <v>177</v>
      </c>
    </row>
    <row r="3" spans="1:13" ht="17" x14ac:dyDescent="0.2">
      <c r="A3" s="104" t="s">
        <v>186</v>
      </c>
    </row>
    <row r="4" spans="1:13" x14ac:dyDescent="0.2">
      <c r="A4" s="24" t="s">
        <v>176</v>
      </c>
    </row>
    <row r="5" spans="1:13" x14ac:dyDescent="0.2">
      <c r="A5" s="24" t="s">
        <v>174</v>
      </c>
      <c r="B5" s="24"/>
    </row>
    <row r="6" spans="1:13" x14ac:dyDescent="0.2">
      <c r="A6" s="24"/>
      <c r="B6" s="24"/>
    </row>
    <row r="7" spans="1:13" ht="31" thickBot="1" x14ac:dyDescent="0.25">
      <c r="B7" s="115"/>
      <c r="C7" s="115"/>
      <c r="D7" s="115"/>
      <c r="E7" s="115"/>
      <c r="K7" s="157" t="s">
        <v>179</v>
      </c>
      <c r="L7" s="157" t="s">
        <v>189</v>
      </c>
    </row>
    <row r="8" spans="1:13" ht="48.75" customHeight="1" x14ac:dyDescent="0.2">
      <c r="A8" s="121" t="s">
        <v>20</v>
      </c>
      <c r="B8" s="122" t="s">
        <v>10</v>
      </c>
      <c r="C8" s="122" t="s">
        <v>28</v>
      </c>
      <c r="D8" s="123" t="s">
        <v>39</v>
      </c>
      <c r="E8" s="124" t="s">
        <v>187</v>
      </c>
      <c r="F8" s="125" t="s">
        <v>94</v>
      </c>
      <c r="I8" s="158" t="s">
        <v>180</v>
      </c>
      <c r="J8" s="159" t="s">
        <v>181</v>
      </c>
      <c r="K8" s="158" t="s">
        <v>182</v>
      </c>
      <c r="L8" s="114" t="s">
        <v>183</v>
      </c>
      <c r="M8" s="114" t="s">
        <v>184</v>
      </c>
    </row>
    <row r="9" spans="1:13" x14ac:dyDescent="0.2">
      <c r="A9" s="128" t="str">
        <f>Indicadores!A4</f>
        <v>PONTIFICIA UNIVERSIDAD CATÓLICA DE CHILE</v>
      </c>
      <c r="B9" s="154" t="str">
        <f>Indicadores!B4</f>
        <v>PUC</v>
      </c>
      <c r="C9" s="129" t="str">
        <f>Indicadores!C4</f>
        <v>CRUCH-PRIVADA</v>
      </c>
      <c r="D9" s="129" t="str">
        <f>Indicadores!D4</f>
        <v>Categoría I</v>
      </c>
      <c r="E9" s="137">
        <f>VLOOKUP(B9,'Montos BD 2018'!$B$11:$T$19,19,0)</f>
        <v>9289972</v>
      </c>
      <c r="F9" s="138">
        <f t="shared" ref="F9:F17" si="0">E9/$E$18</f>
        <v>0.24856907130542369</v>
      </c>
      <c r="G9" s="95" t="s">
        <v>13</v>
      </c>
      <c r="I9" s="160">
        <f>VLOOKUP(G9,'[3]BD_Calculo 2017'!$A$9:$N$18,14,0)</f>
        <v>8106678</v>
      </c>
      <c r="J9" s="161">
        <f>I9/$I$18</f>
        <v>0.25000001541938727</v>
      </c>
      <c r="K9" s="162">
        <v>3737380</v>
      </c>
      <c r="L9" s="163">
        <f t="shared" ref="L9:L17" si="1">+E9-K9</f>
        <v>5552592</v>
      </c>
      <c r="M9" s="164">
        <f t="shared" ref="M9:M17" si="2">L9/E9</f>
        <v>0.5976973881083818</v>
      </c>
    </row>
    <row r="10" spans="1:13" x14ac:dyDescent="0.2">
      <c r="A10" s="126" t="str">
        <f>Indicadores!A5</f>
        <v>UNIVERSIDAD DE CONCEPCIÓN</v>
      </c>
      <c r="B10" s="155" t="str">
        <f>Indicadores!B5</f>
        <v>UCO</v>
      </c>
      <c r="C10" s="105" t="str">
        <f>Indicadores!C5</f>
        <v>CRUCH-PRIVADA</v>
      </c>
      <c r="D10" s="105" t="str">
        <f>Indicadores!D5</f>
        <v>Categoría I</v>
      </c>
      <c r="E10" s="137">
        <f>VLOOKUP(B10,'Montos BD 2018'!$B$11:$T$19,19,0)</f>
        <v>6380854</v>
      </c>
      <c r="F10" s="138">
        <f t="shared" si="0"/>
        <v>0.17073064944818972</v>
      </c>
      <c r="G10" s="95" t="s">
        <v>14</v>
      </c>
      <c r="I10" s="160">
        <f>VLOOKUP(G10,'[3]BD_Calculo 2017'!$A$9:$N$18,14,0)</f>
        <v>5628657</v>
      </c>
      <c r="J10" s="161">
        <f t="shared" ref="J10:J17" si="3">I10/$I$18</f>
        <v>0.17358088440054512</v>
      </c>
      <c r="K10" s="162">
        <v>2594951</v>
      </c>
      <c r="L10" s="163">
        <f t="shared" si="1"/>
        <v>3785903</v>
      </c>
      <c r="M10" s="164">
        <f t="shared" si="2"/>
        <v>0.59332230450657542</v>
      </c>
    </row>
    <row r="11" spans="1:13" x14ac:dyDescent="0.2">
      <c r="A11" s="126" t="str">
        <f>Indicadores!A9</f>
        <v>UNIVERSIDAD TÉCNICA FEDERICO SANTA MARÍA</v>
      </c>
      <c r="B11" s="155" t="str">
        <f>Indicadores!B9</f>
        <v>FSM</v>
      </c>
      <c r="C11" s="105" t="str">
        <f>Indicadores!C9</f>
        <v>CRUCH-PRIVADA</v>
      </c>
      <c r="D11" s="105" t="str">
        <f>Indicadores!D9</f>
        <v>Categoría II</v>
      </c>
      <c r="E11" s="137">
        <f>VLOOKUP(B11,'Montos BD 2018'!$B$11:$T$19,19,0)</f>
        <v>4401660</v>
      </c>
      <c r="F11" s="138">
        <f t="shared" si="0"/>
        <v>0.11777393283878909</v>
      </c>
      <c r="G11" s="95" t="s">
        <v>17</v>
      </c>
      <c r="I11" s="160">
        <f>VLOOKUP(G11,'[3]BD_Calculo 2017'!$A$9:$N$18,14,0)</f>
        <v>3651802</v>
      </c>
      <c r="J11" s="161">
        <f t="shared" si="3"/>
        <v>0.11261709868191994</v>
      </c>
      <c r="K11" s="162">
        <v>1683571</v>
      </c>
      <c r="L11" s="163">
        <f t="shared" si="1"/>
        <v>2718089</v>
      </c>
      <c r="M11" s="164">
        <f t="shared" si="2"/>
        <v>0.61751452860966094</v>
      </c>
    </row>
    <row r="12" spans="1:13" x14ac:dyDescent="0.2">
      <c r="A12" s="126" t="str">
        <f>Indicadores!A6</f>
        <v>PONTIFICIA UNIVERSIDAD CATÓLICA DE VALPARAÍSO</v>
      </c>
      <c r="B12" s="155" t="str">
        <f>Indicadores!B6</f>
        <v>UCV</v>
      </c>
      <c r="C12" s="105" t="str">
        <f>Indicadores!C6</f>
        <v>CRUCH-PRIVADA</v>
      </c>
      <c r="D12" s="105" t="str">
        <f>Indicadores!D6</f>
        <v>Categoría II</v>
      </c>
      <c r="E12" s="137">
        <f>VLOOKUP(B12,'Montos BD 2018'!$B$11:$T$19,19,0)</f>
        <v>4331258</v>
      </c>
      <c r="F12" s="138">
        <f t="shared" si="0"/>
        <v>0.11589020705812533</v>
      </c>
      <c r="G12" s="95" t="s">
        <v>15</v>
      </c>
      <c r="I12" s="160">
        <f>VLOOKUP(G12,'[3]BD_Calculo 2017'!$A$9:$N$18,14,0)</f>
        <v>3731894</v>
      </c>
      <c r="J12" s="161">
        <f t="shared" si="3"/>
        <v>0.11508703781543055</v>
      </c>
      <c r="K12" s="162">
        <v>1720496</v>
      </c>
      <c r="L12" s="163">
        <f t="shared" si="1"/>
        <v>2610762</v>
      </c>
      <c r="M12" s="164">
        <f t="shared" si="2"/>
        <v>0.60277221998781882</v>
      </c>
    </row>
    <row r="13" spans="1:13" x14ac:dyDescent="0.2">
      <c r="A13" s="126" t="str">
        <f>Indicadores!A7</f>
        <v>UNIVERSIDAD AUSTRAL DE CHILE</v>
      </c>
      <c r="B13" s="155" t="str">
        <f>Indicadores!B7</f>
        <v>AUS</v>
      </c>
      <c r="C13" s="105" t="str">
        <f>Indicadores!C7</f>
        <v>CRUCH-PRIVADA</v>
      </c>
      <c r="D13" s="105" t="str">
        <f>Indicadores!D7</f>
        <v>Categoría II</v>
      </c>
      <c r="E13" s="137">
        <f>VLOOKUP(B13,'Montos BD 2018'!$B$11:$T$19,19,0)</f>
        <v>4008941</v>
      </c>
      <c r="F13" s="138">
        <f t="shared" si="0"/>
        <v>0.10726606509559303</v>
      </c>
      <c r="G13" s="95" t="s">
        <v>16</v>
      </c>
      <c r="I13" s="160">
        <f>VLOOKUP(G13,'[3]BD_Calculo 2017'!$A$9:$N$18,14,0)</f>
        <v>3422142</v>
      </c>
      <c r="J13" s="161">
        <f t="shared" si="3"/>
        <v>0.10553466571230939</v>
      </c>
      <c r="K13" s="162">
        <v>1577692</v>
      </c>
      <c r="L13" s="163">
        <f t="shared" si="1"/>
        <v>2431249</v>
      </c>
      <c r="M13" s="164">
        <f t="shared" si="2"/>
        <v>0.60645666773344886</v>
      </c>
    </row>
    <row r="14" spans="1:13" x14ac:dyDescent="0.2">
      <c r="A14" s="126" t="str">
        <f>Indicadores!A8</f>
        <v>UNIVERSIDAD CATÓLICA DEL NORTE</v>
      </c>
      <c r="B14" s="155" t="str">
        <f>Indicadores!B8</f>
        <v>UCN</v>
      </c>
      <c r="C14" s="105" t="str">
        <f>Indicadores!C8</f>
        <v>CRUCH-PRIVADA</v>
      </c>
      <c r="D14" s="105" t="str">
        <f>Indicadores!D8</f>
        <v>Categoría II</v>
      </c>
      <c r="E14" s="137">
        <f>VLOOKUP(B14,'Montos BD 2018'!$B$11:$T$19,19,0)</f>
        <v>3080354</v>
      </c>
      <c r="F14" s="138">
        <f t="shared" si="0"/>
        <v>8.2420133566812367E-2</v>
      </c>
      <c r="G14" s="95" t="s">
        <v>18</v>
      </c>
      <c r="I14" s="160">
        <f>VLOOKUP(G14,'[3]BD_Calculo 2017'!$A$9:$N$18,14,0)</f>
        <v>2854130</v>
      </c>
      <c r="J14" s="161">
        <f t="shared" si="3"/>
        <v>8.8017871686643517E-2</v>
      </c>
      <c r="K14" s="162">
        <v>1315825</v>
      </c>
      <c r="L14" s="163">
        <f t="shared" si="1"/>
        <v>1764529</v>
      </c>
      <c r="M14" s="164">
        <f t="shared" si="2"/>
        <v>0.57283318735444044</v>
      </c>
    </row>
    <row r="15" spans="1:13" x14ac:dyDescent="0.2">
      <c r="A15" s="126" t="str">
        <f>Indicadores!A10</f>
        <v>UNIVERSIDAD CATÓLICA DE TEMUCO</v>
      </c>
      <c r="B15" s="155" t="str">
        <f>Indicadores!B10</f>
        <v>UCT</v>
      </c>
      <c r="C15" s="105" t="str">
        <f>Indicadores!C10</f>
        <v>CRUCH-PRIVADA</v>
      </c>
      <c r="D15" s="105" t="str">
        <f>Indicadores!D10</f>
        <v>Categoría II</v>
      </c>
      <c r="E15" s="137">
        <f>VLOOKUP(B15,'Montos BD 2018'!$B$11:$T$19,19,0)</f>
        <v>2509693</v>
      </c>
      <c r="F15" s="138">
        <f t="shared" si="0"/>
        <v>6.7151123627899267E-2</v>
      </c>
      <c r="G15" s="95" t="s">
        <v>19</v>
      </c>
      <c r="I15" s="160">
        <f>VLOOKUP(G15,'[3]BD_Calculo 2017'!$A$9:$N$18,14,0)</f>
        <v>2074431</v>
      </c>
      <c r="J15" s="161">
        <f t="shared" si="3"/>
        <v>6.3972909986859602E-2</v>
      </c>
      <c r="K15" s="162">
        <v>956364</v>
      </c>
      <c r="L15" s="163">
        <f t="shared" si="1"/>
        <v>1553329</v>
      </c>
      <c r="M15" s="164">
        <f t="shared" si="2"/>
        <v>0.61893187732523458</v>
      </c>
    </row>
    <row r="16" spans="1:13" x14ac:dyDescent="0.2">
      <c r="A16" s="126" t="str">
        <f>Indicadores!A12</f>
        <v>UNIVERSIDAD CATÓLICA DEL MAULE</v>
      </c>
      <c r="B16" s="155" t="str">
        <f>Indicadores!B12</f>
        <v>UCM</v>
      </c>
      <c r="C16" s="105" t="str">
        <f>Indicadores!C12</f>
        <v>CRUCH-PRIVADA</v>
      </c>
      <c r="D16" s="105" t="str">
        <f>Indicadores!D12</f>
        <v>Categoría III</v>
      </c>
      <c r="E16" s="137">
        <f>VLOOKUP(B16,'Montos BD 2018'!$B$11:$T$19,19,0)</f>
        <v>1825013</v>
      </c>
      <c r="F16" s="138">
        <f t="shared" si="0"/>
        <v>4.883134056058782E-2</v>
      </c>
      <c r="G16" s="95" t="s">
        <v>30</v>
      </c>
      <c r="I16" s="160">
        <f>VLOOKUP(G16,'[3]BD_Calculo 2017'!$A$9:$N$18,14,0)</f>
        <v>1506208</v>
      </c>
      <c r="J16" s="161">
        <f t="shared" si="3"/>
        <v>4.6449608979757737E-2</v>
      </c>
      <c r="K16" s="162">
        <v>694399</v>
      </c>
      <c r="L16" s="163">
        <f t="shared" si="1"/>
        <v>1130614</v>
      </c>
      <c r="M16" s="164">
        <f t="shared" si="2"/>
        <v>0.61951010759923353</v>
      </c>
    </row>
    <row r="17" spans="1:13" ht="16" thickBot="1" x14ac:dyDescent="0.25">
      <c r="A17" s="142" t="str">
        <f>Indicadores!A11</f>
        <v>UNIVERSIDAD CATÓLICA DE LA SANTÍSIMA CONCEPCIÓN</v>
      </c>
      <c r="B17" s="156" t="str">
        <f>Indicadores!B11</f>
        <v>USC</v>
      </c>
      <c r="C17" s="106" t="str">
        <f>Indicadores!C11</f>
        <v>CRUCH-PRIVADA</v>
      </c>
      <c r="D17" s="106" t="str">
        <f>Indicadores!D11</f>
        <v>Categoría III</v>
      </c>
      <c r="E17" s="137">
        <f>VLOOKUP(B17,'Montos BD 2018'!$B$11:$T$19,19,0)</f>
        <v>1546060</v>
      </c>
      <c r="F17" s="138">
        <f t="shared" si="0"/>
        <v>4.1367476498579685E-2</v>
      </c>
      <c r="G17" s="95" t="s">
        <v>31</v>
      </c>
      <c r="I17" s="160">
        <f>VLOOKUP(G17,'[3]BD_Calculo 2017'!$A$9:$N$18,14,0)</f>
        <v>1450768</v>
      </c>
      <c r="J17" s="161">
        <f t="shared" si="3"/>
        <v>4.4739907317146881E-2</v>
      </c>
      <c r="K17" s="162">
        <v>668840</v>
      </c>
      <c r="L17" s="163">
        <f t="shared" si="1"/>
        <v>877220</v>
      </c>
      <c r="M17" s="164">
        <f t="shared" si="2"/>
        <v>0.56739065754239815</v>
      </c>
    </row>
    <row r="18" spans="1:13" ht="16" thickBot="1" x14ac:dyDescent="0.25">
      <c r="A18" s="169" t="s">
        <v>170</v>
      </c>
      <c r="B18" s="170"/>
      <c r="C18" s="170"/>
      <c r="D18" s="170"/>
      <c r="E18" s="152">
        <f>SUMIF($C$9:$C$17,$C9,E$9:E$17)</f>
        <v>37373805</v>
      </c>
      <c r="F18" s="153">
        <f>SUMIF($C$9:$C$17,$C9,F$9:F$17)</f>
        <v>1</v>
      </c>
      <c r="I18" s="165">
        <f>SUM(I9:I17)</f>
        <v>32426710</v>
      </c>
      <c r="J18" s="166">
        <f>SUM(J9:J17)</f>
        <v>0.99999999999999989</v>
      </c>
      <c r="K18" s="165">
        <f>SUM(K9:K17)</f>
        <v>14949518</v>
      </c>
      <c r="L18" s="165">
        <f>SUM(L9:L17)</f>
        <v>22424287</v>
      </c>
    </row>
    <row r="19" spans="1:13" x14ac:dyDescent="0.2">
      <c r="L19" s="165">
        <f>SUM(K18:L18)</f>
        <v>37373805</v>
      </c>
    </row>
    <row r="20" spans="1:13" x14ac:dyDescent="0.2">
      <c r="L20" s="168">
        <f>+L19-B23</f>
        <v>0</v>
      </c>
    </row>
    <row r="22" spans="1:13" x14ac:dyDescent="0.2">
      <c r="A22" s="55" t="s">
        <v>98</v>
      </c>
      <c r="B22" s="55" t="s">
        <v>131</v>
      </c>
    </row>
    <row r="23" spans="1:13" x14ac:dyDescent="0.2">
      <c r="A23" s="57" t="s">
        <v>82</v>
      </c>
      <c r="B23" s="94">
        <v>37373805</v>
      </c>
    </row>
    <row r="24" spans="1:13" x14ac:dyDescent="0.2">
      <c r="A24" s="57" t="s">
        <v>178</v>
      </c>
      <c r="B24" s="58">
        <f>B23*0.4</f>
        <v>14949522</v>
      </c>
    </row>
  </sheetData>
  <sortState ref="A9:M17">
    <sortCondition descending="1" ref="E9:E17"/>
  </sortState>
  <mergeCells count="1">
    <mergeCell ref="A18:D18"/>
  </mergeCells>
  <phoneticPr fontId="13" type="noConversion"/>
  <pageMargins left="0.70866141732283472" right="0.70866141732283472" top="0.74803149606299213" bottom="0.74803149606299213" header="0.31496062992125984" footer="0.31496062992125984"/>
  <pageSetup scale="6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"/>
  <sheetViews>
    <sheetView workbookViewId="0"/>
  </sheetViews>
  <sheetFormatPr baseColWidth="10" defaultRowHeight="15" x14ac:dyDescent="0.2"/>
  <cols>
    <col min="1" max="1" width="47" customWidth="1"/>
    <col min="2" max="2" width="14.1640625" customWidth="1"/>
    <col min="3" max="3" width="11.33203125" customWidth="1"/>
    <col min="4" max="4" width="16.33203125" customWidth="1"/>
    <col min="5" max="5" width="15.5" customWidth="1"/>
    <col min="6" max="37" width="11.33203125" customWidth="1"/>
    <col min="38" max="38" width="23.5" bestFit="1" customWidth="1"/>
  </cols>
  <sheetData>
    <row r="1" spans="1:38" x14ac:dyDescent="0.2">
      <c r="A1" s="24" t="s">
        <v>188</v>
      </c>
    </row>
    <row r="2" spans="1:38" x14ac:dyDescent="0.2">
      <c r="B2" s="115">
        <v>1</v>
      </c>
      <c r="C2" s="115">
        <v>2</v>
      </c>
      <c r="D2" s="115">
        <v>3</v>
      </c>
      <c r="E2" s="115">
        <v>4</v>
      </c>
      <c r="F2" s="115">
        <v>5</v>
      </c>
      <c r="G2" s="115">
        <v>6</v>
      </c>
      <c r="H2" s="115">
        <v>7</v>
      </c>
      <c r="I2" s="115">
        <v>8</v>
      </c>
      <c r="J2" s="115">
        <v>9</v>
      </c>
      <c r="K2" s="115">
        <v>10</v>
      </c>
      <c r="L2" s="115">
        <v>11</v>
      </c>
      <c r="M2" s="115">
        <v>12</v>
      </c>
      <c r="N2" s="115">
        <v>13</v>
      </c>
      <c r="O2" s="115">
        <v>14</v>
      </c>
      <c r="P2" s="115">
        <v>15</v>
      </c>
      <c r="Q2" s="115">
        <v>16</v>
      </c>
      <c r="R2" s="115">
        <v>17</v>
      </c>
      <c r="S2" s="115">
        <v>18</v>
      </c>
      <c r="T2" s="115">
        <v>19</v>
      </c>
      <c r="U2" s="115">
        <v>20</v>
      </c>
      <c r="V2" s="115">
        <v>21</v>
      </c>
      <c r="W2" s="115">
        <v>22</v>
      </c>
      <c r="X2" s="115">
        <v>23</v>
      </c>
      <c r="Y2" s="115">
        <v>24</v>
      </c>
      <c r="Z2" s="115">
        <v>25</v>
      </c>
      <c r="AA2" s="115">
        <v>26</v>
      </c>
      <c r="AB2" s="115">
        <v>27</v>
      </c>
      <c r="AC2" s="115">
        <v>28</v>
      </c>
      <c r="AD2" s="115">
        <v>29</v>
      </c>
      <c r="AE2" s="115">
        <v>30</v>
      </c>
      <c r="AF2" s="115">
        <v>31</v>
      </c>
      <c r="AG2" s="115">
        <v>32</v>
      </c>
      <c r="AH2" s="115">
        <v>33</v>
      </c>
      <c r="AI2" s="115">
        <v>34</v>
      </c>
    </row>
    <row r="3" spans="1:38" ht="28" x14ac:dyDescent="0.2">
      <c r="A3" s="30" t="s">
        <v>20</v>
      </c>
      <c r="B3" s="30" t="s">
        <v>10</v>
      </c>
      <c r="C3" s="30" t="s">
        <v>28</v>
      </c>
      <c r="D3" s="30" t="s">
        <v>11</v>
      </c>
      <c r="E3" s="30" t="s">
        <v>12</v>
      </c>
      <c r="F3" s="30" t="s">
        <v>0</v>
      </c>
      <c r="G3" s="30" t="s">
        <v>11</v>
      </c>
      <c r="H3" s="30" t="s">
        <v>12</v>
      </c>
      <c r="I3" s="30" t="s">
        <v>1</v>
      </c>
      <c r="J3" s="30" t="s">
        <v>11</v>
      </c>
      <c r="K3" s="30" t="s">
        <v>12</v>
      </c>
      <c r="L3" s="30" t="s">
        <v>2</v>
      </c>
      <c r="M3" s="30" t="s">
        <v>11</v>
      </c>
      <c r="N3" s="30" t="s">
        <v>12</v>
      </c>
      <c r="O3" s="30" t="s">
        <v>3</v>
      </c>
      <c r="P3" s="30" t="s">
        <v>11</v>
      </c>
      <c r="Q3" s="30" t="s">
        <v>12</v>
      </c>
      <c r="R3" s="30" t="s">
        <v>4</v>
      </c>
      <c r="S3" s="30" t="s">
        <v>11</v>
      </c>
      <c r="T3" s="30" t="s">
        <v>12</v>
      </c>
      <c r="U3" s="30" t="s">
        <v>5</v>
      </c>
      <c r="V3" s="30" t="s">
        <v>11</v>
      </c>
      <c r="W3" s="30" t="s">
        <v>12</v>
      </c>
      <c r="X3" s="30" t="s">
        <v>6</v>
      </c>
      <c r="Y3" s="30" t="s">
        <v>11</v>
      </c>
      <c r="Z3" s="30" t="s">
        <v>12</v>
      </c>
      <c r="AA3" s="30" t="s">
        <v>7</v>
      </c>
      <c r="AB3" s="30" t="s">
        <v>11</v>
      </c>
      <c r="AC3" s="30" t="s">
        <v>12</v>
      </c>
      <c r="AD3" s="30" t="s">
        <v>8</v>
      </c>
      <c r="AE3" s="30" t="s">
        <v>34</v>
      </c>
      <c r="AF3" s="30" t="s">
        <v>35</v>
      </c>
      <c r="AG3" s="30" t="s">
        <v>9</v>
      </c>
      <c r="AH3" s="30" t="s">
        <v>36</v>
      </c>
      <c r="AI3" s="30" t="s">
        <v>37</v>
      </c>
      <c r="AJ3" s="30" t="s">
        <v>38</v>
      </c>
      <c r="AK3" s="30" t="s">
        <v>39</v>
      </c>
      <c r="AL3" s="30" t="s">
        <v>73</v>
      </c>
    </row>
    <row r="4" spans="1:38" x14ac:dyDescent="0.2">
      <c r="A4" s="1" t="s">
        <v>21</v>
      </c>
      <c r="B4" s="1" t="s">
        <v>13</v>
      </c>
      <c r="C4" s="3" t="s">
        <v>29</v>
      </c>
      <c r="D4" s="1">
        <v>0</v>
      </c>
      <c r="E4" s="1">
        <f>IFERROR(VLOOKUP(B4,[4]Hoja1!$A$7:$Y$31,2,0),0)</f>
        <v>1</v>
      </c>
      <c r="F4" s="1">
        <f t="shared" ref="F4:F12" si="0">D4+E4</f>
        <v>1</v>
      </c>
      <c r="G4" s="1">
        <f>IFERROR(VLOOKUP(B4,[4]Hoja1!$A$7:$Y$31,4,0),0)</f>
        <v>0</v>
      </c>
      <c r="H4" s="1">
        <f>IFERROR(VLOOKUP(B4,[4]Hoja1!$A$7:$Y$31,5,0),0)</f>
        <v>6</v>
      </c>
      <c r="I4" s="1">
        <f t="shared" ref="I4:I12" si="1">G4+H4</f>
        <v>6</v>
      </c>
      <c r="J4" s="1">
        <f>IFERROR(VLOOKUP(B4,[4]Hoja1!$A$7:$Y$31,7,0),0)</f>
        <v>0</v>
      </c>
      <c r="K4" s="1">
        <f>IFERROR(VLOOKUP(B4,[4]Hoja1!$A$7:$Y$31,8,0),0)</f>
        <v>5</v>
      </c>
      <c r="L4" s="1">
        <f t="shared" ref="L4:L12" si="2">J4+K4</f>
        <v>5</v>
      </c>
      <c r="M4" s="1">
        <f>IFERROR(VLOOKUP(B4,[4]Hoja1!$A$7:$Y$31,10,0),0)</f>
        <v>0</v>
      </c>
      <c r="N4" s="1">
        <f>IFERROR(VLOOKUP(B4,[4]Hoja1!$A$7:$Y$31,11,0),0)</f>
        <v>7</v>
      </c>
      <c r="O4" s="1">
        <f t="shared" ref="O4:O12" si="3">M4+N4</f>
        <v>7</v>
      </c>
      <c r="P4" s="1">
        <f>IFERROR(VLOOKUP(B4,[4]Hoja1!$A$7:$Y$31,13,0),0)</f>
        <v>1</v>
      </c>
      <c r="Q4" s="1">
        <f>IFERROR(VLOOKUP(B4,[4]Hoja1!$A$7:$Y$31,14,0),0)</f>
        <v>3</v>
      </c>
      <c r="R4" s="1">
        <f t="shared" ref="R4:R12" si="4">P4+Q4</f>
        <v>4</v>
      </c>
      <c r="S4" s="1">
        <v>0</v>
      </c>
      <c r="T4" s="1">
        <f>IFERROR(VLOOKUP(B4,[4]Hoja1!$A$7:$Y$31,16,0),0)</f>
        <v>7</v>
      </c>
      <c r="U4" s="1">
        <f t="shared" ref="U4:U12" si="5">S4+T4</f>
        <v>7</v>
      </c>
      <c r="V4" s="1">
        <v>0</v>
      </c>
      <c r="W4" s="1">
        <f>IFERROR(VLOOKUP(B4,[4]Hoja1!$A$7:$Y$31,18,0),0)</f>
        <v>3</v>
      </c>
      <c r="X4" s="1">
        <f t="shared" ref="X4:X12" si="6">V4+W4</f>
        <v>3</v>
      </c>
      <c r="Y4" s="1">
        <f>IFERROR(VLOOKUP(B4,[4]Hoja1!$A$7:$Y$31,20,0),0)</f>
        <v>0</v>
      </c>
      <c r="Z4" s="1">
        <f>IFERROR(VLOOKUP(B4,[4]Hoja1!$A$7:$Y$31,21,0),0)</f>
        <v>1</v>
      </c>
      <c r="AA4" s="1">
        <f t="shared" ref="AA4:AA12" si="7">Y4+Z4</f>
        <v>1</v>
      </c>
      <c r="AB4" s="1">
        <f>IFERROR(VLOOKUP(B4,[4]Hoja1!$A$7:$Y$31,23,0),0)</f>
        <v>0</v>
      </c>
      <c r="AC4" s="1">
        <v>0</v>
      </c>
      <c r="AD4" s="1">
        <f t="shared" ref="AD4:AD12" si="8">AB4+AC4</f>
        <v>0</v>
      </c>
      <c r="AE4" s="1">
        <f t="shared" ref="AE4:AE12" si="9">D4+G4+J4+M4+P4+S4+V4+Y4+AB4</f>
        <v>1</v>
      </c>
      <c r="AF4" s="1">
        <f t="shared" ref="AF4:AF12" si="10">E4+H4+K4+N4+Q4+T4+W4+Z4+AC4</f>
        <v>33</v>
      </c>
      <c r="AG4" s="1">
        <f t="shared" ref="AG4:AG12" si="11">AE4+AF4</f>
        <v>34</v>
      </c>
      <c r="AH4" s="1">
        <f t="shared" ref="AH4:AH12" si="12">P4+S4+V4+Y4+AB4+M4</f>
        <v>1</v>
      </c>
      <c r="AI4" s="1">
        <f t="shared" ref="AI4:AI12" si="13">AF4+AH4</f>
        <v>34</v>
      </c>
      <c r="AJ4" s="1">
        <f>VLOOKUP(B4,[5]SCOPUS!$B$7:$L$31,10,0)</f>
        <v>2233</v>
      </c>
      <c r="AK4" s="1" t="str">
        <f t="shared" ref="AK4:AK12" si="14">IF(AND(AI4&gt;=10,AJ4&gt;=300),"Categoría I",IF(AND(AI4&gt;=1,AJ4&gt;=100),"Categoría II","Categoría III"))</f>
        <v>Categoría I</v>
      </c>
      <c r="AL4" s="1" t="str">
        <f t="shared" ref="AL4:AL12" si="15">CONCATENATE(C4,AK4)</f>
        <v>CRUCH-PRIVADACategoría I</v>
      </c>
    </row>
    <row r="5" spans="1:38" x14ac:dyDescent="0.2">
      <c r="A5" s="1" t="s">
        <v>22</v>
      </c>
      <c r="B5" s="1" t="s">
        <v>14</v>
      </c>
      <c r="C5" s="3" t="s">
        <v>29</v>
      </c>
      <c r="D5" s="1">
        <v>0</v>
      </c>
      <c r="E5" s="1">
        <f>IFERROR(VLOOKUP(B5,[4]Hoja1!$A$7:$Y$31,2,0),0)</f>
        <v>3</v>
      </c>
      <c r="F5" s="1">
        <f t="shared" si="0"/>
        <v>3</v>
      </c>
      <c r="G5" s="1">
        <f>IFERROR(VLOOKUP(B5,[4]Hoja1!$A$7:$Y$31,4,0),0)</f>
        <v>0</v>
      </c>
      <c r="H5" s="1">
        <f>IFERROR(VLOOKUP(B5,[4]Hoja1!$A$7:$Y$31,5,0),0)</f>
        <v>5</v>
      </c>
      <c r="I5" s="1">
        <f t="shared" si="1"/>
        <v>5</v>
      </c>
      <c r="J5" s="1">
        <f>IFERROR(VLOOKUP(B5,[4]Hoja1!$A$7:$Y$31,7,0),0)</f>
        <v>0</v>
      </c>
      <c r="K5" s="1">
        <f>IFERROR(VLOOKUP(B5,[4]Hoja1!$A$7:$Y$31,8,0),0)</f>
        <v>2</v>
      </c>
      <c r="L5" s="1">
        <f t="shared" si="2"/>
        <v>2</v>
      </c>
      <c r="M5" s="1">
        <f>IFERROR(VLOOKUP(B5,[4]Hoja1!$A$7:$Y$31,10,0),0)</f>
        <v>0</v>
      </c>
      <c r="N5" s="1">
        <f>IFERROR(VLOOKUP(B5,[4]Hoja1!$A$7:$Y$31,11,0),0)</f>
        <v>4</v>
      </c>
      <c r="O5" s="1">
        <f t="shared" si="3"/>
        <v>4</v>
      </c>
      <c r="P5" s="1">
        <f>IFERROR(VLOOKUP(B5,[4]Hoja1!$A$7:$Y$31,13,0),0)</f>
        <v>0</v>
      </c>
      <c r="Q5" s="1">
        <f>IFERROR(VLOOKUP(B5,[4]Hoja1!$A$7:$Y$31,14,0),0)</f>
        <v>3</v>
      </c>
      <c r="R5" s="1">
        <f t="shared" si="4"/>
        <v>3</v>
      </c>
      <c r="S5" s="1">
        <v>0</v>
      </c>
      <c r="T5" s="1">
        <f>IFERROR(VLOOKUP(B5,[4]Hoja1!$A$7:$Y$31,16,0),0)</f>
        <v>2</v>
      </c>
      <c r="U5" s="1">
        <f t="shared" si="5"/>
        <v>2</v>
      </c>
      <c r="V5" s="1">
        <v>0</v>
      </c>
      <c r="W5" s="1">
        <f>IFERROR(VLOOKUP(B5,[4]Hoja1!$A$7:$Y$31,18,0),0)</f>
        <v>3</v>
      </c>
      <c r="X5" s="1">
        <f t="shared" si="6"/>
        <v>3</v>
      </c>
      <c r="Y5" s="1">
        <f>IFERROR(VLOOKUP(B5,[4]Hoja1!$A$7:$Y$31,20,0),0)</f>
        <v>0</v>
      </c>
      <c r="Z5" s="1">
        <f>IFERROR(VLOOKUP(B5,[4]Hoja1!$A$7:$Y$31,21,0),0)</f>
        <v>0</v>
      </c>
      <c r="AA5" s="1">
        <f t="shared" si="7"/>
        <v>0</v>
      </c>
      <c r="AB5" s="1">
        <f>IFERROR(VLOOKUP(B5,[4]Hoja1!$A$7:$Y$31,23,0),0)</f>
        <v>0</v>
      </c>
      <c r="AC5" s="1">
        <v>0</v>
      </c>
      <c r="AD5" s="1">
        <f t="shared" si="8"/>
        <v>0</v>
      </c>
      <c r="AE5" s="1">
        <f t="shared" si="9"/>
        <v>0</v>
      </c>
      <c r="AF5" s="1">
        <f t="shared" si="10"/>
        <v>22</v>
      </c>
      <c r="AG5" s="1">
        <f t="shared" si="11"/>
        <v>22</v>
      </c>
      <c r="AH5" s="1">
        <f t="shared" si="12"/>
        <v>0</v>
      </c>
      <c r="AI5" s="1">
        <f t="shared" si="13"/>
        <v>22</v>
      </c>
      <c r="AJ5" s="1">
        <f>VLOOKUP(B5,[5]SCOPUS!$B$7:$L$31,10,0)</f>
        <v>1085</v>
      </c>
      <c r="AK5" s="1" t="str">
        <f t="shared" si="14"/>
        <v>Categoría I</v>
      </c>
      <c r="AL5" s="1" t="str">
        <f t="shared" si="15"/>
        <v>CRUCH-PRIVADACategoría I</v>
      </c>
    </row>
    <row r="6" spans="1:38" x14ac:dyDescent="0.2">
      <c r="A6" s="1" t="s">
        <v>23</v>
      </c>
      <c r="B6" s="1" t="s">
        <v>15</v>
      </c>
      <c r="C6" s="3" t="s">
        <v>29</v>
      </c>
      <c r="D6" s="1">
        <v>0</v>
      </c>
      <c r="E6" s="1">
        <f>IFERROR(VLOOKUP(B6,[4]Hoja1!$A$7:$Y$31,2,0),0)</f>
        <v>0</v>
      </c>
      <c r="F6" s="1">
        <f t="shared" si="0"/>
        <v>0</v>
      </c>
      <c r="G6" s="1">
        <f>IFERROR(VLOOKUP(B6,[4]Hoja1!$A$7:$Y$31,4,0),0)</f>
        <v>0</v>
      </c>
      <c r="H6" s="1">
        <f>IFERROR(VLOOKUP(B6,[4]Hoja1!$A$7:$Y$31,5,0),0)</f>
        <v>1</v>
      </c>
      <c r="I6" s="1">
        <f t="shared" si="1"/>
        <v>1</v>
      </c>
      <c r="J6" s="1">
        <f>IFERROR(VLOOKUP(B6,[4]Hoja1!$A$7:$Y$31,7,0),0)</f>
        <v>1</v>
      </c>
      <c r="K6" s="1">
        <f>IFERROR(VLOOKUP(B6,[4]Hoja1!$A$7:$Y$31,8,0),0)</f>
        <v>2</v>
      </c>
      <c r="L6" s="1">
        <f t="shared" si="2"/>
        <v>3</v>
      </c>
      <c r="M6" s="1">
        <f>IFERROR(VLOOKUP(B6,[4]Hoja1!$A$7:$Y$31,10,0),0)</f>
        <v>0</v>
      </c>
      <c r="N6" s="1">
        <f>IFERROR(VLOOKUP(B6,[4]Hoja1!$A$7:$Y$31,11,0),0)</f>
        <v>0</v>
      </c>
      <c r="O6" s="1">
        <f t="shared" si="3"/>
        <v>0</v>
      </c>
      <c r="P6" s="1">
        <f>IFERROR(VLOOKUP(B6,[4]Hoja1!$A$7:$Y$31,13,0),0)</f>
        <v>2</v>
      </c>
      <c r="Q6" s="1">
        <f>IFERROR(VLOOKUP(B6,[4]Hoja1!$A$7:$Y$31,14,0),0)</f>
        <v>0</v>
      </c>
      <c r="R6" s="1">
        <f t="shared" si="4"/>
        <v>2</v>
      </c>
      <c r="S6" s="1">
        <v>0</v>
      </c>
      <c r="T6" s="1">
        <f>IFERROR(VLOOKUP(B6,[4]Hoja1!$A$7:$Y$31,16,0),0)</f>
        <v>2</v>
      </c>
      <c r="U6" s="1">
        <f t="shared" si="5"/>
        <v>2</v>
      </c>
      <c r="V6" s="1">
        <v>0</v>
      </c>
      <c r="W6" s="1">
        <f>IFERROR(VLOOKUP(B6,[4]Hoja1!$A$7:$Y$31,18,0),0)</f>
        <v>0</v>
      </c>
      <c r="X6" s="1">
        <f t="shared" si="6"/>
        <v>0</v>
      </c>
      <c r="Y6" s="1">
        <f>IFERROR(VLOOKUP(B6,[4]Hoja1!$A$7:$Y$31,20,0),0)</f>
        <v>0</v>
      </c>
      <c r="Z6" s="1">
        <f>IFERROR(VLOOKUP(B6,[4]Hoja1!$A$7:$Y$31,21,0),0)</f>
        <v>0</v>
      </c>
      <c r="AA6" s="1">
        <f t="shared" si="7"/>
        <v>0</v>
      </c>
      <c r="AB6" s="1">
        <f>IFERROR(VLOOKUP(B6,[4]Hoja1!$A$7:$Y$31,23,0),0)</f>
        <v>1</v>
      </c>
      <c r="AC6" s="1">
        <v>0</v>
      </c>
      <c r="AD6" s="1">
        <f t="shared" si="8"/>
        <v>1</v>
      </c>
      <c r="AE6" s="1">
        <f t="shared" si="9"/>
        <v>4</v>
      </c>
      <c r="AF6" s="1">
        <f t="shared" si="10"/>
        <v>5</v>
      </c>
      <c r="AG6" s="1">
        <f t="shared" si="11"/>
        <v>9</v>
      </c>
      <c r="AH6" s="1">
        <f t="shared" si="12"/>
        <v>3</v>
      </c>
      <c r="AI6" s="1">
        <f t="shared" si="13"/>
        <v>8</v>
      </c>
      <c r="AJ6" s="1">
        <f>VLOOKUP(B6,[5]SCOPUS!$B$7:$L$31,10,0)</f>
        <v>619</v>
      </c>
      <c r="AK6" s="1" t="str">
        <f t="shared" si="14"/>
        <v>Categoría II</v>
      </c>
      <c r="AL6" s="1" t="str">
        <f t="shared" si="15"/>
        <v>CRUCH-PRIVADACategoría II</v>
      </c>
    </row>
    <row r="7" spans="1:38" x14ac:dyDescent="0.2">
      <c r="A7" s="1" t="s">
        <v>24</v>
      </c>
      <c r="B7" s="1" t="s">
        <v>16</v>
      </c>
      <c r="C7" s="3" t="s">
        <v>29</v>
      </c>
      <c r="D7" s="1">
        <v>0</v>
      </c>
      <c r="E7" s="1">
        <f>IFERROR(VLOOKUP(B7,[4]Hoja1!$A$7:$Y$31,2,0),0)</f>
        <v>1</v>
      </c>
      <c r="F7" s="1">
        <f t="shared" si="0"/>
        <v>1</v>
      </c>
      <c r="G7" s="1">
        <f>IFERROR(VLOOKUP(B7,[4]Hoja1!$A$7:$Y$31,4,0),0)</f>
        <v>0</v>
      </c>
      <c r="H7" s="1">
        <f>IFERROR(VLOOKUP(B7,[4]Hoja1!$A$7:$Y$31,5,0),0)</f>
        <v>3</v>
      </c>
      <c r="I7" s="1">
        <f t="shared" si="1"/>
        <v>3</v>
      </c>
      <c r="J7" s="1">
        <f>IFERROR(VLOOKUP(B7,[4]Hoja1!$A$7:$Y$31,7,0),0)</f>
        <v>0</v>
      </c>
      <c r="K7" s="1">
        <f>IFERROR(VLOOKUP(B7,[4]Hoja1!$A$7:$Y$31,8,0),0)</f>
        <v>1</v>
      </c>
      <c r="L7" s="1">
        <f t="shared" si="2"/>
        <v>1</v>
      </c>
      <c r="M7" s="1">
        <f>IFERROR(VLOOKUP(B7,[4]Hoja1!$A$7:$Y$31,10,0),0)</f>
        <v>0</v>
      </c>
      <c r="N7" s="1">
        <f>IFERROR(VLOOKUP(B7,[4]Hoja1!$A$7:$Y$31,11,0),0)</f>
        <v>1</v>
      </c>
      <c r="O7" s="1">
        <f t="shared" si="3"/>
        <v>1</v>
      </c>
      <c r="P7" s="1">
        <f>IFERROR(VLOOKUP(B7,[4]Hoja1!$A$7:$Y$31,13,0),0)</f>
        <v>0</v>
      </c>
      <c r="Q7" s="1">
        <f>IFERROR(VLOOKUP(B7,[4]Hoja1!$A$7:$Y$31,14,0),0)</f>
        <v>2</v>
      </c>
      <c r="R7" s="1">
        <f t="shared" si="4"/>
        <v>2</v>
      </c>
      <c r="S7" s="1">
        <v>0</v>
      </c>
      <c r="T7" s="1">
        <f>IFERROR(VLOOKUP(B7,[4]Hoja1!$A$7:$Y$31,16,0),0)</f>
        <v>1</v>
      </c>
      <c r="U7" s="1">
        <f t="shared" si="5"/>
        <v>1</v>
      </c>
      <c r="V7" s="1">
        <v>0</v>
      </c>
      <c r="W7" s="1">
        <f>IFERROR(VLOOKUP(B7,[4]Hoja1!$A$7:$Y$31,18,0),0)</f>
        <v>0</v>
      </c>
      <c r="X7" s="1">
        <f t="shared" si="6"/>
        <v>0</v>
      </c>
      <c r="Y7" s="1">
        <f>IFERROR(VLOOKUP(B7,[4]Hoja1!$A$7:$Y$31,20,0),0)</f>
        <v>0</v>
      </c>
      <c r="Z7" s="1">
        <f>IFERROR(VLOOKUP(B7,[4]Hoja1!$A$7:$Y$31,21,0),0)</f>
        <v>0</v>
      </c>
      <c r="AA7" s="1">
        <f t="shared" si="7"/>
        <v>0</v>
      </c>
      <c r="AB7" s="1">
        <f>IFERROR(VLOOKUP(B7,[4]Hoja1!$A$7:$Y$31,23,0),0)</f>
        <v>0</v>
      </c>
      <c r="AC7" s="1">
        <v>0</v>
      </c>
      <c r="AD7" s="1">
        <f t="shared" si="8"/>
        <v>0</v>
      </c>
      <c r="AE7" s="1">
        <f t="shared" si="9"/>
        <v>0</v>
      </c>
      <c r="AF7" s="1">
        <f t="shared" si="10"/>
        <v>9</v>
      </c>
      <c r="AG7" s="1">
        <f t="shared" si="11"/>
        <v>9</v>
      </c>
      <c r="AH7" s="1">
        <f t="shared" si="12"/>
        <v>0</v>
      </c>
      <c r="AI7" s="1">
        <f t="shared" si="13"/>
        <v>9</v>
      </c>
      <c r="AJ7" s="1">
        <f>VLOOKUP(B7,[5]SCOPUS!$B$7:$L$31,10,0)</f>
        <v>522</v>
      </c>
      <c r="AK7" s="1" t="str">
        <f t="shared" si="14"/>
        <v>Categoría II</v>
      </c>
      <c r="AL7" s="1" t="str">
        <f t="shared" si="15"/>
        <v>CRUCH-PRIVADACategoría II</v>
      </c>
    </row>
    <row r="8" spans="1:38" x14ac:dyDescent="0.2">
      <c r="A8" s="1" t="s">
        <v>26</v>
      </c>
      <c r="B8" s="1" t="s">
        <v>18</v>
      </c>
      <c r="C8" s="3" t="s">
        <v>29</v>
      </c>
      <c r="D8" s="1">
        <v>0</v>
      </c>
      <c r="E8" s="1">
        <f>IFERROR(VLOOKUP(B8,[4]Hoja1!$A$7:$Y$31,2,0),0)</f>
        <v>1</v>
      </c>
      <c r="F8" s="1">
        <f t="shared" si="0"/>
        <v>1</v>
      </c>
      <c r="G8" s="1">
        <f>IFERROR(VLOOKUP(B8,[4]Hoja1!$A$7:$Y$31,4,0),0)</f>
        <v>0</v>
      </c>
      <c r="H8" s="1">
        <f>IFERROR(VLOOKUP(B8,[4]Hoja1!$A$7:$Y$31,5,0),0)</f>
        <v>1</v>
      </c>
      <c r="I8" s="1">
        <f t="shared" si="1"/>
        <v>1</v>
      </c>
      <c r="J8" s="1">
        <f>IFERROR(VLOOKUP(B8,[4]Hoja1!$A$7:$Y$31,7,0),0)</f>
        <v>0</v>
      </c>
      <c r="K8" s="1">
        <f>IFERROR(VLOOKUP(B8,[4]Hoja1!$A$7:$Y$31,8,0),0)</f>
        <v>1</v>
      </c>
      <c r="L8" s="1">
        <f t="shared" si="2"/>
        <v>1</v>
      </c>
      <c r="M8" s="1">
        <f>IFERROR(VLOOKUP(B8,[4]Hoja1!$A$7:$Y$31,10,0),0)</f>
        <v>1</v>
      </c>
      <c r="N8" s="1">
        <f>IFERROR(VLOOKUP(B8,[4]Hoja1!$A$7:$Y$31,11,0),0)</f>
        <v>0</v>
      </c>
      <c r="O8" s="1">
        <f t="shared" si="3"/>
        <v>1</v>
      </c>
      <c r="P8" s="1">
        <f>IFERROR(VLOOKUP(B8,[4]Hoja1!$A$7:$Y$31,13,0),0)</f>
        <v>2</v>
      </c>
      <c r="Q8" s="1">
        <f>IFERROR(VLOOKUP(B8,[4]Hoja1!$A$7:$Y$31,14,0),0)</f>
        <v>0</v>
      </c>
      <c r="R8" s="1">
        <f t="shared" si="4"/>
        <v>2</v>
      </c>
      <c r="S8" s="1">
        <v>0</v>
      </c>
      <c r="T8" s="1">
        <f>IFERROR(VLOOKUP(B8,[4]Hoja1!$A$7:$Y$31,16,0),0)</f>
        <v>0</v>
      </c>
      <c r="U8" s="1">
        <f t="shared" si="5"/>
        <v>0</v>
      </c>
      <c r="V8" s="1">
        <v>0</v>
      </c>
      <c r="W8" s="1">
        <f>IFERROR(VLOOKUP(B8,[4]Hoja1!$A$7:$Y$31,18,0),0)</f>
        <v>0</v>
      </c>
      <c r="X8" s="1">
        <f t="shared" si="6"/>
        <v>0</v>
      </c>
      <c r="Y8" s="1">
        <f>IFERROR(VLOOKUP(B8,[4]Hoja1!$A$7:$Y$31,20,0),0)</f>
        <v>0</v>
      </c>
      <c r="Z8" s="1">
        <f>IFERROR(VLOOKUP(B8,[4]Hoja1!$A$7:$Y$31,21,0),0)</f>
        <v>0</v>
      </c>
      <c r="AA8" s="1">
        <f t="shared" si="7"/>
        <v>0</v>
      </c>
      <c r="AB8" s="1">
        <f>IFERROR(VLOOKUP(B8,[4]Hoja1!$A$7:$Y$31,23,0),0)</f>
        <v>0</v>
      </c>
      <c r="AC8" s="1">
        <v>0</v>
      </c>
      <c r="AD8" s="1">
        <f t="shared" si="8"/>
        <v>0</v>
      </c>
      <c r="AE8" s="1">
        <f t="shared" si="9"/>
        <v>3</v>
      </c>
      <c r="AF8" s="1">
        <f t="shared" si="10"/>
        <v>3</v>
      </c>
      <c r="AG8" s="1">
        <f t="shared" si="11"/>
        <v>6</v>
      </c>
      <c r="AH8" s="1">
        <f t="shared" si="12"/>
        <v>3</v>
      </c>
      <c r="AI8" s="1">
        <f t="shared" si="13"/>
        <v>6</v>
      </c>
      <c r="AJ8" s="1">
        <f>VLOOKUP(B8,[5]SCOPUS!$B$7:$L$31,10,0)</f>
        <v>305</v>
      </c>
      <c r="AK8" s="1" t="str">
        <f t="shared" si="14"/>
        <v>Categoría II</v>
      </c>
      <c r="AL8" s="1" t="str">
        <f t="shared" si="15"/>
        <v>CRUCH-PRIVADACategoría II</v>
      </c>
    </row>
    <row r="9" spans="1:38" x14ac:dyDescent="0.2">
      <c r="A9" s="1" t="s">
        <v>25</v>
      </c>
      <c r="B9" s="1" t="s">
        <v>17</v>
      </c>
      <c r="C9" s="3" t="s">
        <v>29</v>
      </c>
      <c r="D9" s="1">
        <v>0</v>
      </c>
      <c r="E9" s="1">
        <f>IFERROR(VLOOKUP(B9,[4]Hoja1!$A$7:$Y$31,2,0),0)</f>
        <v>0</v>
      </c>
      <c r="F9" s="1">
        <f t="shared" si="0"/>
        <v>0</v>
      </c>
      <c r="G9" s="1">
        <f>IFERROR(VLOOKUP(B9,[4]Hoja1!$A$7:$Y$31,4,0),0)</f>
        <v>0</v>
      </c>
      <c r="H9" s="1">
        <f>IFERROR(VLOOKUP(B9,[4]Hoja1!$A$7:$Y$31,5,0),0)</f>
        <v>0</v>
      </c>
      <c r="I9" s="1">
        <f t="shared" si="1"/>
        <v>0</v>
      </c>
      <c r="J9" s="1">
        <f>IFERROR(VLOOKUP(B9,[4]Hoja1!$A$7:$Y$31,7,0),0)</f>
        <v>2</v>
      </c>
      <c r="K9" s="1">
        <f>IFERROR(VLOOKUP(B9,[4]Hoja1!$A$7:$Y$31,8,0),0)</f>
        <v>0</v>
      </c>
      <c r="L9" s="1">
        <f t="shared" si="2"/>
        <v>2</v>
      </c>
      <c r="M9" s="1">
        <f>IFERROR(VLOOKUP(B9,[4]Hoja1!$A$7:$Y$31,10,0),0)</f>
        <v>0</v>
      </c>
      <c r="N9" s="1">
        <f>IFERROR(VLOOKUP(B9,[4]Hoja1!$A$7:$Y$31,11,0),0)</f>
        <v>0</v>
      </c>
      <c r="O9" s="1">
        <f t="shared" si="3"/>
        <v>0</v>
      </c>
      <c r="P9" s="1">
        <f>IFERROR(VLOOKUP(B9,[4]Hoja1!$A$7:$Y$31,13,0),0)</f>
        <v>1</v>
      </c>
      <c r="Q9" s="1">
        <f>IFERROR(VLOOKUP(B9,[4]Hoja1!$A$7:$Y$31,14,0),0)</f>
        <v>0</v>
      </c>
      <c r="R9" s="1">
        <f t="shared" si="4"/>
        <v>1</v>
      </c>
      <c r="S9" s="1">
        <v>0</v>
      </c>
      <c r="T9" s="1">
        <f>IFERROR(VLOOKUP(B9,[4]Hoja1!$A$7:$Y$31,16,0),0)</f>
        <v>1</v>
      </c>
      <c r="U9" s="1">
        <f t="shared" si="5"/>
        <v>1</v>
      </c>
      <c r="V9" s="1">
        <v>0</v>
      </c>
      <c r="W9" s="1">
        <f>IFERROR(VLOOKUP(B9,[4]Hoja1!$A$7:$Y$31,18,0),0)</f>
        <v>0</v>
      </c>
      <c r="X9" s="1">
        <f t="shared" si="6"/>
        <v>0</v>
      </c>
      <c r="Y9" s="1">
        <f>IFERROR(VLOOKUP(B9,[4]Hoja1!$A$7:$Y$31,20,0),0)</f>
        <v>0</v>
      </c>
      <c r="Z9" s="1">
        <f>IFERROR(VLOOKUP(B9,[4]Hoja1!$A$7:$Y$31,21,0),0)</f>
        <v>0</v>
      </c>
      <c r="AA9" s="1">
        <f t="shared" si="7"/>
        <v>0</v>
      </c>
      <c r="AB9" s="1">
        <f>IFERROR(VLOOKUP(B9,[4]Hoja1!$A$7:$Y$31,23,0),0)</f>
        <v>1</v>
      </c>
      <c r="AC9" s="1">
        <v>0</v>
      </c>
      <c r="AD9" s="1">
        <f t="shared" si="8"/>
        <v>1</v>
      </c>
      <c r="AE9" s="1">
        <f t="shared" si="9"/>
        <v>4</v>
      </c>
      <c r="AF9" s="1">
        <f t="shared" si="10"/>
        <v>1</v>
      </c>
      <c r="AG9" s="1">
        <f t="shared" si="11"/>
        <v>5</v>
      </c>
      <c r="AH9" s="1">
        <f t="shared" si="12"/>
        <v>2</v>
      </c>
      <c r="AI9" s="1">
        <f t="shared" si="13"/>
        <v>3</v>
      </c>
      <c r="AJ9" s="1">
        <f>VLOOKUP(B9,[5]SCOPUS!$B$7:$L$31,10,0)</f>
        <v>598</v>
      </c>
      <c r="AK9" s="1" t="str">
        <f t="shared" si="14"/>
        <v>Categoría II</v>
      </c>
      <c r="AL9" s="1" t="str">
        <f t="shared" si="15"/>
        <v>CRUCH-PRIVADACategoría II</v>
      </c>
    </row>
    <row r="10" spans="1:38" x14ac:dyDescent="0.2">
      <c r="A10" s="1" t="s">
        <v>27</v>
      </c>
      <c r="B10" s="1" t="s">
        <v>19</v>
      </c>
      <c r="C10" s="3" t="s">
        <v>29</v>
      </c>
      <c r="D10" s="1">
        <v>0</v>
      </c>
      <c r="E10" s="1">
        <f>IFERROR(VLOOKUP(B10,[4]Hoja1!$A$7:$Y$31,2,0),0)</f>
        <v>1</v>
      </c>
      <c r="F10" s="1">
        <f>D10+E10</f>
        <v>1</v>
      </c>
      <c r="G10" s="1">
        <f>IFERROR(VLOOKUP(B10,[4]Hoja1!$A$7:$Y$31,4,0),0)</f>
        <v>1</v>
      </c>
      <c r="H10" s="1">
        <f>IFERROR(VLOOKUP(B10,[4]Hoja1!$A$7:$Y$31,5,0),0)</f>
        <v>0</v>
      </c>
      <c r="I10" s="1">
        <f>G10+H10</f>
        <v>1</v>
      </c>
      <c r="J10" s="1">
        <f>IFERROR(VLOOKUP(B10,[4]Hoja1!$A$7:$Y$31,7,0),0)</f>
        <v>0</v>
      </c>
      <c r="K10" s="1">
        <f>IFERROR(VLOOKUP(B10,[4]Hoja1!$A$7:$Y$31,8,0),0)</f>
        <v>0</v>
      </c>
      <c r="L10" s="1">
        <f>J10+K10</f>
        <v>0</v>
      </c>
      <c r="M10" s="1">
        <f>IFERROR(VLOOKUP(B10,[4]Hoja1!$A$7:$Y$31,10,0),0)</f>
        <v>0</v>
      </c>
      <c r="N10" s="1">
        <f>IFERROR(VLOOKUP(B10,[4]Hoja1!$A$7:$Y$31,11,0),0)</f>
        <v>0</v>
      </c>
      <c r="O10" s="1">
        <f>M10+N10</f>
        <v>0</v>
      </c>
      <c r="P10" s="1">
        <f>IFERROR(VLOOKUP(B10,[4]Hoja1!$A$7:$Y$31,13,0),0)</f>
        <v>0</v>
      </c>
      <c r="Q10" s="1">
        <f>IFERROR(VLOOKUP(B10,[4]Hoja1!$A$7:$Y$31,14,0),0)</f>
        <v>0</v>
      </c>
      <c r="R10" s="1">
        <f>P10+Q10</f>
        <v>0</v>
      </c>
      <c r="S10" s="1">
        <v>0</v>
      </c>
      <c r="T10" s="1">
        <f>IFERROR(VLOOKUP(B10,[4]Hoja1!$A$7:$Y$31,16,0),0)</f>
        <v>0</v>
      </c>
      <c r="U10" s="1">
        <f>S10+T10</f>
        <v>0</v>
      </c>
      <c r="V10" s="1">
        <v>0</v>
      </c>
      <c r="W10" s="1">
        <f>IFERROR(VLOOKUP(B10,[4]Hoja1!$A$7:$Y$31,18,0),0)</f>
        <v>0</v>
      </c>
      <c r="X10" s="1">
        <f>V10+W10</f>
        <v>0</v>
      </c>
      <c r="Y10" s="1">
        <f>IFERROR(VLOOKUP(B10,[4]Hoja1!$A$7:$Y$31,20,0),0)</f>
        <v>0</v>
      </c>
      <c r="Z10" s="1">
        <f>IFERROR(VLOOKUP(B10,[4]Hoja1!$A$7:$Y$31,21,0),0)</f>
        <v>0</v>
      </c>
      <c r="AA10" s="1">
        <f>Y10+Z10</f>
        <v>0</v>
      </c>
      <c r="AB10" s="1">
        <f>IFERROR(VLOOKUP(B10,[4]Hoja1!$A$7:$Y$31,23,0),0)</f>
        <v>0</v>
      </c>
      <c r="AC10" s="1">
        <v>0</v>
      </c>
      <c r="AD10" s="1">
        <f>AB10+AC10</f>
        <v>0</v>
      </c>
      <c r="AE10" s="1">
        <f>D10+G10+J10+M10+P10+S10+V10+Y10+AB10</f>
        <v>1</v>
      </c>
      <c r="AF10" s="1">
        <f>E10+H10+K10+N10+Q10+T10+W10+Z10+AC10</f>
        <v>1</v>
      </c>
      <c r="AG10" s="1">
        <f>AE10+AF10</f>
        <v>2</v>
      </c>
      <c r="AH10" s="1">
        <f>P10+S10+V10+Y10+AB10+M10</f>
        <v>0</v>
      </c>
      <c r="AI10" s="1">
        <f>AF10+AH10</f>
        <v>1</v>
      </c>
      <c r="AJ10" s="1">
        <f>VLOOKUP(B10,[5]SCOPUS!$B$7:$L$31,10,0)</f>
        <v>121</v>
      </c>
      <c r="AK10" s="1" t="str">
        <f t="shared" si="14"/>
        <v>Categoría II</v>
      </c>
      <c r="AL10" s="1" t="str">
        <f t="shared" si="15"/>
        <v>CRUCH-PRIVADACategoría II</v>
      </c>
    </row>
    <row r="11" spans="1:38" x14ac:dyDescent="0.2">
      <c r="A11" s="1" t="s">
        <v>32</v>
      </c>
      <c r="B11" s="1" t="s">
        <v>31</v>
      </c>
      <c r="C11" s="3" t="s">
        <v>29</v>
      </c>
      <c r="D11" s="1">
        <v>0</v>
      </c>
      <c r="E11" s="1">
        <f>IFERROR(VLOOKUP(B11,[4]Hoja1!$A$7:$Y$31,2,0),0)</f>
        <v>0</v>
      </c>
      <c r="F11" s="1">
        <f t="shared" si="0"/>
        <v>0</v>
      </c>
      <c r="G11" s="1">
        <f>IFERROR(VLOOKUP(B11,[4]Hoja1!$A$7:$Y$31,4,0),0)</f>
        <v>1</v>
      </c>
      <c r="H11" s="1">
        <f>IFERROR(VLOOKUP(B11,[4]Hoja1!$A$7:$Y$31,5,0),0)</f>
        <v>0</v>
      </c>
      <c r="I11" s="1">
        <f t="shared" si="1"/>
        <v>1</v>
      </c>
      <c r="J11" s="1">
        <f>IFERROR(VLOOKUP(B11,[4]Hoja1!$A$7:$Y$31,7,0),0)</f>
        <v>0</v>
      </c>
      <c r="K11" s="1">
        <f>IFERROR(VLOOKUP(B11,[4]Hoja1!$A$7:$Y$31,8,0),0)</f>
        <v>0</v>
      </c>
      <c r="L11" s="1">
        <f t="shared" si="2"/>
        <v>0</v>
      </c>
      <c r="M11" s="1">
        <f>IFERROR(VLOOKUP(B11,[4]Hoja1!$A$7:$Y$31,10,0),0)</f>
        <v>0</v>
      </c>
      <c r="N11" s="1">
        <f>IFERROR(VLOOKUP(B11,[4]Hoja1!$A$7:$Y$31,11,0),0)</f>
        <v>0</v>
      </c>
      <c r="O11" s="1">
        <f t="shared" si="3"/>
        <v>0</v>
      </c>
      <c r="P11" s="1">
        <f>IFERROR(VLOOKUP(B11,[4]Hoja1!$A$7:$Y$31,13,0),0)</f>
        <v>0</v>
      </c>
      <c r="Q11" s="1">
        <f>IFERROR(VLOOKUP(B11,[4]Hoja1!$A$7:$Y$31,14,0),0)</f>
        <v>0</v>
      </c>
      <c r="R11" s="1">
        <f t="shared" si="4"/>
        <v>0</v>
      </c>
      <c r="S11" s="1">
        <v>0</v>
      </c>
      <c r="T11" s="1">
        <f>IFERROR(VLOOKUP(B11,[4]Hoja1!$A$7:$Y$31,16,0),0)</f>
        <v>0</v>
      </c>
      <c r="U11" s="1">
        <f t="shared" si="5"/>
        <v>0</v>
      </c>
      <c r="V11" s="1">
        <v>0</v>
      </c>
      <c r="W11" s="1">
        <f>IFERROR(VLOOKUP(B11,[4]Hoja1!$A$7:$Y$31,18,0),0)</f>
        <v>0</v>
      </c>
      <c r="X11" s="1">
        <f t="shared" si="6"/>
        <v>0</v>
      </c>
      <c r="Y11" s="1">
        <f>IFERROR(VLOOKUP(B11,[4]Hoja1!$A$7:$Y$31,20,0),0)</f>
        <v>0</v>
      </c>
      <c r="Z11" s="1">
        <f>IFERROR(VLOOKUP(B11,[4]Hoja1!$A$7:$Y$31,21,0),0)</f>
        <v>0</v>
      </c>
      <c r="AA11" s="1">
        <f t="shared" si="7"/>
        <v>0</v>
      </c>
      <c r="AB11" s="1">
        <f>IFERROR(VLOOKUP(B11,[4]Hoja1!$A$7:$Y$31,23,0),0)</f>
        <v>0</v>
      </c>
      <c r="AC11" s="1">
        <v>0</v>
      </c>
      <c r="AD11" s="1">
        <f t="shared" si="8"/>
        <v>0</v>
      </c>
      <c r="AE11" s="1">
        <f t="shared" si="9"/>
        <v>1</v>
      </c>
      <c r="AF11" s="1">
        <f t="shared" si="10"/>
        <v>0</v>
      </c>
      <c r="AG11" s="1">
        <f t="shared" si="11"/>
        <v>1</v>
      </c>
      <c r="AH11" s="1">
        <f t="shared" si="12"/>
        <v>0</v>
      </c>
      <c r="AI11" s="1">
        <f t="shared" si="13"/>
        <v>0</v>
      </c>
      <c r="AJ11" s="1">
        <f>VLOOKUP(B11,[5]SCOPUS!$B$7:$L$31,10,0)</f>
        <v>95</v>
      </c>
      <c r="AK11" s="1" t="str">
        <f t="shared" si="14"/>
        <v>Categoría III</v>
      </c>
      <c r="AL11" s="1" t="str">
        <f t="shared" si="15"/>
        <v>CRUCH-PRIVADACategoría III</v>
      </c>
    </row>
    <row r="12" spans="1:38" x14ac:dyDescent="0.2">
      <c r="A12" s="1" t="s">
        <v>33</v>
      </c>
      <c r="B12" s="1" t="s">
        <v>30</v>
      </c>
      <c r="C12" s="3" t="s">
        <v>29</v>
      </c>
      <c r="D12" s="1">
        <v>0</v>
      </c>
      <c r="E12" s="1">
        <f>IFERROR(VLOOKUP(B12,[4]Hoja1!$A$7:$Y$31,2,0),0)</f>
        <v>0</v>
      </c>
      <c r="F12" s="1">
        <f t="shared" si="0"/>
        <v>0</v>
      </c>
      <c r="G12" s="1">
        <f>IFERROR(VLOOKUP(B12,[4]Hoja1!$A$7:$Y$31,4,0),0)</f>
        <v>1</v>
      </c>
      <c r="H12" s="1">
        <f>IFERROR(VLOOKUP(B12,[4]Hoja1!$A$7:$Y$31,5,0),0)</f>
        <v>0</v>
      </c>
      <c r="I12" s="1">
        <f t="shared" si="1"/>
        <v>1</v>
      </c>
      <c r="J12" s="1">
        <f>IFERROR(VLOOKUP(B12,[4]Hoja1!$A$7:$Y$31,7,0),0)</f>
        <v>0</v>
      </c>
      <c r="K12" s="1">
        <f>IFERROR(VLOOKUP(B12,[4]Hoja1!$A$7:$Y$31,8,0),0)</f>
        <v>0</v>
      </c>
      <c r="L12" s="1">
        <f t="shared" si="2"/>
        <v>0</v>
      </c>
      <c r="M12" s="1">
        <f>IFERROR(VLOOKUP(B12,[4]Hoja1!$A$7:$Y$31,10,0),0)</f>
        <v>0</v>
      </c>
      <c r="N12" s="1">
        <f>IFERROR(VLOOKUP(B12,[4]Hoja1!$A$7:$Y$31,11,0),0)</f>
        <v>0</v>
      </c>
      <c r="O12" s="1">
        <f t="shared" si="3"/>
        <v>0</v>
      </c>
      <c r="P12" s="1">
        <f>IFERROR(VLOOKUP(B12,[4]Hoja1!$A$7:$Y$31,13,0),0)</f>
        <v>0</v>
      </c>
      <c r="Q12" s="1">
        <f>IFERROR(VLOOKUP(B12,[4]Hoja1!$A$7:$Y$31,14,0),0)</f>
        <v>0</v>
      </c>
      <c r="R12" s="1">
        <f t="shared" si="4"/>
        <v>0</v>
      </c>
      <c r="S12" s="1">
        <v>0</v>
      </c>
      <c r="T12" s="1">
        <f>IFERROR(VLOOKUP(B12,[4]Hoja1!$A$7:$Y$31,16,0),0)</f>
        <v>0</v>
      </c>
      <c r="U12" s="1">
        <f t="shared" si="5"/>
        <v>0</v>
      </c>
      <c r="V12" s="1">
        <v>0</v>
      </c>
      <c r="W12" s="1">
        <f>IFERROR(VLOOKUP(B12,[4]Hoja1!$A$7:$Y$31,18,0),0)</f>
        <v>0</v>
      </c>
      <c r="X12" s="1">
        <f t="shared" si="6"/>
        <v>0</v>
      </c>
      <c r="Y12" s="1">
        <f>IFERROR(VLOOKUP(B12,[4]Hoja1!$A$7:$Y$31,20,0),0)</f>
        <v>0</v>
      </c>
      <c r="Z12" s="1">
        <f>IFERROR(VLOOKUP(B12,[4]Hoja1!$A$7:$Y$31,21,0),0)</f>
        <v>0</v>
      </c>
      <c r="AA12" s="1">
        <f t="shared" si="7"/>
        <v>0</v>
      </c>
      <c r="AB12" s="1">
        <f>IFERROR(VLOOKUP(B12,[4]Hoja1!$A$7:$Y$31,23,0),0)</f>
        <v>0</v>
      </c>
      <c r="AC12" s="1">
        <v>0</v>
      </c>
      <c r="AD12" s="1">
        <f t="shared" si="8"/>
        <v>0</v>
      </c>
      <c r="AE12" s="1">
        <f t="shared" si="9"/>
        <v>1</v>
      </c>
      <c r="AF12" s="1">
        <f t="shared" si="10"/>
        <v>0</v>
      </c>
      <c r="AG12" s="1">
        <f t="shared" si="11"/>
        <v>1</v>
      </c>
      <c r="AH12" s="1">
        <f t="shared" si="12"/>
        <v>0</v>
      </c>
      <c r="AI12" s="1">
        <f t="shared" si="13"/>
        <v>0</v>
      </c>
      <c r="AJ12" s="1">
        <f>VLOOKUP(B12,[5]SCOPUS!$B$7:$L$31,10,0)</f>
        <v>83</v>
      </c>
      <c r="AK12" s="1" t="str">
        <f t="shared" si="14"/>
        <v>Categoría III</v>
      </c>
      <c r="AL12" s="1" t="str">
        <f t="shared" si="15"/>
        <v>CRUCH-PRIVADACategoría III</v>
      </c>
    </row>
    <row r="13" spans="1:38" x14ac:dyDescent="0.2">
      <c r="A13" s="1"/>
      <c r="B13" s="1"/>
      <c r="C13" s="3" t="s">
        <v>9</v>
      </c>
      <c r="D13" s="1">
        <f t="shared" ref="D13:AJ13" si="16">SUM(D4:D12)</f>
        <v>0</v>
      </c>
      <c r="E13" s="1">
        <f t="shared" si="16"/>
        <v>7</v>
      </c>
      <c r="F13" s="1">
        <f t="shared" si="16"/>
        <v>7</v>
      </c>
      <c r="G13" s="1">
        <f t="shared" si="16"/>
        <v>3</v>
      </c>
      <c r="H13" s="1">
        <f t="shared" si="16"/>
        <v>16</v>
      </c>
      <c r="I13" s="1">
        <f t="shared" si="16"/>
        <v>19</v>
      </c>
      <c r="J13" s="1">
        <f t="shared" si="16"/>
        <v>3</v>
      </c>
      <c r="K13" s="1">
        <f t="shared" si="16"/>
        <v>11</v>
      </c>
      <c r="L13" s="1">
        <f t="shared" si="16"/>
        <v>14</v>
      </c>
      <c r="M13" s="1">
        <f t="shared" si="16"/>
        <v>1</v>
      </c>
      <c r="N13" s="1">
        <f t="shared" si="16"/>
        <v>12</v>
      </c>
      <c r="O13" s="1">
        <f t="shared" si="16"/>
        <v>13</v>
      </c>
      <c r="P13" s="1">
        <f t="shared" si="16"/>
        <v>6</v>
      </c>
      <c r="Q13" s="1">
        <f t="shared" si="16"/>
        <v>8</v>
      </c>
      <c r="R13" s="1">
        <f t="shared" si="16"/>
        <v>14</v>
      </c>
      <c r="S13" s="1">
        <f t="shared" si="16"/>
        <v>0</v>
      </c>
      <c r="T13" s="1">
        <f t="shared" si="16"/>
        <v>13</v>
      </c>
      <c r="U13" s="1">
        <f t="shared" si="16"/>
        <v>13</v>
      </c>
      <c r="V13" s="1">
        <f t="shared" si="16"/>
        <v>0</v>
      </c>
      <c r="W13" s="1">
        <f t="shared" si="16"/>
        <v>6</v>
      </c>
      <c r="X13" s="1">
        <f t="shared" si="16"/>
        <v>6</v>
      </c>
      <c r="Y13" s="1">
        <f t="shared" si="16"/>
        <v>0</v>
      </c>
      <c r="Z13" s="1">
        <f t="shared" si="16"/>
        <v>1</v>
      </c>
      <c r="AA13" s="1">
        <f t="shared" si="16"/>
        <v>1</v>
      </c>
      <c r="AB13" s="1">
        <f t="shared" si="16"/>
        <v>2</v>
      </c>
      <c r="AC13" s="1">
        <f t="shared" si="16"/>
        <v>0</v>
      </c>
      <c r="AD13" s="1">
        <f t="shared" si="16"/>
        <v>2</v>
      </c>
      <c r="AE13" s="1">
        <f t="shared" si="16"/>
        <v>15</v>
      </c>
      <c r="AF13" s="1">
        <f t="shared" si="16"/>
        <v>74</v>
      </c>
      <c r="AG13" s="1">
        <f t="shared" si="16"/>
        <v>89</v>
      </c>
      <c r="AH13" s="1">
        <f t="shared" si="16"/>
        <v>9</v>
      </c>
      <c r="AI13" s="1">
        <f t="shared" si="16"/>
        <v>83</v>
      </c>
      <c r="AJ13" s="1">
        <f t="shared" si="16"/>
        <v>5661</v>
      </c>
      <c r="AK13" s="1"/>
    </row>
    <row r="16" spans="1:38" x14ac:dyDescent="0.2">
      <c r="A16" s="15" t="s">
        <v>68</v>
      </c>
      <c r="B16" s="15" t="s">
        <v>74</v>
      </c>
      <c r="C16" s="15" t="s">
        <v>72</v>
      </c>
      <c r="D16" s="15" t="s">
        <v>77</v>
      </c>
      <c r="E16" s="15" t="s">
        <v>91</v>
      </c>
      <c r="F16" s="15"/>
    </row>
    <row r="17" spans="1:6" x14ac:dyDescent="0.2">
      <c r="A17" s="1" t="s">
        <v>69</v>
      </c>
      <c r="B17" s="1">
        <f>COUNTIF($AL$3:$AL$12,A17)</f>
        <v>2</v>
      </c>
      <c r="C17" s="1">
        <f>(3*$B$17)+(2*$B$18)+$B$19</f>
        <v>18</v>
      </c>
      <c r="D17" s="88">
        <f>($B$23*3*B17)/C17</f>
        <v>6621277.5</v>
      </c>
      <c r="E17" s="88">
        <f>ROUND(D17,0)</f>
        <v>6621278</v>
      </c>
      <c r="F17" s="13"/>
    </row>
    <row r="18" spans="1:6" x14ac:dyDescent="0.2">
      <c r="A18" s="1" t="s">
        <v>70</v>
      </c>
      <c r="B18" s="1">
        <f>COUNTIF($AL$3:$AL$12,A18)</f>
        <v>5</v>
      </c>
      <c r="C18" s="1">
        <f>(3*$B$17)+(2*$B$18)+$B$19</f>
        <v>18</v>
      </c>
      <c r="D18" s="88">
        <f>($B$23*2*B18)/C18</f>
        <v>11035462.5</v>
      </c>
      <c r="E18" s="88">
        <f>ROUND(D18,0)</f>
        <v>11035463</v>
      </c>
      <c r="F18" s="13"/>
    </row>
    <row r="19" spans="1:6" x14ac:dyDescent="0.2">
      <c r="A19" s="1" t="s">
        <v>71</v>
      </c>
      <c r="B19" s="1">
        <f>COUNTIF($AL$3:$AL$12,A19)</f>
        <v>2</v>
      </c>
      <c r="C19" s="1">
        <f>(3*$B$17)+(2*$B$18)+$B$19</f>
        <v>18</v>
      </c>
      <c r="D19" s="88">
        <f>($B$23*1*B19)/C19</f>
        <v>2207092.5</v>
      </c>
      <c r="E19" s="88">
        <f>ROUND(D19,0)</f>
        <v>2207093</v>
      </c>
      <c r="F19" s="13"/>
    </row>
    <row r="20" spans="1:6" x14ac:dyDescent="0.2">
      <c r="A20" s="1"/>
      <c r="B20" s="1">
        <f>SUM(B17:B19)</f>
        <v>9</v>
      </c>
      <c r="C20" s="1"/>
      <c r="D20" s="89">
        <f>SUM(D17:D19)</f>
        <v>19863832.5</v>
      </c>
      <c r="E20" s="89">
        <f>SUM(E17:E19)</f>
        <v>19863834</v>
      </c>
      <c r="F20" s="14"/>
    </row>
    <row r="22" spans="1:6" x14ac:dyDescent="0.2">
      <c r="A22" s="15" t="s">
        <v>75</v>
      </c>
      <c r="B22" s="15" t="s">
        <v>76</v>
      </c>
    </row>
    <row r="23" spans="1:6" x14ac:dyDescent="0.2">
      <c r="A23" s="1" t="s">
        <v>29</v>
      </c>
      <c r="B23" s="97">
        <v>19863832.5</v>
      </c>
    </row>
    <row r="24" spans="1:6" x14ac:dyDescent="0.2">
      <c r="B24" s="14"/>
    </row>
  </sheetData>
  <autoFilter ref="A3:AL13"/>
  <pageMargins left="0.70866141732283472" right="0.70866141732283472" top="0.74803149606299213" bottom="0.74803149606299213" header="0.31496062992125984" footer="0.31496062992125984"/>
  <pageSetup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0"/>
  <sheetViews>
    <sheetView workbookViewId="0">
      <selection activeCell="E3" sqref="E3"/>
    </sheetView>
  </sheetViews>
  <sheetFormatPr baseColWidth="10" defaultRowHeight="15" x14ac:dyDescent="0.2"/>
  <cols>
    <col min="1" max="1" width="46.5" bestFit="1" customWidth="1"/>
    <col min="4" max="4" width="12.83203125" customWidth="1"/>
  </cols>
  <sheetData>
    <row r="2" spans="1:27" x14ac:dyDescent="0.2">
      <c r="E2" s="167">
        <v>1</v>
      </c>
      <c r="F2" s="167">
        <v>2</v>
      </c>
      <c r="G2" s="167">
        <v>3</v>
      </c>
      <c r="H2" s="167">
        <v>4</v>
      </c>
      <c r="I2" s="167">
        <v>5</v>
      </c>
      <c r="J2" s="167">
        <v>6</v>
      </c>
      <c r="K2" s="167">
        <v>7</v>
      </c>
      <c r="L2" s="167">
        <v>8</v>
      </c>
      <c r="M2" s="167">
        <v>9</v>
      </c>
      <c r="N2" s="167">
        <v>10</v>
      </c>
      <c r="O2" s="167">
        <v>11</v>
      </c>
      <c r="P2" s="167">
        <v>12</v>
      </c>
      <c r="Q2" s="167">
        <v>13</v>
      </c>
      <c r="R2" s="167">
        <v>14</v>
      </c>
      <c r="S2" s="167">
        <v>15</v>
      </c>
      <c r="T2" s="167">
        <v>16</v>
      </c>
      <c r="U2" s="167">
        <v>17</v>
      </c>
      <c r="V2" s="167">
        <v>18</v>
      </c>
      <c r="W2" s="167">
        <v>19</v>
      </c>
      <c r="X2" s="167">
        <v>20</v>
      </c>
      <c r="Y2" s="167">
        <v>21</v>
      </c>
    </row>
    <row r="3" spans="1:27" ht="33" x14ac:dyDescent="0.2">
      <c r="A3" s="30" t="s">
        <v>20</v>
      </c>
      <c r="B3" s="30" t="s">
        <v>10</v>
      </c>
      <c r="C3" s="30" t="s">
        <v>28</v>
      </c>
      <c r="D3" s="15" t="s">
        <v>39</v>
      </c>
      <c r="E3" s="49" t="s">
        <v>101</v>
      </c>
      <c r="F3" s="49" t="s">
        <v>102</v>
      </c>
      <c r="G3" s="49" t="s">
        <v>103</v>
      </c>
      <c r="H3" s="50" t="s">
        <v>104</v>
      </c>
      <c r="I3" s="49" t="s">
        <v>105</v>
      </c>
      <c r="J3" s="49" t="s">
        <v>106</v>
      </c>
      <c r="K3" s="4" t="s">
        <v>109</v>
      </c>
      <c r="L3" s="5" t="s">
        <v>110</v>
      </c>
      <c r="M3" s="5" t="s">
        <v>111</v>
      </c>
      <c r="N3" s="6" t="s">
        <v>112</v>
      </c>
      <c r="O3" s="7" t="s">
        <v>113</v>
      </c>
      <c r="P3" s="8" t="s">
        <v>114</v>
      </c>
      <c r="Q3" s="7" t="s">
        <v>115</v>
      </c>
      <c r="R3" s="8" t="s">
        <v>116</v>
      </c>
      <c r="S3" s="7" t="s">
        <v>117</v>
      </c>
      <c r="T3" s="51" t="s">
        <v>118</v>
      </c>
      <c r="U3" s="9" t="s">
        <v>40</v>
      </c>
      <c r="V3" s="9" t="s">
        <v>95</v>
      </c>
      <c r="W3" s="51" t="s">
        <v>119</v>
      </c>
      <c r="X3" s="10" t="s">
        <v>120</v>
      </c>
      <c r="Y3" s="10" t="s">
        <v>96</v>
      </c>
    </row>
    <row r="4" spans="1:27" x14ac:dyDescent="0.2">
      <c r="A4" s="61" t="str">
        <f>Categorías!A4</f>
        <v>PONTIFICIA UNIVERSIDAD CATÓLICA DE CHILE</v>
      </c>
      <c r="B4" s="61" t="str">
        <f>Categorías!B4</f>
        <v>PUC</v>
      </c>
      <c r="C4" s="62" t="str">
        <f>Categorías!C4</f>
        <v>CRUCH-PRIVADA</v>
      </c>
      <c r="D4" s="61" t="str">
        <f>Categorías!AK4</f>
        <v>Categoría I</v>
      </c>
      <c r="E4" s="60">
        <f>IFERROR(VLOOKUP(B4,'[6]Indicador a)'!$D$2:$G$60,3,0),0)</f>
        <v>1547</v>
      </c>
      <c r="F4" s="60">
        <f>IFERROR(VLOOKUP(B4,'[6]Indicador a)'!$D$2:$G$60,4,0),0)</f>
        <v>32795</v>
      </c>
      <c r="G4" s="60">
        <f>IFERROR(VLOOKUP(B4,'[6]Indicador b)'!$D$2:$G$60,3,0),0)</f>
        <v>1008.2046021222045</v>
      </c>
      <c r="H4" s="60">
        <f>IFERROR(VLOOKUP(B4,'[6]Indicador b)'!$D$2:$G$60,4,0),0)</f>
        <v>2197.0455112130708</v>
      </c>
      <c r="I4" s="60">
        <f>IFERROR(VLOOKUP(B4,'[6]Indicador c)'!$D$2:$H$60,4,0),0)</f>
        <v>502.74999999999977</v>
      </c>
      <c r="J4" s="60">
        <f>IFERROR(VLOOKUP(B4,'[6]Indicador c)'!$D$2:$H$60,5,0),0)</f>
        <v>404.74999999999994</v>
      </c>
      <c r="K4" s="60">
        <f>IFERROR(VLOOKUP(B4,[5]SCOPUS!$B$6:$K$31,10,0),0)</f>
        <v>2233</v>
      </c>
      <c r="L4" s="60">
        <f>IFERROR(VLOOKUP(B4,[5]SCOPUS!$B$7:$N$31,13,0),0)</f>
        <v>80381</v>
      </c>
      <c r="M4" s="60">
        <f>IFERROR(VLOOKUP(B4,[5]SCOPUS!$B$7:$N$31,12,0),0)</f>
        <v>9718</v>
      </c>
      <c r="N4" s="63">
        <f>IFERROR(VLOOKUP(B4,'[6]Indicador g)'!$F$7:$W$55,18,0),0)</f>
        <v>1515</v>
      </c>
      <c r="O4" s="63">
        <f>IFERROR(VLOOKUP(B4,'[6]Indicador g)'!$F$7:$W$55,13,0),0)</f>
        <v>5482</v>
      </c>
      <c r="P4" s="63">
        <f>IFERROR(VLOOKUP(B4,'[6]Indicador h)'!$E$10:$U$57,17,0),0)</f>
        <v>4667</v>
      </c>
      <c r="Q4" s="63">
        <f>IFERROR(VLOOKUP(B4,'[6]Indicador h)'!$E$10:$U$57,12,0),0)</f>
        <v>5274</v>
      </c>
      <c r="R4" s="64">
        <f>IFERROR(VLOOKUP(B4,'[6]Indicador i.1)'!$D$10:$T$57,17,0),0)</f>
        <v>3906</v>
      </c>
      <c r="S4" s="64">
        <f>IFERROR(VLOOKUP(B4,'[6]Indicador i.1)'!$D$10:$T$57,12,0),0)</f>
        <v>5207</v>
      </c>
      <c r="T4" s="60">
        <f>IFERROR(VLOOKUP(B4,'[6]Indicador j)'!$F$8:$O$27,10,0),0)</f>
        <v>37</v>
      </c>
      <c r="U4" s="60">
        <v>152</v>
      </c>
      <c r="V4" s="60">
        <v>184</v>
      </c>
      <c r="W4" s="60">
        <f>IFERROR(VLOOKUP(B4,'[6]Indicador j)'!$F$8:$M$27,3,0),0)</f>
        <v>169</v>
      </c>
      <c r="X4" s="60">
        <f>IFERROR(VLOOKUP(B4,'[7]Tablas al 2016'!$A$64:$L$81,12,0),0)</f>
        <v>11</v>
      </c>
      <c r="Y4" s="60">
        <f>IFERROR(VLOOKUP(B4,[8]Valores!$B$4:$X$33,23,0),0)</f>
        <v>13</v>
      </c>
      <c r="Z4" s="65"/>
      <c r="AA4" s="66"/>
    </row>
    <row r="5" spans="1:27" x14ac:dyDescent="0.2">
      <c r="A5" s="61" t="str">
        <f>Categorías!A5</f>
        <v>UNIVERSIDAD DE CONCEPCIÓN</v>
      </c>
      <c r="B5" s="61" t="str">
        <f>Categorías!B5</f>
        <v>UCO</v>
      </c>
      <c r="C5" s="62" t="str">
        <f>Categorías!C5</f>
        <v>CRUCH-PRIVADA</v>
      </c>
      <c r="D5" s="61" t="str">
        <f>Categorías!AK5</f>
        <v>Categoría I</v>
      </c>
      <c r="E5" s="60">
        <f>IFERROR(VLOOKUP(B5,'[6]Indicador a)'!$D$2:$G$60,3,0),0)</f>
        <v>1106</v>
      </c>
      <c r="F5" s="60">
        <f>IFERROR(VLOOKUP(B5,'[6]Indicador a)'!$D$2:$G$60,4,0),0)</f>
        <v>27044</v>
      </c>
      <c r="G5" s="60">
        <f>IFERROR(VLOOKUP(B5,'[6]Indicador b)'!$D$2:$G$60,3,0),0)</f>
        <v>712.93181818181824</v>
      </c>
      <c r="H5" s="60">
        <f>IFERROR(VLOOKUP(B5,'[6]Indicador b)'!$D$2:$G$60,4,0),0)</f>
        <v>1406.4775000000002</v>
      </c>
      <c r="I5" s="60">
        <f>IFERROR(VLOOKUP(B5,'[6]Indicador c)'!$D$2:$H$60,4,0),0)</f>
        <v>398.74999999999983</v>
      </c>
      <c r="J5" s="60">
        <f>IFERROR(VLOOKUP(B5,'[6]Indicador c)'!$D$2:$H$60,5,0),0)</f>
        <v>89.522954545454382</v>
      </c>
      <c r="K5" s="60">
        <f>IFERROR(VLOOKUP(B5,[5]SCOPUS!$B$6:$K$31,10,0),0)</f>
        <v>1085</v>
      </c>
      <c r="L5" s="60">
        <f>IFERROR(VLOOKUP(B5,[5]SCOPUS!$B$7:$N$31,13,0),0)</f>
        <v>28511</v>
      </c>
      <c r="M5" s="60">
        <f>IFERROR(VLOOKUP(B5,[5]SCOPUS!$B$7:$N$31,12,0),0)</f>
        <v>4892</v>
      </c>
      <c r="N5" s="63">
        <f>IFERROR(VLOOKUP(B5,'[6]Indicador g)'!$F$7:$W$55,18,0),0)</f>
        <v>3320</v>
      </c>
      <c r="O5" s="63">
        <f>IFERROR(VLOOKUP(B5,'[6]Indicador g)'!$F$7:$W$55,13,0),0)</f>
        <v>5002</v>
      </c>
      <c r="P5" s="63">
        <f>IFERROR(VLOOKUP(B5,'[6]Indicador h)'!$E$10:$U$57,17,0),0)</f>
        <v>3900</v>
      </c>
      <c r="Q5" s="63">
        <f>IFERROR(VLOOKUP(B5,'[6]Indicador h)'!$E$10:$U$57,12,0),0)</f>
        <v>4875</v>
      </c>
      <c r="R5" s="64">
        <f>IFERROR(VLOOKUP(B5,'[6]Indicador i.1)'!$D$10:$T$57,17,0),0)</f>
        <v>3348</v>
      </c>
      <c r="S5" s="64">
        <f>IFERROR(VLOOKUP(B5,'[6]Indicador i.1)'!$D$10:$T$57,12,0),0)</f>
        <v>4990</v>
      </c>
      <c r="T5" s="60">
        <f>IFERROR(VLOOKUP(B5,'[6]Indicador j)'!$F$8:$O$27,10,0),0)</f>
        <v>15</v>
      </c>
      <c r="U5" s="60">
        <v>97</v>
      </c>
      <c r="V5" s="60">
        <v>105</v>
      </c>
      <c r="W5" s="60">
        <f>IFERROR(VLOOKUP(B5,'[6]Indicador j)'!$F$8:$M$27,3,0),0)</f>
        <v>88</v>
      </c>
      <c r="X5" s="60">
        <f>IFERROR(VLOOKUP(B5,'[7]Tablas al 2016'!$A$64:$L$81,12,0),0)</f>
        <v>6</v>
      </c>
      <c r="Y5" s="60">
        <f>IFERROR(VLOOKUP(B5,[8]Valores!$B$4:$X$33,23,0),0)</f>
        <v>8</v>
      </c>
      <c r="Z5" s="65"/>
      <c r="AA5" s="66"/>
    </row>
    <row r="6" spans="1:27" x14ac:dyDescent="0.2">
      <c r="A6" s="61" t="str">
        <f>Categorías!A6</f>
        <v>PONTIFICIA UNIVERSIDAD CATÓLICA DE VALPARAÍSO</v>
      </c>
      <c r="B6" s="61" t="str">
        <f>Categorías!B6</f>
        <v>UCV</v>
      </c>
      <c r="C6" s="62" t="str">
        <f>Categorías!C6</f>
        <v>CRUCH-PRIVADA</v>
      </c>
      <c r="D6" s="61" t="str">
        <f>Categorías!AK6</f>
        <v>Categoría II</v>
      </c>
      <c r="E6" s="60">
        <f>IFERROR(VLOOKUP(B6,'[6]Indicador a)'!$D$2:$G$60,3,0),0)</f>
        <v>494</v>
      </c>
      <c r="F6" s="60">
        <f>IFERROR(VLOOKUP(B6,'[6]Indicador a)'!$D$2:$G$60,4,0),0)</f>
        <v>15494</v>
      </c>
      <c r="G6" s="60">
        <f>IFERROR(VLOOKUP(B6,'[6]Indicador b)'!$D$2:$G$60,3,0),0)</f>
        <v>363.26727272727271</v>
      </c>
      <c r="H6" s="60">
        <f>IFERROR(VLOOKUP(B6,'[6]Indicador b)'!$D$2:$G$60,4,0),0)</f>
        <v>629.42090909092508</v>
      </c>
      <c r="I6" s="60">
        <f>IFERROR(VLOOKUP(B6,'[6]Indicador c)'!$D$2:$H$60,4,0),0)</f>
        <v>151.25590909090971</v>
      </c>
      <c r="J6" s="60">
        <f>IFERROR(VLOOKUP(B6,'[6]Indicador c)'!$D$2:$H$60,5,0),0)</f>
        <v>0.5625</v>
      </c>
      <c r="K6" s="60">
        <f>IFERROR(VLOOKUP(B6,[5]SCOPUS!$B$6:$K$31,10,0),0)</f>
        <v>619</v>
      </c>
      <c r="L6" s="60">
        <f>IFERROR(VLOOKUP(B6,[5]SCOPUS!$B$7:$N$31,13,0),0)</f>
        <v>9016</v>
      </c>
      <c r="M6" s="60">
        <f>IFERROR(VLOOKUP(B6,[5]SCOPUS!$B$7:$N$31,12,0),0)</f>
        <v>2285</v>
      </c>
      <c r="N6" s="63">
        <f>IFERROR(VLOOKUP(B6,'[6]Indicador g)'!$F$7:$W$55,18,0),0)</f>
        <v>1937</v>
      </c>
      <c r="O6" s="63">
        <f>IFERROR(VLOOKUP(B6,'[6]Indicador g)'!$F$7:$W$55,13,0),0)</f>
        <v>3403</v>
      </c>
      <c r="P6" s="63">
        <f>IFERROR(VLOOKUP(B6,'[6]Indicador h)'!$E$10:$U$57,17,0),0)</f>
        <v>2626</v>
      </c>
      <c r="Q6" s="63">
        <f>IFERROR(VLOOKUP(B6,'[6]Indicador h)'!$E$10:$U$57,12,0),0)</f>
        <v>3285</v>
      </c>
      <c r="R6" s="64">
        <f>IFERROR(VLOOKUP(B6,'[6]Indicador i.1)'!$D$10:$T$57,17,0),0)</f>
        <v>1828</v>
      </c>
      <c r="S6" s="64">
        <f>IFERROR(VLOOKUP(B6,'[6]Indicador i.1)'!$D$10:$T$57,12,0),0)</f>
        <v>3204</v>
      </c>
      <c r="T6" s="60">
        <f>IFERROR(VLOOKUP(B6,'[6]Indicador j)'!$F$8:$O$27,10,0),0)</f>
        <v>3</v>
      </c>
      <c r="U6" s="60">
        <v>41</v>
      </c>
      <c r="V6" s="60">
        <v>56</v>
      </c>
      <c r="W6" s="60">
        <f>IFERROR(VLOOKUP(B6,'[6]Indicador j)'!$F$8:$M$27,3,0),0)</f>
        <v>37</v>
      </c>
      <c r="X6" s="60">
        <f>IFERROR(VLOOKUP(B6,'[7]Tablas al 2016'!$A$64:$L$81,12,0),0)</f>
        <v>2</v>
      </c>
      <c r="Y6" s="60">
        <f>IFERROR(VLOOKUP(B6,[8]Valores!$B$4:$X$33,23,0),0)</f>
        <v>1</v>
      </c>
      <c r="Z6" s="65"/>
      <c r="AA6" s="66"/>
    </row>
    <row r="7" spans="1:27" x14ac:dyDescent="0.2">
      <c r="A7" s="61" t="str">
        <f>Categorías!A7</f>
        <v>UNIVERSIDAD AUSTRAL DE CHILE</v>
      </c>
      <c r="B7" s="61" t="str">
        <f>Categorías!B7</f>
        <v>AUS</v>
      </c>
      <c r="C7" s="62" t="str">
        <f>Categorías!C7</f>
        <v>CRUCH-PRIVADA</v>
      </c>
      <c r="D7" s="61" t="str">
        <f>Categorías!AK7</f>
        <v>Categoría II</v>
      </c>
      <c r="E7" s="60">
        <f>IFERROR(VLOOKUP(B7,'[6]Indicador a)'!$D$2:$G$60,3,0),0)</f>
        <v>765</v>
      </c>
      <c r="F7" s="60">
        <f>IFERROR(VLOOKUP(B7,'[6]Indicador a)'!$D$2:$G$60,4,0),0)</f>
        <v>14472</v>
      </c>
      <c r="G7" s="60">
        <f>IFERROR(VLOOKUP(B7,'[6]Indicador b)'!$D$2:$G$60,3,0),0)</f>
        <v>370.52272727272725</v>
      </c>
      <c r="H7" s="60">
        <f>IFERROR(VLOOKUP(B7,'[6]Indicador b)'!$D$2:$G$60,4,0),0)</f>
        <v>983.18181818181677</v>
      </c>
      <c r="I7" s="60">
        <f>IFERROR(VLOOKUP(B7,'[6]Indicador c)'!$D$2:$H$60,4,0),0)</f>
        <v>257.27272727272737</v>
      </c>
      <c r="J7" s="60">
        <f>IFERROR(VLOOKUP(B7,'[6]Indicador c)'!$D$2:$H$60,5,0),0)</f>
        <v>69.590909090909079</v>
      </c>
      <c r="K7" s="60">
        <f>IFERROR(VLOOKUP(B7,[5]SCOPUS!$B$6:$K$31,10,0),0)</f>
        <v>522</v>
      </c>
      <c r="L7" s="60">
        <f>IFERROR(VLOOKUP(B7,[5]SCOPUS!$B$7:$N$31,13,0),0)</f>
        <v>12845</v>
      </c>
      <c r="M7" s="60">
        <f>IFERROR(VLOOKUP(B7,[5]SCOPUS!$B$7:$N$31,12,0),0)</f>
        <v>2311</v>
      </c>
      <c r="N7" s="63">
        <f>IFERROR(VLOOKUP(B7,'[6]Indicador g)'!$F$7:$W$55,18,0),0)</f>
        <v>1862</v>
      </c>
      <c r="O7" s="63">
        <f>IFERROR(VLOOKUP(B7,'[6]Indicador g)'!$F$7:$W$55,13,0),0)</f>
        <v>2823</v>
      </c>
      <c r="P7" s="63">
        <f>IFERROR(VLOOKUP(B7,'[6]Indicador h)'!$E$10:$U$57,17,0),0)</f>
        <v>2404</v>
      </c>
      <c r="Q7" s="63">
        <f>IFERROR(VLOOKUP(B7,'[6]Indicador h)'!$E$10:$U$57,12,0),0)</f>
        <v>2936</v>
      </c>
      <c r="R7" s="64">
        <f>IFERROR(VLOOKUP(B7,'[6]Indicador i.1)'!$D$10:$T$57,17,0),0)</f>
        <v>1786</v>
      </c>
      <c r="S7" s="64">
        <f>IFERROR(VLOOKUP(B7,'[6]Indicador i.1)'!$D$10:$T$57,12,0),0)</f>
        <v>2699</v>
      </c>
      <c r="T7" s="60">
        <f>IFERROR(VLOOKUP(B7,'[6]Indicador j)'!$F$8:$O$27,10,0),0)</f>
        <v>4</v>
      </c>
      <c r="U7" s="60">
        <v>36</v>
      </c>
      <c r="V7" s="60">
        <v>54</v>
      </c>
      <c r="W7" s="60">
        <f>IFERROR(VLOOKUP(B7,'[6]Indicador j)'!$F$8:$M$27,3,0),0)</f>
        <v>42</v>
      </c>
      <c r="X7" s="60">
        <f>IFERROR(VLOOKUP(B7,'[7]Tablas al 2016'!$A$64:$L$81,12,0),0)</f>
        <v>0</v>
      </c>
      <c r="Y7" s="60">
        <f>IFERROR(VLOOKUP(B7,[8]Valores!$B$4:$X$33,23,0),0)</f>
        <v>0</v>
      </c>
      <c r="Z7" s="65"/>
      <c r="AA7" s="66"/>
    </row>
    <row r="8" spans="1:27" x14ac:dyDescent="0.2">
      <c r="A8" s="61" t="str">
        <f>Categorías!A8</f>
        <v>UNIVERSIDAD CATÓLICA DEL NORTE</v>
      </c>
      <c r="B8" s="61" t="str">
        <f>Categorías!B8</f>
        <v>UCN</v>
      </c>
      <c r="C8" s="62" t="str">
        <f>Categorías!C8</f>
        <v>CRUCH-PRIVADA</v>
      </c>
      <c r="D8" s="61" t="str">
        <f>Categorías!AK8</f>
        <v>Categoría II</v>
      </c>
      <c r="E8" s="60">
        <f>IFERROR(VLOOKUP(B8,'[6]Indicador a)'!$D$2:$G$60,3,0),0)</f>
        <v>416</v>
      </c>
      <c r="F8" s="60">
        <f>IFERROR(VLOOKUP(B8,'[6]Indicador a)'!$D$2:$G$60,4,0),0)</f>
        <v>10830</v>
      </c>
      <c r="G8" s="60">
        <f>IFERROR(VLOOKUP(B8,'[6]Indicador b)'!$D$2:$G$60,3,0),0)</f>
        <v>197.81818181818181</v>
      </c>
      <c r="H8" s="60">
        <f>IFERROR(VLOOKUP(B8,'[6]Indicador b)'!$D$2:$G$60,4,0),0)</f>
        <v>570.45454545454629</v>
      </c>
      <c r="I8" s="60">
        <f>IFERROR(VLOOKUP(B8,'[6]Indicador c)'!$D$2:$H$60,4,0),0)</f>
        <v>158.47727272727283</v>
      </c>
      <c r="J8" s="60">
        <f>IFERROR(VLOOKUP(B8,'[6]Indicador c)'!$D$2:$H$60,5,0),0)</f>
        <v>20</v>
      </c>
      <c r="K8" s="60">
        <f>IFERROR(VLOOKUP(B8,[5]SCOPUS!$B$6:$K$31,10,0),0)</f>
        <v>305</v>
      </c>
      <c r="L8" s="60">
        <f>IFERROR(VLOOKUP(B8,[5]SCOPUS!$B$7:$N$31,13,0),0)</f>
        <v>6413</v>
      </c>
      <c r="M8" s="60">
        <f>IFERROR(VLOOKUP(B8,[5]SCOPUS!$B$7:$N$31,12,0),0)</f>
        <v>1465</v>
      </c>
      <c r="N8" s="63">
        <f>IFERROR(VLOOKUP(B8,'[6]Indicador g)'!$F$7:$W$55,18,0),0)</f>
        <v>1063</v>
      </c>
      <c r="O8" s="63">
        <f>IFERROR(VLOOKUP(B8,'[6]Indicador g)'!$F$7:$W$55,13,0),0)</f>
        <v>2068</v>
      </c>
      <c r="P8" s="63">
        <f>IFERROR(VLOOKUP(B8,'[6]Indicador h)'!$E$10:$U$57,17,0),0)</f>
        <v>1591</v>
      </c>
      <c r="Q8" s="63">
        <f>IFERROR(VLOOKUP(B8,'[6]Indicador h)'!$E$10:$U$57,12,0),0)</f>
        <v>1950</v>
      </c>
      <c r="R8" s="64">
        <f>IFERROR(VLOOKUP(B8,'[6]Indicador i.1)'!$D$10:$T$57,17,0),0)</f>
        <v>1263</v>
      </c>
      <c r="S8" s="64">
        <f>IFERROR(VLOOKUP(B8,'[6]Indicador i.1)'!$D$10:$T$57,12,0),0)</f>
        <v>1928</v>
      </c>
      <c r="T8" s="60">
        <f>IFERROR(VLOOKUP(B8,'[6]Indicador j)'!$F$8:$O$27,10,0),0)</f>
        <v>0</v>
      </c>
      <c r="U8" s="60">
        <v>14</v>
      </c>
      <c r="V8" s="60">
        <v>10</v>
      </c>
      <c r="W8" s="60">
        <f>IFERROR(VLOOKUP(B8,'[6]Indicador j)'!$F$8:$M$27,3,0),0)</f>
        <v>4</v>
      </c>
      <c r="X8" s="60">
        <f>IFERROR(VLOOKUP(B8,'[7]Tablas al 2016'!$A$64:$L$81,12,0),0)</f>
        <v>1</v>
      </c>
      <c r="Y8" s="60">
        <f>IFERROR(VLOOKUP(B8,[8]Valores!$B$4:$X$33,23,0),0)</f>
        <v>0</v>
      </c>
      <c r="Z8" s="65"/>
      <c r="AA8" s="66"/>
    </row>
    <row r="9" spans="1:27" x14ac:dyDescent="0.2">
      <c r="A9" s="61" t="str">
        <f>Categorías!A9</f>
        <v>UNIVERSIDAD TÉCNICA FEDERICO SANTA MARÍA</v>
      </c>
      <c r="B9" s="61" t="str">
        <f>Categorías!B9</f>
        <v>FSM</v>
      </c>
      <c r="C9" s="62" t="str">
        <f>Categorías!C9</f>
        <v>CRUCH-PRIVADA</v>
      </c>
      <c r="D9" s="61" t="str">
        <f>Categorías!AK9</f>
        <v>Categoría II</v>
      </c>
      <c r="E9" s="60">
        <f>IFERROR(VLOOKUP(B9,'[6]Indicador a)'!$D$2:$G$60,3,0),0)</f>
        <v>442</v>
      </c>
      <c r="F9" s="60">
        <f>IFERROR(VLOOKUP(B9,'[6]Indicador a)'!$D$2:$G$60,4,0),0)</f>
        <v>19058</v>
      </c>
      <c r="G9" s="60">
        <f>IFERROR(VLOOKUP(B9,'[6]Indicador b)'!$D$2:$G$60,3,0),0)</f>
        <v>233.03176136363675</v>
      </c>
      <c r="H9" s="60">
        <f>IFERROR(VLOOKUP(B9,'[6]Indicador b)'!$D$2:$G$60,4,0),0)</f>
        <v>689.78201954531869</v>
      </c>
      <c r="I9" s="60">
        <f>IFERROR(VLOOKUP(B9,'[6]Indicador c)'!$D$2:$H$60,4,0),0)</f>
        <v>181.67680190659109</v>
      </c>
      <c r="J9" s="60">
        <f>IFERROR(VLOOKUP(B9,'[6]Indicador c)'!$D$2:$H$60,5,0),0)</f>
        <v>0</v>
      </c>
      <c r="K9" s="60">
        <f>IFERROR(VLOOKUP(B9,[5]SCOPUS!$B$6:$K$31,10,0),0)</f>
        <v>598</v>
      </c>
      <c r="L9" s="60">
        <f>IFERROR(VLOOKUP(B9,[5]SCOPUS!$B$7:$N$31,13,0),0)</f>
        <v>29577</v>
      </c>
      <c r="M9" s="60">
        <f>IFERROR(VLOOKUP(B9,[5]SCOPUS!$B$7:$N$31,12,0),0)</f>
        <v>2622</v>
      </c>
      <c r="N9" s="63">
        <f>IFERROR(VLOOKUP(B9,'[6]Indicador g)'!$F$7:$W$55,18,0),0)</f>
        <v>1060</v>
      </c>
      <c r="O9" s="63">
        <f>IFERROR(VLOOKUP(B9,'[6]Indicador g)'!$F$7:$W$55,13,0),0)</f>
        <v>1952</v>
      </c>
      <c r="P9" s="63">
        <f>IFERROR(VLOOKUP(B9,'[6]Indicador h)'!$E$10:$U$57,17,0),0)</f>
        <v>1514</v>
      </c>
      <c r="Q9" s="63">
        <f>IFERROR(VLOOKUP(B9,'[6]Indicador h)'!$E$10:$U$57,12,0),0)</f>
        <v>1845</v>
      </c>
      <c r="R9" s="64">
        <f>IFERROR(VLOOKUP(B9,'[6]Indicador i.1)'!$D$10:$T$57,17,0),0)</f>
        <v>1121</v>
      </c>
      <c r="S9" s="64">
        <f>IFERROR(VLOOKUP(B9,'[6]Indicador i.1)'!$D$10:$T$57,12,0),0)</f>
        <v>1818</v>
      </c>
      <c r="T9" s="60">
        <f>IFERROR(VLOOKUP(B9,'[6]Indicador j)'!$F$8:$O$27,10,0),0)</f>
        <v>1</v>
      </c>
      <c r="U9" s="60">
        <v>22</v>
      </c>
      <c r="V9" s="60">
        <v>27</v>
      </c>
      <c r="W9" s="60">
        <f>IFERROR(VLOOKUP(B9,'[6]Indicador j)'!$F$8:$M$27,3,0),0)</f>
        <v>19</v>
      </c>
      <c r="X9" s="60">
        <f>IFERROR(VLOOKUP(B9,'[7]Tablas al 2016'!$A$64:$L$81,12,0),0)</f>
        <v>8</v>
      </c>
      <c r="Y9" s="60">
        <f>IFERROR(VLOOKUP(B9,[8]Valores!$B$4:$X$33,23,0),0)</f>
        <v>0</v>
      </c>
      <c r="Z9" s="65"/>
      <c r="AA9" s="66"/>
    </row>
    <row r="10" spans="1:27" x14ac:dyDescent="0.2">
      <c r="A10" s="61" t="str">
        <f>Categorías!A10</f>
        <v>UNIVERSIDAD CATÓLICA DE TEMUCO</v>
      </c>
      <c r="B10" s="61" t="str">
        <f>Categorías!B10</f>
        <v>UCT</v>
      </c>
      <c r="C10" s="62" t="str">
        <f>Categorías!C10</f>
        <v>CRUCH-PRIVADA</v>
      </c>
      <c r="D10" s="61" t="str">
        <f>Categorías!AK10</f>
        <v>Categoría II</v>
      </c>
      <c r="E10" s="60">
        <f>IFERROR(VLOOKUP(B10,'[6]Indicador a)'!$D$2:$G$60,3,0),0)</f>
        <v>310</v>
      </c>
      <c r="F10" s="60">
        <f>IFERROR(VLOOKUP(B10,'[6]Indicador a)'!$D$2:$G$60,4,0),0)</f>
        <v>10282</v>
      </c>
      <c r="G10" s="60">
        <f>IFERROR(VLOOKUP(B10,'[6]Indicador b)'!$D$2:$G$60,3,0),0)</f>
        <v>141.48909090909092</v>
      </c>
      <c r="H10" s="60">
        <f>IFERROR(VLOOKUP(B10,'[6]Indicador b)'!$D$2:$G$60,4,0),0)</f>
        <v>462.63207649113673</v>
      </c>
      <c r="I10" s="60">
        <f>IFERROR(VLOOKUP(B10,'[6]Indicador c)'!$D$2:$H$60,4,0),0)</f>
        <v>176.41729458113636</v>
      </c>
      <c r="J10" s="60">
        <f>IFERROR(VLOOKUP(B10,'[6]Indicador c)'!$D$2:$H$60,5,0),0)</f>
        <v>0.20454545454545456</v>
      </c>
      <c r="K10" s="60">
        <f>IFERROR(VLOOKUP(B10,[5]SCOPUS!$B$6:$K$31,10,0),0)</f>
        <v>121</v>
      </c>
      <c r="L10" s="60">
        <f>IFERROR(VLOOKUP(B10,[5]SCOPUS!$B$7:$N$31,13,0),0)</f>
        <v>1296</v>
      </c>
      <c r="M10" s="60">
        <f>IFERROR(VLOOKUP(B10,[5]SCOPUS!$B$7:$N$31,12,0),0)</f>
        <v>516</v>
      </c>
      <c r="N10" s="63">
        <f>IFERROR(VLOOKUP(B10,'[6]Indicador g)'!$F$7:$W$55,18,0),0)</f>
        <v>1723</v>
      </c>
      <c r="O10" s="63">
        <f>IFERROR(VLOOKUP(B10,'[6]Indicador g)'!$F$7:$W$55,13,0),0)</f>
        <v>2143</v>
      </c>
      <c r="P10" s="63">
        <f>IFERROR(VLOOKUP(B10,'[6]Indicador h)'!$E$10:$U$57,17,0),0)</f>
        <v>1575</v>
      </c>
      <c r="Q10" s="63">
        <f>IFERROR(VLOOKUP(B10,'[6]Indicador h)'!$E$10:$U$57,12,0),0)</f>
        <v>1926</v>
      </c>
      <c r="R10" s="64">
        <f>IFERROR(VLOOKUP(B10,'[6]Indicador i.1)'!$D$10:$T$57,17,0),0)</f>
        <v>1198</v>
      </c>
      <c r="S10" s="64">
        <f>IFERROR(VLOOKUP(B10,'[6]Indicador i.1)'!$D$10:$T$57,12,0),0)</f>
        <v>1827</v>
      </c>
      <c r="T10" s="60">
        <f>IFERROR(VLOOKUP(B10,'[6]Indicador j)'!$F$8:$O$27,10,0),0)</f>
        <v>0</v>
      </c>
      <c r="U10" s="60">
        <v>0</v>
      </c>
      <c r="V10" s="60">
        <v>0</v>
      </c>
      <c r="W10" s="60">
        <f>IFERROR(VLOOKUP(B10,'[6]Indicador j)'!$F$8:$M$27,3,0),0)</f>
        <v>0</v>
      </c>
      <c r="X10" s="60">
        <f>IFERROR(VLOOKUP(B10,'[7]Tablas al 2016'!$A$64:$L$81,12,0),0)</f>
        <v>0</v>
      </c>
      <c r="Y10" s="60">
        <f>IFERROR(VLOOKUP(B10,[8]Valores!$B$4:$X$33,23,0),0)</f>
        <v>0</v>
      </c>
      <c r="Z10" s="65"/>
      <c r="AA10" s="66"/>
    </row>
    <row r="11" spans="1:27" x14ac:dyDescent="0.2">
      <c r="A11" s="61" t="str">
        <f>Categorías!A11</f>
        <v>UNIVERSIDAD CATÓLICA DE LA SANTÍSIMA CONCEPCIÓN</v>
      </c>
      <c r="B11" s="61" t="str">
        <f>Categorías!B11</f>
        <v>USC</v>
      </c>
      <c r="C11" s="62" t="str">
        <f>Categorías!C11</f>
        <v>CRUCH-PRIVADA</v>
      </c>
      <c r="D11" s="61" t="str">
        <f>Categorías!AK11</f>
        <v>Categoría III</v>
      </c>
      <c r="E11" s="60">
        <f>IFERROR(VLOOKUP(B11,'[6]Indicador a)'!$D$2:$G$60,3,0),0)</f>
        <v>283</v>
      </c>
      <c r="F11" s="60">
        <f>IFERROR(VLOOKUP(B11,'[6]Indicador a)'!$D$2:$G$60,4,0),0)</f>
        <v>13985</v>
      </c>
      <c r="G11" s="60">
        <f>IFERROR(VLOOKUP(B11,'[6]Indicador b)'!$D$2:$G$60,3,0),0)</f>
        <v>131.06818181818181</v>
      </c>
      <c r="H11" s="60">
        <f>IFERROR(VLOOKUP(B11,'[6]Indicador b)'!$D$2:$G$60,4,0),0)</f>
        <v>581.02272727271691</v>
      </c>
      <c r="I11" s="60">
        <f>IFERROR(VLOOKUP(B11,'[6]Indicador c)'!$D$2:$H$60,4,0),0)</f>
        <v>198.02272727272728</v>
      </c>
      <c r="J11" s="60">
        <f>IFERROR(VLOOKUP(B11,'[6]Indicador c)'!$D$2:$H$60,5,0),0)</f>
        <v>25.886363636363644</v>
      </c>
      <c r="K11" s="60">
        <f>IFERROR(VLOOKUP(B11,[5]SCOPUS!$B$6:$K$31,10,0),0)</f>
        <v>95</v>
      </c>
      <c r="L11" s="60">
        <f>IFERROR(VLOOKUP(B11,[5]SCOPUS!$B$7:$N$31,13,0),0)</f>
        <v>1055</v>
      </c>
      <c r="M11" s="60">
        <f>IFERROR(VLOOKUP(B11,[5]SCOPUS!$B$7:$N$31,12,0),0)</f>
        <v>369</v>
      </c>
      <c r="N11" s="63">
        <f>IFERROR(VLOOKUP(B11,'[6]Indicador g)'!$F$7:$W$55,18,0),0)</f>
        <v>1473</v>
      </c>
      <c r="O11" s="63">
        <f>IFERROR(VLOOKUP(B11,'[6]Indicador g)'!$F$7:$W$55,13,0),0)</f>
        <v>1915</v>
      </c>
      <c r="P11" s="63">
        <f>IFERROR(VLOOKUP(B11,'[6]Indicador h)'!$E$10:$U$57,17,0),0)</f>
        <v>1495</v>
      </c>
      <c r="Q11" s="63">
        <f>IFERROR(VLOOKUP(B11,'[6]Indicador h)'!$E$10:$U$57,12,0),0)</f>
        <v>1789</v>
      </c>
      <c r="R11" s="64">
        <f>IFERROR(VLOOKUP(B11,'[6]Indicador i.1)'!$D$10:$T$57,17,0),0)</f>
        <v>1061</v>
      </c>
      <c r="S11" s="64">
        <f>IFERROR(VLOOKUP(B11,'[6]Indicador i.1)'!$D$10:$T$57,12,0),0)</f>
        <v>1507</v>
      </c>
      <c r="T11" s="60">
        <f>IFERROR(VLOOKUP(B11,'[6]Indicador j)'!$F$8:$O$27,10,0),0)</f>
        <v>0</v>
      </c>
      <c r="U11" s="60">
        <v>0</v>
      </c>
      <c r="V11" s="60">
        <v>0</v>
      </c>
      <c r="W11" s="60">
        <f>IFERROR(VLOOKUP(B11,'[6]Indicador j)'!$F$8:$M$27,3,0),0)</f>
        <v>0</v>
      </c>
      <c r="X11" s="60">
        <f>IFERROR(VLOOKUP(B11,'[7]Tablas al 2016'!$A$64:$L$81,12,0),0)</f>
        <v>0</v>
      </c>
      <c r="Y11" s="60">
        <f>IFERROR(VLOOKUP(B11,[8]Valores!$B$4:$X$33,23,0),0)</f>
        <v>0</v>
      </c>
      <c r="Z11" s="65"/>
      <c r="AA11" s="66"/>
    </row>
    <row r="12" spans="1:27" x14ac:dyDescent="0.2">
      <c r="A12" s="61" t="str">
        <f>Categorías!A12</f>
        <v>UNIVERSIDAD CATÓLICA DEL MAULE</v>
      </c>
      <c r="B12" s="61" t="str">
        <f>Categorías!B12</f>
        <v>UCM</v>
      </c>
      <c r="C12" s="62" t="str">
        <f>Categorías!C12</f>
        <v>CRUCH-PRIVADA</v>
      </c>
      <c r="D12" s="61" t="str">
        <f>Categorías!AK12</f>
        <v>Categoría III</v>
      </c>
      <c r="E12" s="60">
        <f>IFERROR(VLOOKUP(B12,'[6]Indicador a)'!$D$2:$G$60,3,0),0)</f>
        <v>286</v>
      </c>
      <c r="F12" s="60">
        <f>IFERROR(VLOOKUP(B12,'[6]Indicador a)'!$D$2:$G$60,4,0),0)</f>
        <v>7663</v>
      </c>
      <c r="G12" s="60">
        <f>IFERROR(VLOOKUP(B12,'[6]Indicador b)'!$D$2:$G$60,3,0),0)</f>
        <v>122</v>
      </c>
      <c r="H12" s="60">
        <f>IFERROR(VLOOKUP(B12,'[6]Indicador b)'!$D$2:$G$60,4,0),0)</f>
        <v>393.49999999999864</v>
      </c>
      <c r="I12" s="60">
        <f>IFERROR(VLOOKUP(B12,'[6]Indicador c)'!$D$2:$H$60,4,0),0)</f>
        <v>155.06818181818193</v>
      </c>
      <c r="J12" s="60">
        <f>IFERROR(VLOOKUP(B12,'[6]Indicador c)'!$D$2:$H$60,5,0),0)</f>
        <v>32.86363636363636</v>
      </c>
      <c r="K12" s="60">
        <f>IFERROR(VLOOKUP(B12,[5]SCOPUS!$B$6:$K$31,10,0),0)</f>
        <v>83</v>
      </c>
      <c r="L12" s="60">
        <f>IFERROR(VLOOKUP(B12,[5]SCOPUS!$B$7:$N$31,13,0),0)</f>
        <v>1323</v>
      </c>
      <c r="M12" s="60">
        <f>IFERROR(VLOOKUP(B12,[5]SCOPUS!$B$7:$N$31,12,0),0)</f>
        <v>360</v>
      </c>
      <c r="N12" s="63">
        <f>IFERROR(VLOOKUP(B12,'[6]Indicador g)'!$F$7:$W$55,18,0),0)</f>
        <v>1350</v>
      </c>
      <c r="O12" s="63">
        <f>IFERROR(VLOOKUP(B12,'[6]Indicador g)'!$F$7:$W$55,13,0),0)</f>
        <v>1706</v>
      </c>
      <c r="P12" s="63">
        <f>IFERROR(VLOOKUP(B12,'[6]Indicador h)'!$E$10:$U$57,17,0),0)</f>
        <v>1241</v>
      </c>
      <c r="Q12" s="63">
        <f>IFERROR(VLOOKUP(B12,'[6]Indicador h)'!$E$10:$U$57,12,0),0)</f>
        <v>1414</v>
      </c>
      <c r="R12" s="64">
        <f>IFERROR(VLOOKUP(B12,'[6]Indicador i.1)'!$D$10:$T$57,17,0),0)</f>
        <v>1066</v>
      </c>
      <c r="S12" s="64">
        <f>IFERROR(VLOOKUP(B12,'[6]Indicador i.1)'!$D$10:$T$57,12,0),0)</f>
        <v>1454</v>
      </c>
      <c r="T12" s="60">
        <f>IFERROR(VLOOKUP(B12,'[6]Indicador j)'!$F$8:$O$27,10,0),0)</f>
        <v>0</v>
      </c>
      <c r="U12" s="60">
        <v>0</v>
      </c>
      <c r="V12" s="60">
        <v>0</v>
      </c>
      <c r="W12" s="60">
        <f>IFERROR(VLOOKUP(B12,'[6]Indicador j)'!$F$8:$M$27,3,0),0)</f>
        <v>0</v>
      </c>
      <c r="X12" s="60">
        <f>IFERROR(VLOOKUP(B12,'[7]Tablas al 2016'!$A$64:$L$81,12,0),0)</f>
        <v>2</v>
      </c>
      <c r="Y12" s="60">
        <f>IFERROR(VLOOKUP(B12,[8]Valores!$B$4:$X$33,23,0),0)</f>
        <v>0</v>
      </c>
      <c r="Z12" s="65"/>
      <c r="AA12" s="66"/>
    </row>
    <row r="13" spans="1:27" x14ac:dyDescent="0.2">
      <c r="E13" s="59">
        <f t="shared" ref="E13:Y13" si="0">SUM(E4:E12)</f>
        <v>5649</v>
      </c>
      <c r="F13" s="59">
        <f t="shared" si="0"/>
        <v>151623</v>
      </c>
      <c r="G13" s="59">
        <f t="shared" si="0"/>
        <v>3280.3336362131145</v>
      </c>
      <c r="H13" s="59">
        <f t="shared" si="0"/>
        <v>7913.5171072495305</v>
      </c>
      <c r="I13" s="59">
        <f t="shared" si="0"/>
        <v>2179.6909146695457</v>
      </c>
      <c r="J13" s="59">
        <f t="shared" si="0"/>
        <v>643.38090909090897</v>
      </c>
      <c r="K13" s="59">
        <f t="shared" si="0"/>
        <v>5661</v>
      </c>
      <c r="L13" s="59">
        <f t="shared" si="0"/>
        <v>170417</v>
      </c>
      <c r="M13" s="59">
        <f t="shared" si="0"/>
        <v>24538</v>
      </c>
      <c r="N13" s="59">
        <f t="shared" si="0"/>
        <v>15303</v>
      </c>
      <c r="O13" s="59">
        <f t="shared" si="0"/>
        <v>26494</v>
      </c>
      <c r="P13" s="59">
        <f t="shared" si="0"/>
        <v>21013</v>
      </c>
      <c r="Q13" s="59">
        <f t="shared" si="0"/>
        <v>25294</v>
      </c>
      <c r="R13" s="59">
        <f t="shared" si="0"/>
        <v>16577</v>
      </c>
      <c r="S13" s="59">
        <f t="shared" si="0"/>
        <v>24634</v>
      </c>
      <c r="T13" s="59">
        <f t="shared" si="0"/>
        <v>60</v>
      </c>
      <c r="U13" s="59">
        <f t="shared" si="0"/>
        <v>362</v>
      </c>
      <c r="V13" s="59">
        <f t="shared" si="0"/>
        <v>436</v>
      </c>
      <c r="W13" s="59">
        <f t="shared" si="0"/>
        <v>359</v>
      </c>
      <c r="X13" s="59">
        <f t="shared" si="0"/>
        <v>30</v>
      </c>
      <c r="Y13" s="59">
        <f t="shared" si="0"/>
        <v>22</v>
      </c>
      <c r="Z13" s="65"/>
    </row>
    <row r="20" spans="1:1" x14ac:dyDescent="0.2">
      <c r="A20" s="29" t="s">
        <v>93</v>
      </c>
    </row>
  </sheetData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"/>
  <sheetViews>
    <sheetView workbookViewId="0">
      <pane xSplit="2" ySplit="3" topLeftCell="W10" activePane="bottomRight" state="frozen"/>
      <selection pane="topRight" activeCell="C1" sqref="C1"/>
      <selection pane="bottomLeft" activeCell="A4" sqref="A4"/>
      <selection pane="bottomRight" activeCell="W23" sqref="W23"/>
    </sheetView>
  </sheetViews>
  <sheetFormatPr baseColWidth="10" defaultRowHeight="15" x14ac:dyDescent="0.2"/>
  <cols>
    <col min="1" max="1" width="46.5" bestFit="1" customWidth="1"/>
    <col min="5" max="5" width="19.6640625" customWidth="1"/>
    <col min="28" max="28" width="11.33203125" customWidth="1"/>
    <col min="29" max="31" width="10.6640625" customWidth="1"/>
    <col min="32" max="32" width="11.5" bestFit="1" customWidth="1"/>
    <col min="33" max="35" width="10.6640625" customWidth="1"/>
  </cols>
  <sheetData>
    <row r="1" spans="1:35" x14ac:dyDescent="0.2">
      <c r="A1" s="24" t="s">
        <v>173</v>
      </c>
      <c r="F1" s="11" t="s">
        <v>41</v>
      </c>
      <c r="G1" s="11" t="s">
        <v>42</v>
      </c>
      <c r="H1" s="11" t="s">
        <v>43</v>
      </c>
      <c r="I1" s="11" t="s">
        <v>44</v>
      </c>
      <c r="J1" s="11" t="s">
        <v>45</v>
      </c>
      <c r="K1" s="11" t="s">
        <v>46</v>
      </c>
      <c r="L1" s="11" t="s">
        <v>47</v>
      </c>
      <c r="M1" s="11" t="s">
        <v>48</v>
      </c>
      <c r="N1" s="11" t="s">
        <v>49</v>
      </c>
      <c r="O1" s="11" t="s">
        <v>89</v>
      </c>
      <c r="P1" s="11" t="s">
        <v>90</v>
      </c>
      <c r="Q1" s="31" t="s">
        <v>65</v>
      </c>
    </row>
    <row r="2" spans="1:35" ht="56" x14ac:dyDescent="0.2">
      <c r="F2" s="12" t="s">
        <v>50</v>
      </c>
      <c r="G2" s="12" t="s">
        <v>51</v>
      </c>
      <c r="H2" s="12" t="s">
        <v>52</v>
      </c>
      <c r="I2" s="12" t="s">
        <v>53</v>
      </c>
      <c r="J2" s="12" t="s">
        <v>54</v>
      </c>
      <c r="K2" s="12" t="s">
        <v>55</v>
      </c>
      <c r="L2" s="12" t="s">
        <v>56</v>
      </c>
      <c r="M2" s="12" t="s">
        <v>57</v>
      </c>
      <c r="N2" s="12" t="s">
        <v>58</v>
      </c>
      <c r="O2" s="12" t="s">
        <v>59</v>
      </c>
      <c r="P2" s="12" t="s">
        <v>60</v>
      </c>
      <c r="Q2" s="12" t="s">
        <v>50</v>
      </c>
      <c r="R2" s="12" t="s">
        <v>51</v>
      </c>
      <c r="S2" s="12" t="s">
        <v>52</v>
      </c>
      <c r="T2" s="12" t="s">
        <v>53</v>
      </c>
      <c r="U2" s="12" t="s">
        <v>54</v>
      </c>
      <c r="V2" s="12" t="s">
        <v>55</v>
      </c>
      <c r="W2" s="12" t="s">
        <v>56</v>
      </c>
      <c r="X2" s="12" t="s">
        <v>57</v>
      </c>
      <c r="Y2" s="12" t="s">
        <v>58</v>
      </c>
      <c r="Z2" s="12" t="s">
        <v>59</v>
      </c>
      <c r="AA2" s="12" t="s">
        <v>60</v>
      </c>
      <c r="AB2" s="12"/>
      <c r="AC2" s="12"/>
    </row>
    <row r="3" spans="1:35" ht="55" x14ac:dyDescent="0.2">
      <c r="A3" s="16" t="s">
        <v>20</v>
      </c>
      <c r="B3" s="21" t="s">
        <v>10</v>
      </c>
      <c r="C3" s="21" t="s">
        <v>28</v>
      </c>
      <c r="D3" s="22" t="s">
        <v>39</v>
      </c>
      <c r="E3" s="23" t="s">
        <v>64</v>
      </c>
      <c r="F3" s="17" t="s">
        <v>100</v>
      </c>
      <c r="G3" s="17" t="s">
        <v>107</v>
      </c>
      <c r="H3" s="17" t="s">
        <v>108</v>
      </c>
      <c r="I3" s="17" t="s">
        <v>61</v>
      </c>
      <c r="J3" s="17" t="s">
        <v>62</v>
      </c>
      <c r="K3" s="17" t="s">
        <v>92</v>
      </c>
      <c r="L3" s="17" t="s">
        <v>121</v>
      </c>
      <c r="M3" s="17" t="s">
        <v>122</v>
      </c>
      <c r="N3" s="17" t="s">
        <v>123</v>
      </c>
      <c r="O3" s="17" t="s">
        <v>99</v>
      </c>
      <c r="P3" s="17" t="s">
        <v>124</v>
      </c>
      <c r="Q3" s="20" t="s">
        <v>63</v>
      </c>
      <c r="R3" s="18" t="s">
        <v>63</v>
      </c>
      <c r="S3" s="18" t="s">
        <v>63</v>
      </c>
      <c r="T3" s="18" t="s">
        <v>63</v>
      </c>
      <c r="U3" s="18" t="s">
        <v>63</v>
      </c>
      <c r="V3" s="18" t="s">
        <v>63</v>
      </c>
      <c r="W3" s="18" t="s">
        <v>63</v>
      </c>
      <c r="X3" s="18" t="s">
        <v>63</v>
      </c>
      <c r="Y3" s="18" t="s">
        <v>63</v>
      </c>
      <c r="Z3" s="18" t="s">
        <v>63</v>
      </c>
      <c r="AA3" s="18" t="s">
        <v>63</v>
      </c>
      <c r="AB3" s="43" t="s">
        <v>66</v>
      </c>
      <c r="AC3" s="44" t="s">
        <v>85</v>
      </c>
      <c r="AD3" s="44" t="s">
        <v>67</v>
      </c>
      <c r="AE3" s="44" t="s">
        <v>84</v>
      </c>
      <c r="AF3" s="44" t="s">
        <v>86</v>
      </c>
      <c r="AG3" s="44" t="s">
        <v>87</v>
      </c>
      <c r="AH3" s="44" t="s">
        <v>88</v>
      </c>
      <c r="AI3" s="44" t="s">
        <v>83</v>
      </c>
    </row>
    <row r="4" spans="1:35" x14ac:dyDescent="0.2">
      <c r="A4" s="32" t="str">
        <f>Valores!A4</f>
        <v>PONTIFICIA UNIVERSIDAD CATÓLICA DE CHILE</v>
      </c>
      <c r="B4" s="33" t="str">
        <f>Valores!B4</f>
        <v>PUC</v>
      </c>
      <c r="C4" s="34" t="str">
        <f>Valores!C4</f>
        <v>CRUCH-PRIVADA</v>
      </c>
      <c r="D4" s="34" t="str">
        <f>Valores!D4</f>
        <v>Categoría I</v>
      </c>
      <c r="E4" s="34" t="str">
        <f t="shared" ref="E4:E12" si="0">CONCATENATE(C4,D4)</f>
        <v>CRUCH-PRIVADACategoría I</v>
      </c>
      <c r="F4" s="36">
        <f>IFERROR(Valores!E4/Valores!F4*100,0)</f>
        <v>4.717182497331911</v>
      </c>
      <c r="G4" s="37">
        <f>IFERROR(Valores!G4/Valores!H4,0)</f>
        <v>0.45889108667828055</v>
      </c>
      <c r="H4" s="37">
        <f>IFERROR((Valores!G4+Valores!I4+Valores!J4)/(Valores!H4),0)</f>
        <v>0.87194579827546326</v>
      </c>
      <c r="I4" s="37">
        <f>IFERROR(Valores!K4/Valores!H4,0)</f>
        <v>1.0163649267179165</v>
      </c>
      <c r="J4" s="37">
        <f>IFERROR(Valores!K4/Valores!G4,0)</f>
        <v>2.2148282157209773</v>
      </c>
      <c r="K4" s="37">
        <f>IFERROR(Valores!L4/Valores!M4,0)</f>
        <v>8.2713521300679158</v>
      </c>
      <c r="L4" s="37">
        <f>IFERROR(Valores!N4/Valores!O4,0)</f>
        <v>0.27635899306822326</v>
      </c>
      <c r="M4" s="37">
        <f>IFERROR(Valores!P4/Valores!Q4,0)</f>
        <v>0.88490709139173307</v>
      </c>
      <c r="N4" s="37">
        <f>IFERROR(Valores!R4/Valores!S4,0)</f>
        <v>0.75014403687343956</v>
      </c>
      <c r="O4" s="35">
        <f>IF(Valores!W4&gt;0,Valores!T4/Valores!W4,IF(AND(Valores!W4=0,OR(Valores!U4&gt;0,Valores!V4&gt;0)),0,IF(AND(Valores!W4=0,Valores!U4=0,Valores!V4=0),"NC",)))</f>
        <v>0.21893491124260356</v>
      </c>
      <c r="P4" s="38">
        <f>IFERROR((Valores!X4+Valores!Y4)*1000/(Valores!H4),0)</f>
        <v>10.92376096785938</v>
      </c>
      <c r="Q4" s="39">
        <f t="array" ref="Q4">F4/MAX(IF($E$4:$E$18=$E4,F$4:F$18))</f>
        <v>1</v>
      </c>
      <c r="R4" s="39">
        <f t="array" ref="R4">G4/MAX(IF($E$4:$E$18=$E4,G$4:G$18))</f>
        <v>0.90530394618879351</v>
      </c>
      <c r="S4" s="39">
        <f t="array" ref="S4">H4/MAX(IF($E$4:$E$18=$E4,H$4:H$18))</f>
        <v>1</v>
      </c>
      <c r="T4" s="39">
        <f t="array" ref="T4">I4/MAX(IF($E$4:$E$18=$E4,I$4:I$18))</f>
        <v>1</v>
      </c>
      <c r="U4" s="39">
        <f t="array" ref="U4">J4/MAX(IF($E$4:$E$18=$E4,J$4:J$18))</f>
        <v>1</v>
      </c>
      <c r="V4" s="39">
        <f t="array" ref="V4">K4/MAX(IF($E$4:$E$18=$E4,K$4:K$18))</f>
        <v>1</v>
      </c>
      <c r="W4" s="39">
        <f t="array" ref="W4">L4/MAX(IF($E$4:$E$18=$E4,L$4:L$18))</f>
        <v>0.4163697841347147</v>
      </c>
      <c r="X4" s="39">
        <f t="array" ref="X4">M4/MAX(IF($E$4:$E$18=$E4,M$4:M$18))</f>
        <v>1</v>
      </c>
      <c r="Y4" s="39">
        <f t="array" ref="Y4">N4/MAX(IF($E$4:$E$18=$E4,N$4:N$18))</f>
        <v>1</v>
      </c>
      <c r="Z4" s="39">
        <f t="array" ref="Z4">IF(O4="NC","NC",IF(O4=0,0,IF(O4&gt;0,O4/MAX(IF($E$4:$E$18=$E4,$O$4:$O$18,"ERROR")))))</f>
        <v>1</v>
      </c>
      <c r="AA4" s="40">
        <f t="array" ref="AA4">IF(P4=0,0,P4/MAX(IF($E$4:$E$18=$E4,$P$4:$P$18)))</f>
        <v>1</v>
      </c>
      <c r="AB4" s="41">
        <f t="shared" ref="AB4:AB12" si="1">IF(Z4="NC",(SUM(Q4:Y4)+AA4)/(COUNTA(Q4:Y4)+COUNTA(AA4)),AVERAGE(Q4:AA4))</f>
        <v>0.93833397548395514</v>
      </c>
      <c r="AC4" s="19">
        <f t="array" ref="AC4">SUM(IF($E$4:$E$18=$E4,$AB$4:$AB$18,"ERROR"))</f>
        <v>1.8006473960349352</v>
      </c>
      <c r="AD4" s="45">
        <f t="shared" ref="AD4:AD12" si="2">AB4/AC4</f>
        <v>0.52110922857533737</v>
      </c>
      <c r="AE4" s="98">
        <f>VLOOKUP(E4,Categorías!$A$16:$E$19,4,0)</f>
        <v>6621277.5</v>
      </c>
      <c r="AF4" s="99">
        <f t="shared" ref="AF4:AF12" si="3">AD4*AE4</f>
        <v>3450408.8102082382</v>
      </c>
      <c r="AG4" s="98">
        <f t="shared" ref="AG4:AH13" si="4">ROUND(AF4,0)</f>
        <v>3450409</v>
      </c>
      <c r="AH4" s="42">
        <f t="shared" si="4"/>
        <v>3450409</v>
      </c>
      <c r="AI4" s="28">
        <f t="array" ref="AI4">AG4/(SUM(IF($C$4:$C$18=$C4,$AG$4:$AG$18,0)))</f>
        <v>0.17370309011876459</v>
      </c>
    </row>
    <row r="5" spans="1:35" x14ac:dyDescent="0.2">
      <c r="A5" s="32" t="str">
        <f>Valores!A5</f>
        <v>UNIVERSIDAD DE CONCEPCIÓN</v>
      </c>
      <c r="B5" s="33" t="str">
        <f>Valores!B5</f>
        <v>UCO</v>
      </c>
      <c r="C5" s="34" t="str">
        <f>Valores!C5</f>
        <v>CRUCH-PRIVADA</v>
      </c>
      <c r="D5" s="34" t="str">
        <f>Valores!D5</f>
        <v>Categoría I</v>
      </c>
      <c r="E5" s="34" t="str">
        <f t="shared" si="0"/>
        <v>CRUCH-PRIVADACategoría I</v>
      </c>
      <c r="F5" s="36">
        <f>IFERROR(Valores!E5/Valores!F5*100,0)</f>
        <v>4.0896317112853131</v>
      </c>
      <c r="G5" s="37">
        <f>IFERROR(Valores!G5/Valores!H5,0)</f>
        <v>0.50689173355550876</v>
      </c>
      <c r="H5" s="37">
        <f>IFERROR((Valores!G5+Valores!I5+Valores!J5)/(Valores!H5),0)</f>
        <v>0.85405189398854398</v>
      </c>
      <c r="I5" s="37">
        <f>IFERROR(Valores!K5/Valores!H5,0)</f>
        <v>0.77143075520226945</v>
      </c>
      <c r="J5" s="37">
        <f>IFERROR(Valores!K5/Valores!G5,0)</f>
        <v>1.5218846632025247</v>
      </c>
      <c r="K5" s="37">
        <f>IFERROR(Valores!L5/Valores!M5,0)</f>
        <v>5.8280866721177436</v>
      </c>
      <c r="L5" s="37">
        <f>IFERROR(Valores!N5/Valores!O5,0)</f>
        <v>0.66373450619752095</v>
      </c>
      <c r="M5" s="37">
        <f>IFERROR(Valores!P5/Valores!Q5,0)</f>
        <v>0.8</v>
      </c>
      <c r="N5" s="37">
        <f>IFERROR(Valores!R5/Valores!S5,0)</f>
        <v>0.67094188376753505</v>
      </c>
      <c r="O5" s="35">
        <f>IF(Valores!W5&gt;0,Valores!T5/Valores!W5,IF(AND(Valores!W5=0,OR(Valores!U5&gt;0,Valores!V5&gt;0)),0,IF(AND(Valores!W5=0,Valores!U5=0,Valores!V5=0),"NC",)))</f>
        <v>0.17045454545454544</v>
      </c>
      <c r="P5" s="38">
        <f>IFERROR((Valores!X5+Valores!Y5)*1000/(Valores!H5),0)</f>
        <v>9.9539452284163801</v>
      </c>
      <c r="Q5" s="39">
        <f t="array" ref="Q5">F5/MAX(IF($E$4:$E$18=$E5,F$4:F$18))</f>
        <v>0.86696491255075514</v>
      </c>
      <c r="R5" s="39">
        <f t="array" ref="R5">G5/MAX(IF($E$4:$E$18=$E5,G$4:G$18))</f>
        <v>1</v>
      </c>
      <c r="S5" s="39">
        <f t="array" ref="S5">H5/MAX(IF($E$4:$E$18=$E5,H$4:H$18))</f>
        <v>0.97947819196753982</v>
      </c>
      <c r="T5" s="39">
        <f t="array" ref="T5">I5/MAX(IF($E$4:$E$18=$E5,I$4:I$18))</f>
        <v>0.75900961841865444</v>
      </c>
      <c r="U5" s="39">
        <f t="array" ref="U5">J5/MAX(IF($E$4:$E$18=$E5,J$4:J$18))</f>
        <v>0.68713440274965809</v>
      </c>
      <c r="V5" s="39">
        <f t="array" ref="V5">K5/MAX(IF($E$4:$E$18=$E5,K$4:K$18))</f>
        <v>0.70461111804580967</v>
      </c>
      <c r="W5" s="39">
        <f t="array" ref="W5">L5/MAX(IF($E$4:$E$18=$E5,L$4:L$18))</f>
        <v>1</v>
      </c>
      <c r="X5" s="39">
        <f t="array" ref="X5">M5/MAX(IF($E$4:$E$18=$E5,M$4:M$18))</f>
        <v>0.90404971073494755</v>
      </c>
      <c r="Y5" s="39">
        <f t="array" ref="Y5">N5/MAX(IF($E$4:$E$18=$E5,N$4:N$18))</f>
        <v>0.89441740624105359</v>
      </c>
      <c r="Z5" s="39">
        <f t="array" ref="Z5">IF(O5="NC","NC",IF(O5=0,0,IF(O5&gt;0,O5/MAX(IF($E$4:$E$18=$E5,$O$4:$O$18,"ERROR")))))</f>
        <v>0.77856265356265353</v>
      </c>
      <c r="AA5" s="40">
        <f t="array" ref="AA5">IF(P5=0,0,P5/MAX(IF($E$4:$E$18=$E5,$P$4:$P$18)))</f>
        <v>0.91121961178970723</v>
      </c>
      <c r="AB5" s="41">
        <f t="shared" si="1"/>
        <v>0.86231342055098004</v>
      </c>
      <c r="AC5" s="19">
        <f t="array" ref="AC5">SUM(IF($E$4:$E$18=$E5,$AB$4:$AB$18,"ERROR"))</f>
        <v>1.8006473960349352</v>
      </c>
      <c r="AD5" s="45">
        <f t="shared" si="2"/>
        <v>0.47889077142466258</v>
      </c>
      <c r="AE5" s="98">
        <f>VLOOKUP(E5,Categorías!$A$16:$E$19,4,0)</f>
        <v>6621277.5</v>
      </c>
      <c r="AF5" s="99">
        <f t="shared" si="3"/>
        <v>3170868.6897917613</v>
      </c>
      <c r="AG5" s="98">
        <f t="shared" si="4"/>
        <v>3170869</v>
      </c>
      <c r="AH5" s="42">
        <f t="shared" si="4"/>
        <v>3170869</v>
      </c>
      <c r="AI5" s="28">
        <f t="array" ref="AI5">AG5/(SUM(IF($C$4:$C$18=$C5,$AG$4:$AG$18,0)))</f>
        <v>0.15963027677640448</v>
      </c>
    </row>
    <row r="6" spans="1:35" x14ac:dyDescent="0.2">
      <c r="A6" s="32" t="str">
        <f>Valores!A6</f>
        <v>PONTIFICIA UNIVERSIDAD CATÓLICA DE VALPARAÍSO</v>
      </c>
      <c r="B6" s="33" t="str">
        <f>Valores!B6</f>
        <v>UCV</v>
      </c>
      <c r="C6" s="34" t="str">
        <f>Valores!C6</f>
        <v>CRUCH-PRIVADA</v>
      </c>
      <c r="D6" s="34" t="str">
        <f>Valores!D6</f>
        <v>Categoría II</v>
      </c>
      <c r="E6" s="34" t="str">
        <f t="shared" si="0"/>
        <v>CRUCH-PRIVADACategoría II</v>
      </c>
      <c r="F6" s="36">
        <f>IFERROR(Valores!E6/Valores!F6*100,0)</f>
        <v>3.1883309668258684</v>
      </c>
      <c r="G6" s="37">
        <f>IFERROR(Valores!G6/Valores!H6,0)</f>
        <v>0.57714522584249861</v>
      </c>
      <c r="H6" s="37">
        <f>IFERROR((Valores!G6+Valores!I6+Valores!J6)/(Valores!H6),0)</f>
        <v>0.81834853971108534</v>
      </c>
      <c r="I6" s="37">
        <f>IFERROR(Valores!K6/Valores!H6,0)</f>
        <v>0.98344365600123451</v>
      </c>
      <c r="J6" s="37">
        <f>IFERROR(Valores!K6/Valores!G6,0)</f>
        <v>1.7039795392323209</v>
      </c>
      <c r="K6" s="37">
        <f>IFERROR(Valores!L6/Valores!M6,0)</f>
        <v>3.9457330415754925</v>
      </c>
      <c r="L6" s="37">
        <f>IFERROR(Valores!N6/Valores!O6,0)</f>
        <v>0.5692036438436674</v>
      </c>
      <c r="M6" s="37">
        <f>IFERROR(Valores!P6/Valores!Q6,0)</f>
        <v>0.79939117199391174</v>
      </c>
      <c r="N6" s="37">
        <f>IFERROR(Valores!R6/Valores!S6,0)</f>
        <v>0.57053682896379521</v>
      </c>
      <c r="O6" s="35">
        <f>IF(Valores!W6&gt;0,Valores!T6/Valores!W6,IF(AND(Valores!W6=0,OR(Valores!U6&gt;0,Valores!V6&gt;0)),0,IF(AND(Valores!W6=0,Valores!U6=0,Valores!V6=0),"NC",)))</f>
        <v>8.1081081081081086E-2</v>
      </c>
      <c r="P6" s="38">
        <f>IFERROR((Valores!X6+Valores!Y6)*1000/(Valores!H6),0)</f>
        <v>4.7662858933823964</v>
      </c>
      <c r="Q6" s="39">
        <f t="array" ref="Q6">F6/MAX(IF($E$4:$E$18=$E6,F$4:F$18))</f>
        <v>0.60315719937129364</v>
      </c>
      <c r="R6" s="39">
        <f t="array" ref="R6">G6/MAX(IF($E$4:$E$18=$E6,G$4:G$18))</f>
        <v>1</v>
      </c>
      <c r="S6" s="39">
        <f t="array" ref="S6">H6/MAX(IF($E$4:$E$18=$E6,H$4:H$18))</f>
        <v>1</v>
      </c>
      <c r="T6" s="39">
        <f t="array" ref="T6">I6/MAX(IF($E$4:$E$18=$E6,I$4:I$18))</f>
        <v>1</v>
      </c>
      <c r="U6" s="39">
        <f t="array" ref="U6">J6/MAX(IF($E$4:$E$18=$E6,J$4:J$18))</f>
        <v>0.66401564106171562</v>
      </c>
      <c r="V6" s="39">
        <f t="array" ref="V6">K6/MAX(IF($E$4:$E$18=$E6,K$4:K$18))</f>
        <v>0.34978909405994324</v>
      </c>
      <c r="W6" s="39">
        <f t="array" ref="W6">L6/MAX(IF($E$4:$E$18=$E6,L$4:L$18))</f>
        <v>0.70795322620834544</v>
      </c>
      <c r="X6" s="39">
        <f t="array" ref="X6">M6/MAX(IF($E$4:$E$18=$E6,M$4:M$18))</f>
        <v>0.97415899097012359</v>
      </c>
      <c r="Y6" s="39">
        <f t="array" ref="Y6">N6/MAX(IF($E$4:$E$18=$E6,N$4:N$18))</f>
        <v>0.86219423369164794</v>
      </c>
      <c r="Z6" s="39">
        <f t="array" ref="Z6">IF(O6="NC","NC",IF(O6=0,0,IF(O6&gt;0,O6/MAX(IF($E$4:$E$18=$E6,$O$4:$O$18,"ERROR")))))</f>
        <v>0.85135135135135143</v>
      </c>
      <c r="AA6" s="40">
        <f t="array" ref="AA6">IF(P6=0,0,P6/MAX(IF($E$4:$E$18=$E6,$P$4:$P$18)))</f>
        <v>0.41096228865845907</v>
      </c>
      <c r="AB6" s="41">
        <f t="shared" si="1"/>
        <v>0.7657801841248072</v>
      </c>
      <c r="AC6" s="19">
        <f t="array" ref="AC6">SUM(IF($E$4:$E$18=$E6,$AB$4:$AB$18,"ERROR"))</f>
        <v>3.4462634651438373</v>
      </c>
      <c r="AD6" s="45">
        <f t="shared" si="2"/>
        <v>0.22220593169096134</v>
      </c>
      <c r="AE6" s="98">
        <f>VLOOKUP(E6,Categorías!$A$16:$E$19,4,0)</f>
        <v>11035462.5</v>
      </c>
      <c r="AF6" s="99">
        <f t="shared" si="3"/>
        <v>2452145.2264531655</v>
      </c>
      <c r="AG6" s="98">
        <f t="shared" si="4"/>
        <v>2452145</v>
      </c>
      <c r="AH6" s="42">
        <f t="shared" si="4"/>
        <v>2452145</v>
      </c>
      <c r="AI6" s="28">
        <f t="array" ref="AI6">AG6/(SUM(IF($C$4:$C$18=$C6,$AG$4:$AG$18,0)))</f>
        <v>0.12344773153538552</v>
      </c>
    </row>
    <row r="7" spans="1:35" x14ac:dyDescent="0.2">
      <c r="A7" s="32" t="str">
        <f>Valores!A7</f>
        <v>UNIVERSIDAD AUSTRAL DE CHILE</v>
      </c>
      <c r="B7" s="33" t="str">
        <f>Valores!B7</f>
        <v>AUS</v>
      </c>
      <c r="C7" s="34" t="str">
        <f>Valores!C7</f>
        <v>CRUCH-PRIVADA</v>
      </c>
      <c r="D7" s="34" t="str">
        <f>Valores!D7</f>
        <v>Categoría II</v>
      </c>
      <c r="E7" s="34" t="str">
        <f t="shared" si="0"/>
        <v>CRUCH-PRIVADACategoría II</v>
      </c>
      <c r="F7" s="36">
        <f>IFERROR(Valores!E7/Valores!F7*100,0)</f>
        <v>5.2860696517412942</v>
      </c>
      <c r="G7" s="37">
        <f>IFERROR(Valores!G7/Valores!H7,0)</f>
        <v>0.37686084142394877</v>
      </c>
      <c r="H7" s="37">
        <f>IFERROR((Valores!G7+Valores!I7+Valores!J7)/(Valores!H7),0)</f>
        <v>0.70931576514100902</v>
      </c>
      <c r="I7" s="37">
        <f>IFERROR(Valores!K7/Valores!H7,0)</f>
        <v>0.53092926490984815</v>
      </c>
      <c r="J7" s="37">
        <f>IFERROR(Valores!K7/Valores!G7,0)</f>
        <v>1.4088204624915661</v>
      </c>
      <c r="K7" s="37">
        <f>IFERROR(Valores!L7/Valores!M7,0)</f>
        <v>5.5581999134573774</v>
      </c>
      <c r="L7" s="37">
        <f>IFERROR(Valores!N7/Valores!O7,0)</f>
        <v>0.65958200495926322</v>
      </c>
      <c r="M7" s="37">
        <f>IFERROR(Valores!P7/Valores!Q7,0)</f>
        <v>0.81880108991825618</v>
      </c>
      <c r="N7" s="37">
        <f>IFERROR(Valores!R7/Valores!S7,0)</f>
        <v>0.66172656539459063</v>
      </c>
      <c r="O7" s="35">
        <f>IF(Valores!W7&gt;0,Valores!T7/Valores!W7,IF(AND(Valores!W7=0,OR(Valores!U7&gt;0,Valores!V7&gt;0)),0,IF(AND(Valores!W7=0,Valores!U7=0,Valores!V7=0),"NC",)))</f>
        <v>9.5238095238095233E-2</v>
      </c>
      <c r="P7" s="38">
        <f>IFERROR((Valores!X7+Valores!Y7)*1000/(Valores!H7),0)</f>
        <v>0</v>
      </c>
      <c r="Q7" s="39">
        <f t="array" ref="Q7">F7/MAX(IF($E$4:$E$18=$E7,F$4:F$18))</f>
        <v>1</v>
      </c>
      <c r="R7" s="39">
        <f t="array" ref="R7">G7/MAX(IF($E$4:$E$18=$E7,G$4:G$18))</f>
        <v>0.65297402551293582</v>
      </c>
      <c r="S7" s="39">
        <f t="array" ref="S7">H7/MAX(IF($E$4:$E$18=$E7,H$4:H$18))</f>
        <v>0.86676486939346176</v>
      </c>
      <c r="T7" s="39">
        <f t="array" ref="T7">I7/MAX(IF($E$4:$E$18=$E7,I$4:I$18))</f>
        <v>0.53986749690231539</v>
      </c>
      <c r="U7" s="39">
        <f t="array" ref="U7">J7/MAX(IF($E$4:$E$18=$E7,J$4:J$18))</f>
        <v>0.54899651140391814</v>
      </c>
      <c r="V7" s="39">
        <f t="array" ref="V7">K7/MAX(IF($E$4:$E$18=$E7,K$4:K$18))</f>
        <v>0.49273422500879882</v>
      </c>
      <c r="W7" s="39">
        <f t="array" ref="W7">L7/MAX(IF($E$4:$E$18=$E7,L$4:L$18))</f>
        <v>0.82036229635966407</v>
      </c>
      <c r="X7" s="39">
        <f t="array" ref="X7">M7/MAX(IF($E$4:$E$18=$E7,M$4:M$18))</f>
        <v>0.99781242463618403</v>
      </c>
      <c r="Y7" s="39">
        <f t="array" ref="Y7">N7/MAX(IF($E$4:$E$18=$E7,N$4:N$18))</f>
        <v>1</v>
      </c>
      <c r="Z7" s="39">
        <f t="array" ref="Z7">IF(O7="NC","NC",IF(O7=0,0,IF(O7&gt;0,O7/MAX(IF($E$4:$E$18=$E7,$O$4:$O$18,"ERROR")))))</f>
        <v>1</v>
      </c>
      <c r="AA7" s="40">
        <f t="array" ref="AA7">IF(P7=0,0,P7/MAX(IF($E$4:$E$18=$E7,$P$4:$P$18)))</f>
        <v>0</v>
      </c>
      <c r="AB7" s="41">
        <f t="shared" si="1"/>
        <v>0.71995562265611612</v>
      </c>
      <c r="AC7" s="19">
        <f t="array" ref="AC7">SUM(IF($E$4:$E$18=$E7,$AB$4:$AB$18,"ERROR"))</f>
        <v>3.4462634651438373</v>
      </c>
      <c r="AD7" s="45">
        <f t="shared" si="2"/>
        <v>0.2089090488692707</v>
      </c>
      <c r="AE7" s="98">
        <f>VLOOKUP(E7,Categorías!$A$16:$E$19,4,0)</f>
        <v>11035462.5</v>
      </c>
      <c r="AF7" s="99">
        <f t="shared" si="3"/>
        <v>2305407.9747075043</v>
      </c>
      <c r="AG7" s="98">
        <f t="shared" si="4"/>
        <v>2305408</v>
      </c>
      <c r="AH7" s="42">
        <f t="shared" si="4"/>
        <v>2305408</v>
      </c>
      <c r="AI7" s="28">
        <f t="array" ref="AI7">AG7/(SUM(IF($C$4:$C$18=$C7,$AG$4:$AG$18,0)))</f>
        <v>0.11606058689984892</v>
      </c>
    </row>
    <row r="8" spans="1:35" x14ac:dyDescent="0.2">
      <c r="A8" s="32" t="str">
        <f>Valores!A8</f>
        <v>UNIVERSIDAD CATÓLICA DEL NORTE</v>
      </c>
      <c r="B8" s="33" t="str">
        <f>Valores!B8</f>
        <v>UCN</v>
      </c>
      <c r="C8" s="34" t="str">
        <f>Valores!C8</f>
        <v>CRUCH-PRIVADA</v>
      </c>
      <c r="D8" s="34" t="str">
        <f>Valores!D8</f>
        <v>Categoría II</v>
      </c>
      <c r="E8" s="34" t="str">
        <f t="shared" si="0"/>
        <v>CRUCH-PRIVADACategoría II</v>
      </c>
      <c r="F8" s="36">
        <f>IFERROR(Valores!E8/Valores!F8*100,0)</f>
        <v>3.8411819021237301</v>
      </c>
      <c r="G8" s="37">
        <f>IFERROR(Valores!G8/Valores!H8,0)</f>
        <v>0.34677290836653335</v>
      </c>
      <c r="H8" s="37">
        <f>IFERROR((Valores!G8+Valores!I8+Valores!J8)/(Valores!H8),0)</f>
        <v>0.65964143426294741</v>
      </c>
      <c r="I8" s="37">
        <f>IFERROR(Valores!K8/Valores!H8,0)</f>
        <v>0.53466135458167252</v>
      </c>
      <c r="J8" s="37">
        <f>IFERROR(Valores!K8/Valores!G8,0)</f>
        <v>1.5418198529411764</v>
      </c>
      <c r="K8" s="37">
        <f>IFERROR(Valores!L8/Valores!M8,0)</f>
        <v>4.3774744027303756</v>
      </c>
      <c r="L8" s="37">
        <f>IFERROR(Valores!N8/Valores!O8,0)</f>
        <v>0.51402321083172142</v>
      </c>
      <c r="M8" s="37">
        <f>IFERROR(Valores!P8/Valores!Q8,0)</f>
        <v>0.81589743589743591</v>
      </c>
      <c r="N8" s="37">
        <f>IFERROR(Valores!R8/Valores!S8,0)</f>
        <v>0.65508298755186722</v>
      </c>
      <c r="O8" s="35">
        <f>IF(Valores!W8&gt;0,Valores!T8/Valores!W8,IF(AND(Valores!W8=0,OR(Valores!U8&gt;0,Valores!V8&gt;0)),0,IF(AND(Valores!W8=0,Valores!U8=0,Valores!V8=0),"NC",)))</f>
        <v>0</v>
      </c>
      <c r="P8" s="38">
        <f>IFERROR((Valores!X8+Valores!Y8)*1000/(Valores!H8),0)</f>
        <v>1.7529880478087623</v>
      </c>
      <c r="Q8" s="39">
        <f t="array" ref="Q8">F8/MAX(IF($E$4:$E$18=$E8,F$4:F$18))</f>
        <v>0.72666123513117142</v>
      </c>
      <c r="R8" s="39">
        <f t="array" ref="R8">G8/MAX(IF($E$4:$E$18=$E8,G$4:G$18))</f>
        <v>0.6008416821958894</v>
      </c>
      <c r="S8" s="39">
        <f t="array" ref="S8">H8/MAX(IF($E$4:$E$18=$E8,H$4:H$18))</f>
        <v>0.80606416734834174</v>
      </c>
      <c r="T8" s="39">
        <f t="array" ref="T8">I8/MAX(IF($E$4:$E$18=$E8,I$4:I$18))</f>
        <v>0.54366241656959891</v>
      </c>
      <c r="U8" s="39">
        <f t="array" ref="U8">J8/MAX(IF($E$4:$E$18=$E8,J$4:J$18))</f>
        <v>0.60082440808746784</v>
      </c>
      <c r="V8" s="39">
        <f t="array" ref="V8">K8/MAX(IF($E$4:$E$18=$E8,K$4:K$18))</f>
        <v>0.38806295039926442</v>
      </c>
      <c r="W8" s="39">
        <f t="array" ref="W8">L8/MAX(IF($E$4:$E$18=$E8,L$4:L$18))</f>
        <v>0.63932196216620951</v>
      </c>
      <c r="X8" s="39">
        <f t="array" ref="X8">M8/MAX(IF($E$4:$E$18=$E8,M$4:M$18))</f>
        <v>0.99427395589879075</v>
      </c>
      <c r="Y8" s="39">
        <f t="array" ref="Y8">N8/MAX(IF($E$4:$E$18=$E8,N$4:N$18))</f>
        <v>0.98996023706746339</v>
      </c>
      <c r="Z8" s="39">
        <f t="array" ref="Z8">IF(O8="NC","NC",IF(O8=0,0,IF(O8&gt;0,O8/MAX(IF($E$4:$E$18=$E8,$O$4:$O$18,"ERROR")))))</f>
        <v>0</v>
      </c>
      <c r="AA8" s="40">
        <f t="array" ref="AA8">IF(P8=0,0,P8/MAX(IF($E$4:$E$18=$E8,$P$4:$P$18)))</f>
        <v>0.1511474544820417</v>
      </c>
      <c r="AB8" s="41">
        <f t="shared" si="1"/>
        <v>0.58552913357693082</v>
      </c>
      <c r="AC8" s="19">
        <f t="array" ref="AC8">SUM(IF($E$4:$E$18=$E8,$AB$4:$AB$18,"ERROR"))</f>
        <v>3.4462634651438373</v>
      </c>
      <c r="AD8" s="45">
        <f t="shared" si="2"/>
        <v>0.16990260306534413</v>
      </c>
      <c r="AE8" s="98">
        <f>VLOOKUP(E8,Categorías!$A$16:$E$19,4,0)</f>
        <v>11035462.5</v>
      </c>
      <c r="AF8" s="99">
        <f t="shared" si="3"/>
        <v>1874953.8047799901</v>
      </c>
      <c r="AG8" s="98">
        <f t="shared" si="4"/>
        <v>1874954</v>
      </c>
      <c r="AH8" s="42">
        <f t="shared" si="4"/>
        <v>1874954</v>
      </c>
      <c r="AI8" s="28">
        <f t="array" ref="AI8">AG8/(SUM(IF($C$4:$C$18=$C8,$AG$4:$AG$18,0)))</f>
        <v>9.439034724014983E-2</v>
      </c>
    </row>
    <row r="9" spans="1:35" x14ac:dyDescent="0.2">
      <c r="A9" s="32" t="str">
        <f>Valores!A9</f>
        <v>UNIVERSIDAD TÉCNICA FEDERICO SANTA MARÍA</v>
      </c>
      <c r="B9" s="33" t="str">
        <f>Valores!B9</f>
        <v>FSM</v>
      </c>
      <c r="C9" s="34" t="str">
        <f>Valores!C9</f>
        <v>CRUCH-PRIVADA</v>
      </c>
      <c r="D9" s="34" t="str">
        <f>Valores!D9</f>
        <v>Categoría II</v>
      </c>
      <c r="E9" s="34" t="str">
        <f t="shared" si="0"/>
        <v>CRUCH-PRIVADACategoría II</v>
      </c>
      <c r="F9" s="36">
        <f>IFERROR(Valores!E9/Valores!F9*100,0)</f>
        <v>2.3192360163710775</v>
      </c>
      <c r="G9" s="37">
        <f>IFERROR(Valores!G9/Valores!H9,0)</f>
        <v>0.33783391674552998</v>
      </c>
      <c r="H9" s="37">
        <f>IFERROR((Valores!G9+Valores!I9+Valores!J9)/(Valores!H9),0)</f>
        <v>0.60121683592679021</v>
      </c>
      <c r="I9" s="37">
        <f>IFERROR(Valores!K9/Valores!H9,0)</f>
        <v>0.86694054506405027</v>
      </c>
      <c r="J9" s="37">
        <f>IFERROR(Valores!K9/Valores!G9,0)</f>
        <v>2.5661737975144292</v>
      </c>
      <c r="K9" s="37">
        <f>IFERROR(Valores!L9/Valores!M9,0)</f>
        <v>11.280320366132724</v>
      </c>
      <c r="L9" s="37">
        <f>IFERROR(Valores!N9/Valores!O9,0)</f>
        <v>0.54303278688524592</v>
      </c>
      <c r="M9" s="37">
        <f>IFERROR(Valores!P9/Valores!Q9,0)</f>
        <v>0.82059620596205962</v>
      </c>
      <c r="N9" s="37">
        <f>IFERROR(Valores!R9/Valores!S9,0)</f>
        <v>0.61661166116611665</v>
      </c>
      <c r="O9" s="35">
        <f>IF(Valores!W9&gt;0,Valores!T9/Valores!W9,IF(AND(Valores!W9=0,OR(Valores!U9&gt;0,Valores!V9&gt;0)),0,IF(AND(Valores!W9=0,Valores!U9=0,Valores!V9=0),"NC",)))</f>
        <v>5.2631578947368418E-2</v>
      </c>
      <c r="P9" s="38">
        <f>IFERROR((Valores!X9+Valores!Y9)*1000/(Valores!H9),0)</f>
        <v>11.597866823599336</v>
      </c>
      <c r="Q9" s="39">
        <f t="array" ref="Q9">F9/MAX(IF($E$4:$E$18=$E9,F$4:F$18))</f>
        <v>0.43874488403819906</v>
      </c>
      <c r="R9" s="39">
        <f t="array" ref="R9">G9/MAX(IF($E$4:$E$18=$E9,G$4:G$18))</f>
        <v>0.58535339394408148</v>
      </c>
      <c r="S9" s="39">
        <f t="array" ref="S9">H9/MAX(IF($E$4:$E$18=$E9,H$4:H$18))</f>
        <v>0.73467087280322807</v>
      </c>
      <c r="T9" s="39">
        <f t="array" ref="T9">I9/MAX(IF($E$4:$E$18=$E9,I$4:I$18))</f>
        <v>0.88153555089175539</v>
      </c>
      <c r="U9" s="39">
        <f t="array" ref="U9">J9/MAX(IF($E$4:$E$18=$E9,J$4:J$18))</f>
        <v>1</v>
      </c>
      <c r="V9" s="39">
        <f t="array" ref="V9">K9/MAX(IF($E$4:$E$18=$E9,K$4:K$18))</f>
        <v>1</v>
      </c>
      <c r="W9" s="39">
        <f t="array" ref="W9">L9/MAX(IF($E$4:$E$18=$E9,L$4:L$18))</f>
        <v>0.67540293807027396</v>
      </c>
      <c r="X9" s="39">
        <f t="array" ref="X9">M9/MAX(IF($E$4:$E$18=$E9,M$4:M$18))</f>
        <v>1</v>
      </c>
      <c r="Y9" s="39">
        <f t="array" ref="Y9">N9/MAX(IF($E$4:$E$18=$E9,N$4:N$18))</f>
        <v>0.93182243756290528</v>
      </c>
      <c r="Z9" s="39">
        <f t="array" ref="Z9">IF(O9="NC","NC",IF(O9=0,0,IF(O9&gt;0,O9/MAX(IF($E$4:$E$18=$E9,$O$4:$O$18,"ERROR")))))</f>
        <v>0.55263157894736847</v>
      </c>
      <c r="AA9" s="40">
        <f t="array" ref="AA9">IF(P9=0,0,P9/MAX(IF($E$4:$E$18=$E9,$P$4:$P$18)))</f>
        <v>1</v>
      </c>
      <c r="AB9" s="41">
        <f t="shared" si="1"/>
        <v>0.80001469602343744</v>
      </c>
      <c r="AC9" s="19">
        <f t="array" ref="AC9">SUM(IF($E$4:$E$18=$E9,$AB$4:$AB$18,"ERROR"))</f>
        <v>3.4462634651438373</v>
      </c>
      <c r="AD9" s="45">
        <f t="shared" si="2"/>
        <v>0.23213973746201877</v>
      </c>
      <c r="AE9" s="98">
        <f>VLOOKUP(E9,Categorías!$A$16:$E$19,4,0)</f>
        <v>11035462.5</v>
      </c>
      <c r="AF9" s="99">
        <f t="shared" si="3"/>
        <v>2561769.3675219533</v>
      </c>
      <c r="AG9" s="98">
        <f t="shared" si="4"/>
        <v>2561769</v>
      </c>
      <c r="AH9" s="42">
        <f t="shared" si="4"/>
        <v>2561769</v>
      </c>
      <c r="AI9" s="28">
        <f t="array" ref="AI9">AG9/(SUM(IF($C$4:$C$18=$C9,$AG$4:$AG$18,0)))</f>
        <v>0.12896650555643041</v>
      </c>
    </row>
    <row r="10" spans="1:35" x14ac:dyDescent="0.2">
      <c r="A10" s="32" t="str">
        <f>Valores!A10</f>
        <v>UNIVERSIDAD CATÓLICA DE TEMUCO</v>
      </c>
      <c r="B10" s="33" t="str">
        <f>Valores!B10</f>
        <v>UCT</v>
      </c>
      <c r="C10" s="34" t="str">
        <f>Valores!C10</f>
        <v>CRUCH-PRIVADA</v>
      </c>
      <c r="D10" s="34" t="str">
        <f>Valores!D10</f>
        <v>Categoría II</v>
      </c>
      <c r="E10" s="34" t="str">
        <f t="shared" si="0"/>
        <v>CRUCH-PRIVADACategoría II</v>
      </c>
      <c r="F10" s="36">
        <f>IFERROR(Valores!E10/Valores!F10*100,0)</f>
        <v>3.014977630811126</v>
      </c>
      <c r="G10" s="37">
        <f>IFERROR(Valores!G10/Valores!H10,0)</f>
        <v>0.3058350211732489</v>
      </c>
      <c r="H10" s="37">
        <f>IFERROR((Valores!G10+Valores!I10+Valores!J10)/(Valores!H10),0)</f>
        <v>0.6876110566251824</v>
      </c>
      <c r="I10" s="37">
        <f>IFERROR(Valores!K10/Valores!H10,0)</f>
        <v>0.26154693145735253</v>
      </c>
      <c r="J10" s="37">
        <f>IFERROR(Valores!K10/Valores!G10,0)</f>
        <v>0.85518960665133192</v>
      </c>
      <c r="K10" s="37">
        <f>IFERROR(Valores!L10/Valores!M10,0)</f>
        <v>2.5116279069767442</v>
      </c>
      <c r="L10" s="37">
        <f>IFERROR(Valores!N10/Valores!O10,0)</f>
        <v>0.8040130657956136</v>
      </c>
      <c r="M10" s="37">
        <f>IFERROR(Valores!P10/Valores!Q10,0)</f>
        <v>0.81775700934579443</v>
      </c>
      <c r="N10" s="37">
        <f>IFERROR(Valores!R10/Valores!S10,0)</f>
        <v>0.65571975916803504</v>
      </c>
      <c r="O10" s="35" t="str">
        <f>IF(Valores!W10&gt;0,Valores!T10/Valores!W10,IF(AND(Valores!W10=0,OR(Valores!U10&gt;0,Valores!V10&gt;0)),0,IF(AND(Valores!W10=0,Valores!U10=0,Valores!V10=0),"NC",)))</f>
        <v>NC</v>
      </c>
      <c r="P10" s="38">
        <f>IFERROR((Valores!X10+Valores!Y10)*1000/(Valores!H10),0)</f>
        <v>0</v>
      </c>
      <c r="Q10" s="39">
        <f t="array" ref="Q10">F10/MAX(IF($E$4:$E$18=$E10,F$4:F$18))</f>
        <v>0.57036282709932828</v>
      </c>
      <c r="R10" s="39">
        <f t="array" ref="R10">G10/MAX(IF($E$4:$E$18=$E10,G$4:G$18))</f>
        <v>0.52990999055185883</v>
      </c>
      <c r="S10" s="39">
        <f t="array" ref="S10">H10/MAX(IF($E$4:$E$18=$E10,H$4:H$18))</f>
        <v>0.84024229684327501</v>
      </c>
      <c r="T10" s="39">
        <f t="array" ref="T10">I10/MAX(IF($E$4:$E$18=$E10,I$4:I$18))</f>
        <v>0.26595009267823699</v>
      </c>
      <c r="U10" s="39">
        <f t="array" ref="U10">J10/MAX(IF($E$4:$E$18=$E10,J$4:J$18))</f>
        <v>0.33325474972882202</v>
      </c>
      <c r="V10" s="39">
        <f t="array" ref="V10">K10/MAX(IF($E$4:$E$18=$E10,K$4:K$18))</f>
        <v>0.22265572478929652</v>
      </c>
      <c r="W10" s="39">
        <f t="array" ref="W10">L10/MAX(IF($E$4:$E$18=$E10,L$4:L$18))</f>
        <v>1</v>
      </c>
      <c r="X10" s="39">
        <f t="array" ref="X10">M10/MAX(IF($E$4:$E$18=$E10,M$4:M$18))</f>
        <v>0.99654008074173761</v>
      </c>
      <c r="Y10" s="39">
        <f t="array" ref="Y10">N10/MAX(IF($E$4:$E$18=$E10,N$4:N$18))</f>
        <v>0.99092252519290391</v>
      </c>
      <c r="Z10" s="39" t="str">
        <f t="array" ref="Z10">IF(O10="NC","NC",IF(O10=0,0,IF(O10&gt;0,O10/MAX(IF($E$4:$E$18=$E10,$O$4:$O$18,"ERROR")))))</f>
        <v>NC</v>
      </c>
      <c r="AA10" s="40">
        <f t="array" ref="AA10">IF(P10=0,0,P10/MAX(IF($E$4:$E$18=$E10,$P$4:$P$18)))</f>
        <v>0</v>
      </c>
      <c r="AB10" s="41">
        <f t="shared" si="1"/>
        <v>0.57498382876254595</v>
      </c>
      <c r="AC10" s="19">
        <f t="array" ref="AC10">SUM(IF($E$4:$E$18=$E10,$AB$4:$AB$18,"ERROR"))</f>
        <v>3.4462634651438373</v>
      </c>
      <c r="AD10" s="45">
        <f t="shared" si="2"/>
        <v>0.16684267891240515</v>
      </c>
      <c r="AE10" s="98">
        <f>VLOOKUP(E10,Categorías!$A$16:$E$19,4,0)</f>
        <v>11035462.5</v>
      </c>
      <c r="AF10" s="99">
        <f t="shared" si="3"/>
        <v>1841186.1265373877</v>
      </c>
      <c r="AG10" s="98">
        <f t="shared" si="4"/>
        <v>1841186</v>
      </c>
      <c r="AH10" s="42">
        <f t="shared" si="4"/>
        <v>1841186</v>
      </c>
      <c r="AI10" s="28">
        <f t="array" ref="AI10">AG10/(SUM(IF($C$4:$C$18=$C10,$AG$4:$AG$18,0)))</f>
        <v>9.2690373136462292E-2</v>
      </c>
    </row>
    <row r="11" spans="1:35" x14ac:dyDescent="0.2">
      <c r="A11" s="32" t="str">
        <f>Valores!A11</f>
        <v>UNIVERSIDAD CATÓLICA DE LA SANTÍSIMA CONCEPCIÓN</v>
      </c>
      <c r="B11" s="33" t="str">
        <f>Valores!B11</f>
        <v>USC</v>
      </c>
      <c r="C11" s="34" t="str">
        <f>Valores!C11</f>
        <v>CRUCH-PRIVADA</v>
      </c>
      <c r="D11" s="34" t="str">
        <f>Valores!D11</f>
        <v>Categoría III</v>
      </c>
      <c r="E11" s="34" t="str">
        <f t="shared" si="0"/>
        <v>CRUCH-PRIVADACategoría III</v>
      </c>
      <c r="F11" s="36">
        <f>IFERROR(Valores!E11/Valores!F11*100,0)</f>
        <v>2.0235967107615305</v>
      </c>
      <c r="G11" s="37">
        <f>IFERROR(Valores!G11/Valores!H11,0)</f>
        <v>0.22558185018580493</v>
      </c>
      <c r="H11" s="37">
        <f>IFERROR((Valores!G11+Valores!I11+Valores!J11)/(Valores!H11),0)</f>
        <v>0.61095247408567488</v>
      </c>
      <c r="I11" s="37">
        <f>IFERROR(Valores!K11/Valores!H11,0)</f>
        <v>0.16350479170741539</v>
      </c>
      <c r="J11" s="37">
        <f>IFERROR(Valores!K11/Valores!G11,0)</f>
        <v>0.72481359458990813</v>
      </c>
      <c r="K11" s="37">
        <f>IFERROR(Valores!L11/Valores!M11,0)</f>
        <v>2.859078590785908</v>
      </c>
      <c r="L11" s="37">
        <f>IFERROR(Valores!N11/Valores!O11,0)</f>
        <v>0.76919060052219324</v>
      </c>
      <c r="M11" s="37">
        <f>IFERROR(Valores!P11/Valores!Q11,0)</f>
        <v>0.83566238121855785</v>
      </c>
      <c r="N11" s="37">
        <f>IFERROR(Valores!R11/Valores!S11,0)</f>
        <v>0.70404777704047772</v>
      </c>
      <c r="O11" s="35" t="str">
        <f>IF(Valores!W11&gt;0,Valores!T11/Valores!W11,IF(AND(Valores!W11=0,OR(Valores!U11&gt;0,Valores!V11&gt;0)),0,IF(AND(Valores!W11=0,Valores!U11=0,Valores!V11=0),"NC",)))</f>
        <v>NC</v>
      </c>
      <c r="P11" s="38">
        <f>IFERROR((Valores!X11+Valores!Y11)*1000/(Valores!H11),0)</f>
        <v>0</v>
      </c>
      <c r="Q11" s="39">
        <f t="array" ref="Q11">F11/MAX(IF($E$4:$E$18=$E11,F$4:F$18))</f>
        <v>0.54219655925054566</v>
      </c>
      <c r="R11" s="39">
        <f t="array" ref="R11">G11/MAX(IF($E$4:$E$18=$E11,G$4:G$18))</f>
        <v>0.72759391842716348</v>
      </c>
      <c r="S11" s="39">
        <f t="array" ref="S11">H11/MAX(IF($E$4:$E$18=$E11,H$4:H$18))</f>
        <v>0.77568608464613431</v>
      </c>
      <c r="T11" s="39">
        <f t="array" ref="T11">I11/MAX(IF($E$4:$E$18=$E11,I$4:I$18))</f>
        <v>0.77517030767310524</v>
      </c>
      <c r="U11" s="39">
        <f t="array" ref="U11">J11/MAX(IF($E$4:$E$18=$E11,J$4:J$18))</f>
        <v>1</v>
      </c>
      <c r="V11" s="39">
        <f t="array" ref="V11">K11/MAX(IF($E$4:$E$18=$E11,K$4:K$18))</f>
        <v>0.77798056892133549</v>
      </c>
      <c r="W11" s="39">
        <f t="array" ref="W11">L11/MAX(IF($E$4:$E$18=$E11,L$4:L$18))</f>
        <v>0.97202901073397163</v>
      </c>
      <c r="X11" s="39">
        <f t="array" ref="X11">M11/MAX(IF($E$4:$E$18=$E11,M$4:M$18))</f>
        <v>0.95215681470027458</v>
      </c>
      <c r="Y11" s="39">
        <f t="array" ref="Y11">N11/MAX(IF($E$4:$E$18=$E11,N$4:N$18))</f>
        <v>0.96030531690136445</v>
      </c>
      <c r="Z11" s="39" t="str">
        <f t="array" ref="Z11">IF(O11="NC","NC",IF(O11=0,0,IF(O11&gt;0,O11/MAX(IF($E$4:$E$18=$E11,$O$4:$O$18,"ERROR")))))</f>
        <v>NC</v>
      </c>
      <c r="AA11" s="40">
        <f t="array" ref="AA11">IF(P11=0,0,P11/MAX(IF($E$4:$E$18=$E11,$P$4:$P$18)))</f>
        <v>0</v>
      </c>
      <c r="AB11" s="41">
        <f t="shared" si="1"/>
        <v>0.74831185812538958</v>
      </c>
      <c r="AC11" s="19">
        <f t="array" ref="AC11">SUM(IF($E$4:$E$18=$E11,$AB$4:$AB$18,"ERROR"))</f>
        <v>1.7421743179261582</v>
      </c>
      <c r="AD11" s="45">
        <f t="shared" si="2"/>
        <v>0.42952754522071118</v>
      </c>
      <c r="AE11" s="98">
        <f>VLOOKUP(E11,Categorías!$A$16:$E$19,4,0)</f>
        <v>2207092.5</v>
      </c>
      <c r="AF11" s="99">
        <f t="shared" si="3"/>
        <v>948007.02360004245</v>
      </c>
      <c r="AG11" s="98">
        <f t="shared" si="4"/>
        <v>948007</v>
      </c>
      <c r="AH11" s="42">
        <f t="shared" si="4"/>
        <v>948007</v>
      </c>
      <c r="AI11" s="28">
        <f t="array" ref="AI11">AG11/(SUM(IF($C$4:$C$18=$C11,$AG$4:$AG$18,0)))</f>
        <v>4.7725282815521193E-2</v>
      </c>
    </row>
    <row r="12" spans="1:35" x14ac:dyDescent="0.2">
      <c r="A12" s="32" t="str">
        <f>Valores!A12</f>
        <v>UNIVERSIDAD CATÓLICA DEL MAULE</v>
      </c>
      <c r="B12" s="33" t="str">
        <f>Valores!B12</f>
        <v>UCM</v>
      </c>
      <c r="C12" s="34" t="str">
        <f>Valores!C12</f>
        <v>CRUCH-PRIVADA</v>
      </c>
      <c r="D12" s="34" t="str">
        <f>Valores!D12</f>
        <v>Categoría III</v>
      </c>
      <c r="E12" s="34" t="str">
        <f t="shared" si="0"/>
        <v>CRUCH-PRIVADACategoría III</v>
      </c>
      <c r="F12" s="36">
        <f>IFERROR(Valores!E12/Valores!F12*100,0)</f>
        <v>3.7322197572752187</v>
      </c>
      <c r="G12" s="37">
        <f>IFERROR(Valores!G12/Valores!H12,0)</f>
        <v>0.31003811944091592</v>
      </c>
      <c r="H12" s="37">
        <f>IFERROR((Valores!G12+Valores!I12+Valores!J12)/(Valores!H12),0)</f>
        <v>0.7876285087212691</v>
      </c>
      <c r="I12" s="37">
        <f>IFERROR(Valores!K12/Valores!H12,0)</f>
        <v>0.21092757306226248</v>
      </c>
      <c r="J12" s="37">
        <f>IFERROR(Valores!K12/Valores!G12,0)</f>
        <v>0.68032786885245899</v>
      </c>
      <c r="K12" s="37">
        <f>IFERROR(Valores!L12/Valores!M12,0)</f>
        <v>3.6749999999999998</v>
      </c>
      <c r="L12" s="37">
        <f>IFERROR(Valores!N12/Valores!O12,0)</f>
        <v>0.79132473622508792</v>
      </c>
      <c r="M12" s="37">
        <f>IFERROR(Valores!P12/Valores!Q12,0)</f>
        <v>0.8776520509193777</v>
      </c>
      <c r="N12" s="37">
        <f>IFERROR(Valores!R12/Valores!S12,0)</f>
        <v>0.73314993122420913</v>
      </c>
      <c r="O12" s="35" t="str">
        <f>IF(Valores!W12&gt;0,Valores!T12/Valores!W12,IF(AND(Valores!W12=0,OR(Valores!U12&gt;0,Valores!V12&gt;0)),0,IF(AND(Valores!W12=0,Valores!U12=0,Valores!V12=0),"NC",)))</f>
        <v>NC</v>
      </c>
      <c r="P12" s="38">
        <f>IFERROR((Valores!X12+Valores!Y12)*1000/(Valores!H12),0)</f>
        <v>5.0825921219822288</v>
      </c>
      <c r="Q12" s="39">
        <f t="array" ref="Q12">F12/MAX(IF($E$4:$E$18=$E12,F$4:F$18))</f>
        <v>1</v>
      </c>
      <c r="R12" s="39">
        <f t="array" ref="R12">G12/MAX(IF($E$4:$E$18=$E12,G$4:G$18))</f>
        <v>1</v>
      </c>
      <c r="S12" s="39">
        <f t="array" ref="S12">H12/MAX(IF($E$4:$E$18=$E12,H$4:H$18))</f>
        <v>1</v>
      </c>
      <c r="T12" s="39">
        <f t="array" ref="T12">I12/MAX(IF($E$4:$E$18=$E12,I$4:I$18))</f>
        <v>1</v>
      </c>
      <c r="U12" s="39">
        <f t="array" ref="U12">J12/MAX(IF($E$4:$E$18=$E12,J$4:J$18))</f>
        <v>0.93862459800768683</v>
      </c>
      <c r="V12" s="39">
        <f t="array" ref="V12">K12/MAX(IF($E$4:$E$18=$E12,K$4:K$18))</f>
        <v>1</v>
      </c>
      <c r="W12" s="39">
        <f t="array" ref="W12">L12/MAX(IF($E$4:$E$18=$E12,L$4:L$18))</f>
        <v>1</v>
      </c>
      <c r="X12" s="39">
        <f t="array" ref="X12">M12/MAX(IF($E$4:$E$18=$E12,M$4:M$18))</f>
        <v>1</v>
      </c>
      <c r="Y12" s="39">
        <f t="array" ref="Y12">N12/MAX(IF($E$4:$E$18=$E12,N$4:N$18))</f>
        <v>1</v>
      </c>
      <c r="Z12" s="39" t="str">
        <f t="array" ref="Z12">IF(O12="NC","NC",IF(O12=0,0,IF(O12&gt;0,O12/MAX(IF($E$4:$E$18=$E12,$O$4:$O$18,"ERROR")))))</f>
        <v>NC</v>
      </c>
      <c r="AA12" s="40">
        <f t="array" ref="AA12">IF(P12=0,0,P12/MAX(IF($E$4:$E$18=$E12,$P$4:$P$18)))</f>
        <v>1</v>
      </c>
      <c r="AB12" s="41">
        <f t="shared" si="1"/>
        <v>0.9938624598007687</v>
      </c>
      <c r="AC12" s="19">
        <f t="array" ref="AC12">SUM(IF($E$4:$E$18=$E12,$AB$4:$AB$18,"ERROR"))</f>
        <v>1.7421743179261582</v>
      </c>
      <c r="AD12" s="45">
        <f t="shared" si="2"/>
        <v>0.57047245477928887</v>
      </c>
      <c r="AE12" s="98">
        <f>VLOOKUP(E12,Categorías!$A$16:$E$19,4,0)</f>
        <v>2207092.5</v>
      </c>
      <c r="AF12" s="99">
        <f t="shared" si="3"/>
        <v>1259085.4763999577</v>
      </c>
      <c r="AG12" s="98">
        <f t="shared" si="4"/>
        <v>1259085</v>
      </c>
      <c r="AH12" s="42">
        <f t="shared" si="4"/>
        <v>1259085</v>
      </c>
      <c r="AI12" s="28">
        <f t="array" ref="AI12">AG12/(SUM(IF($C$4:$C$18=$C12,$AG$4:$AG$18,0)))</f>
        <v>6.3385805921032753E-2</v>
      </c>
    </row>
    <row r="13" spans="1:35" x14ac:dyDescent="0.2">
      <c r="AF13" s="100">
        <f>SUM(AF4:AF12)</f>
        <v>19863832.5</v>
      </c>
      <c r="AG13" s="101">
        <f>SUM(AG4:AG12)</f>
        <v>19863832</v>
      </c>
      <c r="AH13" s="92">
        <f t="shared" si="4"/>
        <v>19863832</v>
      </c>
    </row>
    <row r="19" spans="31:35" x14ac:dyDescent="0.2">
      <c r="AG19" s="46"/>
      <c r="AH19" s="46"/>
      <c r="AI19" s="46"/>
    </row>
    <row r="20" spans="31:35" x14ac:dyDescent="0.2">
      <c r="AG20" s="46"/>
      <c r="AH20" s="46"/>
      <c r="AI20" s="46"/>
    </row>
    <row r="21" spans="31:35" x14ac:dyDescent="0.2">
      <c r="AG21" s="48"/>
      <c r="AH21" s="46"/>
      <c r="AI21" s="48"/>
    </row>
    <row r="22" spans="31:35" x14ac:dyDescent="0.2">
      <c r="AG22" s="48"/>
      <c r="AH22" s="46"/>
      <c r="AI22" s="48"/>
    </row>
    <row r="23" spans="31:35" x14ac:dyDescent="0.2">
      <c r="AG23" s="48"/>
      <c r="AH23" s="46"/>
      <c r="AI23" s="48"/>
    </row>
    <row r="24" spans="31:35" x14ac:dyDescent="0.2">
      <c r="AG24" s="48"/>
      <c r="AH24" s="46"/>
      <c r="AI24" s="48"/>
    </row>
    <row r="25" spans="31:35" x14ac:dyDescent="0.2">
      <c r="AG25" s="48"/>
      <c r="AH25" s="46"/>
      <c r="AI25" s="48"/>
    </row>
    <row r="26" spans="31:35" x14ac:dyDescent="0.2">
      <c r="AE26" s="47"/>
      <c r="AF26" s="48"/>
      <c r="AG26" s="48"/>
      <c r="AH26" s="46"/>
      <c r="AI26" s="48"/>
    </row>
    <row r="27" spans="31:35" x14ac:dyDescent="0.2">
      <c r="AE27" s="47"/>
      <c r="AF27" s="48"/>
      <c r="AG27" s="48"/>
      <c r="AH27" s="46"/>
      <c r="AI27" s="48"/>
    </row>
    <row r="28" spans="31:35" x14ac:dyDescent="0.2">
      <c r="AE28" s="47"/>
      <c r="AF28" s="48"/>
      <c r="AG28" s="48"/>
      <c r="AH28" s="46"/>
      <c r="AI28" s="48"/>
    </row>
    <row r="29" spans="31:35" x14ac:dyDescent="0.2">
      <c r="AE29" s="47"/>
      <c r="AF29" s="48"/>
      <c r="AG29" s="48"/>
      <c r="AH29" s="46"/>
      <c r="AI29" s="48"/>
    </row>
    <row r="30" spans="31:35" x14ac:dyDescent="0.2">
      <c r="AE30" s="47"/>
      <c r="AF30" s="48"/>
      <c r="AG30" s="48"/>
      <c r="AH30" s="46"/>
      <c r="AI30" s="48"/>
    </row>
    <row r="31" spans="31:35" x14ac:dyDescent="0.2">
      <c r="AE31" s="47"/>
      <c r="AF31" s="48"/>
      <c r="AG31" s="48"/>
      <c r="AH31" s="46"/>
      <c r="AI31" s="48"/>
    </row>
    <row r="32" spans="31:35" x14ac:dyDescent="0.2">
      <c r="AE32" s="47"/>
      <c r="AF32" s="48"/>
      <c r="AG32" s="48"/>
      <c r="AH32" s="46"/>
      <c r="AI32" s="48"/>
    </row>
    <row r="33" spans="17:35" x14ac:dyDescent="0.2">
      <c r="AE33" s="47"/>
      <c r="AF33" s="48"/>
      <c r="AG33" s="48"/>
      <c r="AH33" s="46"/>
      <c r="AI33" s="48"/>
    </row>
    <row r="34" spans="17:35" x14ac:dyDescent="0.2">
      <c r="AE34" s="47"/>
      <c r="AF34" s="48"/>
      <c r="AG34" s="48"/>
      <c r="AH34" s="46"/>
      <c r="AI34" s="48"/>
    </row>
    <row r="35" spans="17:35" x14ac:dyDescent="0.2">
      <c r="AE35" s="47"/>
      <c r="AF35" s="48"/>
      <c r="AG35" s="48"/>
      <c r="AH35" s="46"/>
      <c r="AI35" s="48"/>
    </row>
    <row r="36" spans="17:35" x14ac:dyDescent="0.2">
      <c r="AE36" s="47"/>
      <c r="AF36" s="48"/>
      <c r="AG36" s="48"/>
      <c r="AH36" s="46"/>
      <c r="AI36" s="48"/>
    </row>
    <row r="37" spans="17:35" x14ac:dyDescent="0.2">
      <c r="AE37" s="47"/>
      <c r="AF37" s="48"/>
      <c r="AG37" s="48"/>
      <c r="AH37" s="46"/>
      <c r="AI37" s="48"/>
    </row>
    <row r="38" spans="17:35" x14ac:dyDescent="0.2">
      <c r="AE38" s="47"/>
      <c r="AF38" s="48"/>
      <c r="AG38" s="48"/>
      <c r="AH38" s="46"/>
      <c r="AI38" s="48"/>
    </row>
    <row r="39" spans="17:35" x14ac:dyDescent="0.2">
      <c r="AE39" s="47"/>
      <c r="AF39" s="48"/>
      <c r="AG39" s="48"/>
      <c r="AH39" s="46"/>
      <c r="AI39" s="48"/>
    </row>
    <row r="40" spans="17:35" x14ac:dyDescent="0.2">
      <c r="AE40" s="47"/>
      <c r="AF40" s="48"/>
      <c r="AG40" s="48"/>
      <c r="AH40" s="46"/>
      <c r="AI40" s="48"/>
    </row>
    <row r="41" spans="17:35" x14ac:dyDescent="0.2">
      <c r="AE41" s="47"/>
      <c r="AF41" s="48"/>
      <c r="AG41" s="48"/>
      <c r="AH41" s="46"/>
      <c r="AI41" s="48"/>
    </row>
    <row r="42" spans="17:35" x14ac:dyDescent="0.2">
      <c r="AE42" s="47"/>
      <c r="AF42" s="48"/>
      <c r="AG42" s="48"/>
      <c r="AH42" s="46"/>
      <c r="AI42" s="48"/>
    </row>
    <row r="43" spans="17:35" x14ac:dyDescent="0.2">
      <c r="AE43" s="47"/>
      <c r="AF43" s="48"/>
      <c r="AG43" s="48"/>
      <c r="AH43" s="46"/>
      <c r="AI43" s="48"/>
    </row>
    <row r="44" spans="17:35" x14ac:dyDescent="0.2">
      <c r="AE44" s="47"/>
      <c r="AF44" s="48"/>
      <c r="AG44" s="48"/>
      <c r="AH44" s="46"/>
      <c r="AI44" s="48"/>
    </row>
    <row r="45" spans="17:35" x14ac:dyDescent="0.2">
      <c r="AE45" s="47"/>
      <c r="AF45" s="48"/>
      <c r="AG45" s="48"/>
      <c r="AH45" s="46"/>
      <c r="AI45" s="48"/>
    </row>
    <row r="46" spans="17:35" x14ac:dyDescent="0.2">
      <c r="AE46" s="47"/>
      <c r="AF46" s="48"/>
      <c r="AG46" s="48"/>
      <c r="AH46" s="46"/>
      <c r="AI46" s="48"/>
    </row>
    <row r="47" spans="17:35" x14ac:dyDescent="0.2">
      <c r="AD47" s="46"/>
      <c r="AE47" s="47"/>
      <c r="AF47" s="48"/>
      <c r="AG47" s="48"/>
      <c r="AH47" s="46"/>
      <c r="AI47" s="48"/>
    </row>
    <row r="48" spans="17:35" x14ac:dyDescent="0.2">
      <c r="Q48" s="52" t="e">
        <f>#REF!-#REF!</f>
        <v>#REF!</v>
      </c>
      <c r="R48" s="52" t="e">
        <f>#REF!-#REF!</f>
        <v>#REF!</v>
      </c>
      <c r="S48" s="52" t="e">
        <f>#REF!-#REF!</f>
        <v>#REF!</v>
      </c>
      <c r="T48" s="52" t="e">
        <f>#REF!-#REF!</f>
        <v>#REF!</v>
      </c>
      <c r="U48" s="52" t="e">
        <f>#REF!-#REF!</f>
        <v>#REF!</v>
      </c>
      <c r="V48" s="52"/>
      <c r="W48" s="52"/>
      <c r="X48" s="52"/>
      <c r="Y48" s="52"/>
      <c r="Z48" s="52"/>
      <c r="AA48" s="52"/>
      <c r="AB48" s="52"/>
      <c r="AC48" s="52"/>
      <c r="AD48" s="52"/>
      <c r="AE48" s="47"/>
      <c r="AF48" s="48"/>
      <c r="AG48" s="48"/>
      <c r="AH48" s="46"/>
      <c r="AI48" s="48"/>
    </row>
    <row r="49" spans="17:35" x14ac:dyDescent="0.2">
      <c r="Q49" s="52" t="e">
        <f>#REF!-Q18</f>
        <v>#REF!</v>
      </c>
      <c r="R49" s="52" t="e">
        <f>#REF!-R18</f>
        <v>#REF!</v>
      </c>
      <c r="S49" s="52" t="e">
        <f>#REF!-S18</f>
        <v>#REF!</v>
      </c>
      <c r="T49" s="52" t="e">
        <f>#REF!-T18</f>
        <v>#REF!</v>
      </c>
      <c r="U49" s="52" t="e">
        <f>#REF!-U18</f>
        <v>#REF!</v>
      </c>
      <c r="V49" s="52"/>
      <c r="W49" s="52"/>
      <c r="X49" s="52"/>
      <c r="Y49" s="52"/>
      <c r="Z49" s="52"/>
      <c r="AA49" s="52"/>
      <c r="AB49" s="52"/>
      <c r="AC49" s="52"/>
      <c r="AD49" s="52"/>
      <c r="AE49" s="47"/>
      <c r="AF49" s="48"/>
      <c r="AG49" s="48"/>
      <c r="AH49" s="46"/>
      <c r="AI49" s="48"/>
    </row>
    <row r="50" spans="17:35" x14ac:dyDescent="0.2">
      <c r="Q50" s="52" t="e">
        <f>#REF!-Q19</f>
        <v>#REF!</v>
      </c>
      <c r="R50" s="52" t="e">
        <f>#REF!-R19</f>
        <v>#REF!</v>
      </c>
      <c r="S50" s="52" t="e">
        <f>#REF!-S19</f>
        <v>#REF!</v>
      </c>
      <c r="T50" s="52" t="e">
        <f>#REF!-T19</f>
        <v>#REF!</v>
      </c>
      <c r="U50" s="52" t="e">
        <f>#REF!-U19</f>
        <v>#REF!</v>
      </c>
      <c r="V50" s="52"/>
      <c r="W50" s="52"/>
      <c r="X50" s="52"/>
      <c r="Y50" s="52"/>
      <c r="Z50" s="52"/>
      <c r="AA50" s="52"/>
      <c r="AB50" s="52"/>
      <c r="AC50" s="52"/>
      <c r="AD50" s="52"/>
      <c r="AE50" s="47"/>
      <c r="AF50" s="48"/>
      <c r="AG50" s="48"/>
      <c r="AH50" s="46"/>
      <c r="AI50" s="48"/>
    </row>
    <row r="51" spans="17:35" x14ac:dyDescent="0.2">
      <c r="Q51" s="52" t="e">
        <f>#REF!-Q20</f>
        <v>#REF!</v>
      </c>
      <c r="R51" s="52" t="e">
        <f>#REF!-R20</f>
        <v>#REF!</v>
      </c>
      <c r="S51" s="52" t="e">
        <f>#REF!-S20</f>
        <v>#REF!</v>
      </c>
      <c r="T51" s="52" t="e">
        <f>#REF!-T20</f>
        <v>#REF!</v>
      </c>
      <c r="U51" s="52" t="e">
        <f>#REF!-U20</f>
        <v>#REF!</v>
      </c>
      <c r="V51" s="52"/>
      <c r="W51" s="52"/>
      <c r="X51" s="52"/>
      <c r="Y51" s="52"/>
      <c r="Z51" s="52"/>
      <c r="AA51" s="52"/>
      <c r="AB51" s="52"/>
      <c r="AC51" s="52"/>
      <c r="AD51" s="52"/>
      <c r="AE51" s="46"/>
      <c r="AF51" s="46"/>
      <c r="AG51" s="48"/>
      <c r="AH51" s="46"/>
      <c r="AI51" s="48"/>
    </row>
    <row r="52" spans="17:35" x14ac:dyDescent="0.2">
      <c r="Q52" s="52" t="e">
        <f>#REF!-Q21</f>
        <v>#REF!</v>
      </c>
      <c r="R52" s="52" t="e">
        <f>#REF!-R21</f>
        <v>#REF!</v>
      </c>
      <c r="S52" s="52" t="e">
        <f>#REF!-S21</f>
        <v>#REF!</v>
      </c>
      <c r="T52" s="52" t="e">
        <f>#REF!-T21</f>
        <v>#REF!</v>
      </c>
      <c r="U52" s="52" t="e">
        <f>#REF!-U21</f>
        <v>#REF!</v>
      </c>
      <c r="V52" s="52"/>
      <c r="W52" s="52"/>
      <c r="X52" s="52"/>
      <c r="Y52" s="52"/>
      <c r="Z52" s="52"/>
      <c r="AA52" s="52"/>
      <c r="AB52" s="52"/>
      <c r="AC52" s="52"/>
      <c r="AD52" s="52"/>
      <c r="AE52" s="46"/>
      <c r="AF52" s="46"/>
      <c r="AG52" s="46"/>
      <c r="AH52" s="46"/>
      <c r="AI52" s="46"/>
    </row>
    <row r="53" spans="17:35" x14ac:dyDescent="0.2">
      <c r="Q53" s="52" t="e">
        <f>#REF!-Q22</f>
        <v>#REF!</v>
      </c>
      <c r="R53" s="52" t="e">
        <f>#REF!-R22</f>
        <v>#REF!</v>
      </c>
      <c r="S53" s="52" t="e">
        <f>#REF!-S22</f>
        <v>#REF!</v>
      </c>
      <c r="T53" s="52" t="e">
        <f>#REF!-T22</f>
        <v>#REF!</v>
      </c>
      <c r="U53" s="52" t="e">
        <f>#REF!-U22</f>
        <v>#REF!</v>
      </c>
      <c r="V53" s="52"/>
      <c r="W53" s="52"/>
      <c r="X53" s="52"/>
      <c r="Y53" s="52"/>
      <c r="Z53" s="52"/>
      <c r="AA53" s="52"/>
      <c r="AB53" s="52"/>
      <c r="AC53" s="52"/>
      <c r="AD53" s="52"/>
      <c r="AE53" s="46"/>
      <c r="AF53" s="46"/>
      <c r="AG53" s="46"/>
      <c r="AH53" s="46"/>
      <c r="AI53" s="46"/>
    </row>
    <row r="54" spans="17:35" x14ac:dyDescent="0.2">
      <c r="Q54" s="52" t="e">
        <f>#REF!-Q23</f>
        <v>#REF!</v>
      </c>
      <c r="R54" s="52" t="e">
        <f>#REF!-R23</f>
        <v>#REF!</v>
      </c>
      <c r="S54" s="52" t="e">
        <f>#REF!-S23</f>
        <v>#REF!</v>
      </c>
      <c r="T54" s="52" t="e">
        <f>#REF!-T23</f>
        <v>#REF!</v>
      </c>
      <c r="U54" s="52" t="e">
        <f>#REF!-U23</f>
        <v>#REF!</v>
      </c>
      <c r="V54" s="52"/>
      <c r="W54" s="52"/>
      <c r="X54" s="52"/>
      <c r="Y54" s="52"/>
      <c r="Z54" s="52"/>
      <c r="AA54" s="52"/>
      <c r="AB54" s="52"/>
      <c r="AC54" s="52"/>
      <c r="AD54" s="52"/>
    </row>
    <row r="55" spans="17:35" x14ac:dyDescent="0.2">
      <c r="Q55" s="52" t="e">
        <f>#REF!-Q24</f>
        <v>#REF!</v>
      </c>
      <c r="R55" s="52" t="e">
        <f>#REF!-R24</f>
        <v>#REF!</v>
      </c>
      <c r="S55" s="52" t="e">
        <f>#REF!-S24</f>
        <v>#REF!</v>
      </c>
      <c r="T55" s="52" t="e">
        <f>#REF!-T24</f>
        <v>#REF!</v>
      </c>
      <c r="U55" s="52" t="e">
        <f>#REF!-U24</f>
        <v>#REF!</v>
      </c>
      <c r="V55" s="52"/>
      <c r="W55" s="52"/>
      <c r="X55" s="52"/>
      <c r="Y55" s="52"/>
      <c r="Z55" s="52"/>
      <c r="AA55" s="52"/>
      <c r="AB55" s="52"/>
      <c r="AC55" s="52"/>
      <c r="AD55" s="52"/>
    </row>
    <row r="56" spans="17:35" x14ac:dyDescent="0.2">
      <c r="Q56" s="52" t="e">
        <f>#REF!-Q25</f>
        <v>#REF!</v>
      </c>
      <c r="R56" s="52" t="e">
        <f>#REF!-R25</f>
        <v>#REF!</v>
      </c>
      <c r="S56" s="52" t="e">
        <f>#REF!-S25</f>
        <v>#REF!</v>
      </c>
      <c r="T56" s="52" t="e">
        <f>#REF!-T25</f>
        <v>#REF!</v>
      </c>
      <c r="U56" s="52" t="e">
        <f>#REF!-U25</f>
        <v>#REF!</v>
      </c>
      <c r="V56" s="52"/>
      <c r="W56" s="52"/>
      <c r="X56" s="52"/>
      <c r="Y56" s="52"/>
      <c r="Z56" s="52"/>
      <c r="AA56" s="52"/>
      <c r="AB56" s="52"/>
      <c r="AC56" s="52"/>
      <c r="AD56" s="52"/>
    </row>
    <row r="57" spans="17:35" x14ac:dyDescent="0.2">
      <c r="Q57" s="52" t="e">
        <f>#REF!-Q26</f>
        <v>#REF!</v>
      </c>
      <c r="R57" s="52" t="e">
        <f>#REF!-R26</f>
        <v>#REF!</v>
      </c>
      <c r="S57" s="52" t="e">
        <f>#REF!-S26</f>
        <v>#REF!</v>
      </c>
      <c r="T57" s="52" t="e">
        <f>#REF!-T26</f>
        <v>#REF!</v>
      </c>
      <c r="U57" s="52" t="e">
        <f>#REF!-U26</f>
        <v>#REF!</v>
      </c>
      <c r="V57" s="52"/>
      <c r="W57" s="52"/>
      <c r="X57" s="52"/>
      <c r="Y57" s="52"/>
      <c r="Z57" s="52"/>
      <c r="AA57" s="52"/>
      <c r="AB57" s="52"/>
      <c r="AC57" s="52"/>
      <c r="AD57" s="52"/>
    </row>
    <row r="58" spans="17:35" x14ac:dyDescent="0.2">
      <c r="Q58" s="52" t="e">
        <f>#REF!-Q27</f>
        <v>#REF!</v>
      </c>
      <c r="R58" s="52" t="e">
        <f>#REF!-R27</f>
        <v>#REF!</v>
      </c>
      <c r="S58" s="52" t="e">
        <f>#REF!-S27</f>
        <v>#REF!</v>
      </c>
      <c r="T58" s="52" t="e">
        <f>#REF!-T27</f>
        <v>#REF!</v>
      </c>
      <c r="U58" s="52" t="e">
        <f>#REF!-U27</f>
        <v>#REF!</v>
      </c>
      <c r="V58" s="52"/>
      <c r="W58" s="52"/>
      <c r="X58" s="52"/>
      <c r="Y58" s="52"/>
      <c r="Z58" s="52"/>
      <c r="AA58" s="52"/>
      <c r="AB58" s="52"/>
      <c r="AC58" s="52"/>
      <c r="AD58" s="52"/>
    </row>
    <row r="59" spans="17:35" x14ac:dyDescent="0.2">
      <c r="Q59" s="52" t="e">
        <f>#REF!-Q28</f>
        <v>#REF!</v>
      </c>
      <c r="R59" s="52" t="e">
        <f>#REF!-R28</f>
        <v>#REF!</v>
      </c>
      <c r="S59" s="52" t="e">
        <f>#REF!-S28</f>
        <v>#REF!</v>
      </c>
      <c r="T59" s="52" t="e">
        <f>#REF!-T28</f>
        <v>#REF!</v>
      </c>
      <c r="U59" s="52" t="e">
        <f>#REF!-U28</f>
        <v>#REF!</v>
      </c>
      <c r="V59" s="52"/>
      <c r="W59" s="52"/>
      <c r="X59" s="52"/>
      <c r="Y59" s="52"/>
      <c r="Z59" s="52"/>
      <c r="AA59" s="52"/>
      <c r="AB59" s="52"/>
      <c r="AC59" s="52"/>
      <c r="AD59" s="52"/>
    </row>
    <row r="60" spans="17:35" x14ac:dyDescent="0.2">
      <c r="Q60" s="52" t="e">
        <f>#REF!-Q29</f>
        <v>#REF!</v>
      </c>
      <c r="R60" s="52" t="e">
        <f>#REF!-R29</f>
        <v>#REF!</v>
      </c>
      <c r="S60" s="52" t="e">
        <f>#REF!-S29</f>
        <v>#REF!</v>
      </c>
      <c r="T60" s="52" t="e">
        <f>#REF!-T29</f>
        <v>#REF!</v>
      </c>
      <c r="U60" s="52" t="e">
        <f>#REF!-U29</f>
        <v>#REF!</v>
      </c>
      <c r="V60" s="52"/>
      <c r="W60" s="52"/>
      <c r="X60" s="52"/>
      <c r="Y60" s="52"/>
      <c r="Z60" s="52"/>
      <c r="AA60" s="52"/>
      <c r="AB60" s="52"/>
      <c r="AC60" s="52"/>
      <c r="AD60" s="52"/>
    </row>
    <row r="61" spans="17:35" x14ac:dyDescent="0.2">
      <c r="Q61" s="52" t="e">
        <f>#REF!-Q30</f>
        <v>#REF!</v>
      </c>
      <c r="R61" s="52" t="e">
        <f>#REF!-R30</f>
        <v>#REF!</v>
      </c>
      <c r="S61" s="52" t="e">
        <f>#REF!-S30</f>
        <v>#REF!</v>
      </c>
      <c r="T61" s="52" t="e">
        <f>#REF!-T30</f>
        <v>#REF!</v>
      </c>
      <c r="U61" s="52" t="e">
        <f>#REF!-U30</f>
        <v>#REF!</v>
      </c>
      <c r="V61" s="52"/>
      <c r="W61" s="52"/>
      <c r="X61" s="52"/>
      <c r="Y61" s="52"/>
      <c r="Z61" s="52"/>
      <c r="AA61" s="52"/>
      <c r="AB61" s="52"/>
      <c r="AC61" s="52"/>
      <c r="AD61" s="52"/>
    </row>
    <row r="62" spans="17:35" x14ac:dyDescent="0.2">
      <c r="Q62" s="52" t="e">
        <f>#REF!-Q31</f>
        <v>#REF!</v>
      </c>
      <c r="R62" s="52" t="e">
        <f>#REF!-R31</f>
        <v>#REF!</v>
      </c>
      <c r="S62" s="52" t="e">
        <f>#REF!-S31</f>
        <v>#REF!</v>
      </c>
      <c r="T62" s="52" t="e">
        <f>#REF!-T31</f>
        <v>#REF!</v>
      </c>
      <c r="U62" s="52" t="e">
        <f>#REF!-U31</f>
        <v>#REF!</v>
      </c>
      <c r="V62" s="52"/>
      <c r="W62" s="52"/>
      <c r="X62" s="52"/>
      <c r="Y62" s="52"/>
      <c r="Z62" s="52"/>
      <c r="AA62" s="52"/>
      <c r="AB62" s="52"/>
      <c r="AC62" s="52"/>
      <c r="AD62" s="52"/>
    </row>
    <row r="63" spans="17:35" x14ac:dyDescent="0.2">
      <c r="Q63" s="52" t="e">
        <f>#REF!-Q32</f>
        <v>#REF!</v>
      </c>
      <c r="R63" s="52" t="e">
        <f>#REF!-R32</f>
        <v>#REF!</v>
      </c>
      <c r="S63" s="52" t="e">
        <f>#REF!-S32</f>
        <v>#REF!</v>
      </c>
      <c r="T63" s="52" t="e">
        <f>#REF!-T32</f>
        <v>#REF!</v>
      </c>
      <c r="U63" s="52" t="e">
        <f>#REF!-U32</f>
        <v>#REF!</v>
      </c>
      <c r="V63" s="52"/>
      <c r="W63" s="52"/>
      <c r="X63" s="52"/>
      <c r="Y63" s="52"/>
      <c r="Z63" s="52"/>
      <c r="AA63" s="52"/>
      <c r="AB63" s="52"/>
      <c r="AC63" s="52"/>
      <c r="AD63" s="52"/>
    </row>
    <row r="64" spans="17:35" x14ac:dyDescent="0.2">
      <c r="Q64" s="52">
        <f t="shared" ref="Q64:U77" si="5">Q4-Q33</f>
        <v>1</v>
      </c>
      <c r="R64" s="52">
        <f t="shared" si="5"/>
        <v>0.90530394618879351</v>
      </c>
      <c r="S64" s="52">
        <f t="shared" si="5"/>
        <v>1</v>
      </c>
      <c r="T64" s="52">
        <f t="shared" si="5"/>
        <v>1</v>
      </c>
      <c r="U64" s="52">
        <f t="shared" si="5"/>
        <v>1</v>
      </c>
      <c r="V64" s="52"/>
      <c r="W64" s="52"/>
      <c r="X64" s="52"/>
      <c r="Y64" s="52"/>
      <c r="Z64" s="52"/>
      <c r="AA64" s="52"/>
      <c r="AB64" s="52"/>
      <c r="AC64" s="52"/>
      <c r="AD64" s="52"/>
    </row>
    <row r="65" spans="17:30" x14ac:dyDescent="0.2">
      <c r="Q65" s="52">
        <f t="shared" si="5"/>
        <v>0.86696491255075514</v>
      </c>
      <c r="R65" s="52">
        <f t="shared" si="5"/>
        <v>1</v>
      </c>
      <c r="S65" s="52">
        <f t="shared" si="5"/>
        <v>0.97947819196753982</v>
      </c>
      <c r="T65" s="52">
        <f t="shared" si="5"/>
        <v>0.75900961841865444</v>
      </c>
      <c r="U65" s="52">
        <f t="shared" si="5"/>
        <v>0.68713440274965809</v>
      </c>
      <c r="V65" s="52"/>
      <c r="W65" s="52"/>
      <c r="X65" s="52"/>
      <c r="Y65" s="52"/>
      <c r="Z65" s="52"/>
      <c r="AA65" s="52"/>
      <c r="AB65" s="52"/>
      <c r="AC65" s="52"/>
      <c r="AD65" s="52"/>
    </row>
    <row r="66" spans="17:30" x14ac:dyDescent="0.2">
      <c r="Q66" s="52">
        <f t="shared" si="5"/>
        <v>0.60315719937129364</v>
      </c>
      <c r="R66" s="52">
        <f t="shared" si="5"/>
        <v>1</v>
      </c>
      <c r="S66" s="52">
        <f t="shared" si="5"/>
        <v>1</v>
      </c>
      <c r="T66" s="52">
        <f t="shared" si="5"/>
        <v>1</v>
      </c>
      <c r="U66" s="52">
        <f t="shared" si="5"/>
        <v>0.66401564106171562</v>
      </c>
      <c r="V66" s="52"/>
      <c r="W66" s="52"/>
      <c r="X66" s="52"/>
      <c r="Y66" s="52"/>
      <c r="Z66" s="52"/>
      <c r="AA66" s="52"/>
      <c r="AB66" s="52"/>
      <c r="AC66" s="52"/>
      <c r="AD66" s="52"/>
    </row>
    <row r="67" spans="17:30" x14ac:dyDescent="0.2">
      <c r="Q67" s="52">
        <f t="shared" si="5"/>
        <v>1</v>
      </c>
      <c r="R67" s="52">
        <f t="shared" si="5"/>
        <v>0.65297402551293582</v>
      </c>
      <c r="S67" s="52">
        <f t="shared" si="5"/>
        <v>0.86676486939346176</v>
      </c>
      <c r="T67" s="52">
        <f t="shared" si="5"/>
        <v>0.53986749690231539</v>
      </c>
      <c r="U67" s="52">
        <f t="shared" si="5"/>
        <v>0.54899651140391814</v>
      </c>
      <c r="V67" s="52"/>
      <c r="W67" s="52"/>
      <c r="X67" s="52"/>
      <c r="Y67" s="52"/>
      <c r="Z67" s="52"/>
      <c r="AA67" s="52"/>
      <c r="AB67" s="52"/>
      <c r="AC67" s="52"/>
      <c r="AD67" s="52"/>
    </row>
    <row r="68" spans="17:30" x14ac:dyDescent="0.2">
      <c r="Q68" s="52">
        <f t="shared" si="5"/>
        <v>0.72666123513117142</v>
      </c>
      <c r="R68" s="52">
        <f t="shared" si="5"/>
        <v>0.6008416821958894</v>
      </c>
      <c r="S68" s="52">
        <f t="shared" si="5"/>
        <v>0.80606416734834174</v>
      </c>
      <c r="T68" s="52">
        <f t="shared" si="5"/>
        <v>0.54366241656959891</v>
      </c>
      <c r="U68" s="52">
        <f t="shared" si="5"/>
        <v>0.60082440808746784</v>
      </c>
      <c r="V68" s="52"/>
      <c r="W68" s="52"/>
      <c r="X68" s="52"/>
      <c r="Y68" s="52"/>
      <c r="Z68" s="52"/>
      <c r="AA68" s="52"/>
      <c r="AB68" s="52"/>
      <c r="AC68" s="52"/>
      <c r="AD68" s="52"/>
    </row>
    <row r="69" spans="17:30" x14ac:dyDescent="0.2">
      <c r="Q69" s="52">
        <f t="shared" si="5"/>
        <v>0.43874488403819906</v>
      </c>
      <c r="R69" s="52">
        <f t="shared" si="5"/>
        <v>0.58535339394408148</v>
      </c>
      <c r="S69" s="52">
        <f t="shared" si="5"/>
        <v>0.73467087280322807</v>
      </c>
      <c r="T69" s="52">
        <f t="shared" si="5"/>
        <v>0.88153555089175539</v>
      </c>
      <c r="U69" s="52">
        <f t="shared" si="5"/>
        <v>1</v>
      </c>
      <c r="V69" s="52"/>
      <c r="W69" s="52"/>
      <c r="X69" s="52"/>
      <c r="Y69" s="52"/>
      <c r="Z69" s="52"/>
      <c r="AA69" s="52"/>
      <c r="AB69" s="52"/>
      <c r="AC69" s="52"/>
      <c r="AD69" s="52"/>
    </row>
    <row r="70" spans="17:30" x14ac:dyDescent="0.2">
      <c r="Q70" s="52">
        <f t="shared" si="5"/>
        <v>0.57036282709932828</v>
      </c>
      <c r="R70" s="52">
        <f t="shared" si="5"/>
        <v>0.52990999055185883</v>
      </c>
      <c r="S70" s="52">
        <f t="shared" si="5"/>
        <v>0.84024229684327501</v>
      </c>
      <c r="T70" s="52">
        <f t="shared" si="5"/>
        <v>0.26595009267823699</v>
      </c>
      <c r="U70" s="52">
        <f t="shared" si="5"/>
        <v>0.33325474972882202</v>
      </c>
      <c r="V70" s="52"/>
      <c r="W70" s="52"/>
      <c r="X70" s="52"/>
      <c r="Y70" s="52"/>
      <c r="Z70" s="52"/>
      <c r="AA70" s="52"/>
      <c r="AB70" s="52"/>
      <c r="AC70" s="52"/>
      <c r="AD70" s="52"/>
    </row>
    <row r="71" spans="17:30" x14ac:dyDescent="0.2">
      <c r="Q71" s="52">
        <f t="shared" si="5"/>
        <v>0.54219655925054566</v>
      </c>
      <c r="R71" s="52">
        <f t="shared" si="5"/>
        <v>0.72759391842716348</v>
      </c>
      <c r="S71" s="52">
        <f t="shared" si="5"/>
        <v>0.77568608464613431</v>
      </c>
      <c r="T71" s="52">
        <f t="shared" si="5"/>
        <v>0.77517030767310524</v>
      </c>
      <c r="U71" s="52">
        <f t="shared" si="5"/>
        <v>1</v>
      </c>
      <c r="V71" s="52"/>
      <c r="W71" s="52"/>
      <c r="X71" s="52"/>
      <c r="Y71" s="52"/>
      <c r="Z71" s="52"/>
      <c r="AA71" s="52"/>
      <c r="AB71" s="52"/>
      <c r="AC71" s="52"/>
      <c r="AD71" s="52"/>
    </row>
    <row r="72" spans="17:30" x14ac:dyDescent="0.2">
      <c r="Q72" s="52">
        <f t="shared" si="5"/>
        <v>1</v>
      </c>
      <c r="R72" s="52">
        <f t="shared" si="5"/>
        <v>1</v>
      </c>
      <c r="S72" s="52">
        <f t="shared" si="5"/>
        <v>1</v>
      </c>
      <c r="T72" s="52">
        <f t="shared" si="5"/>
        <v>1</v>
      </c>
      <c r="U72" s="52">
        <f t="shared" si="5"/>
        <v>0.93862459800768683</v>
      </c>
      <c r="V72" s="52"/>
      <c r="W72" s="52"/>
      <c r="X72" s="52"/>
      <c r="Y72" s="52"/>
      <c r="Z72" s="52"/>
      <c r="AA72" s="52"/>
      <c r="AB72" s="52"/>
      <c r="AC72" s="52"/>
      <c r="AD72" s="52"/>
    </row>
    <row r="73" spans="17:30" x14ac:dyDescent="0.2">
      <c r="Q73" s="52">
        <f t="shared" si="5"/>
        <v>0</v>
      </c>
      <c r="R73" s="52">
        <f t="shared" si="5"/>
        <v>0</v>
      </c>
      <c r="S73" s="52">
        <f t="shared" si="5"/>
        <v>0</v>
      </c>
      <c r="T73" s="52">
        <f t="shared" si="5"/>
        <v>0</v>
      </c>
      <c r="U73" s="52">
        <f t="shared" si="5"/>
        <v>0</v>
      </c>
      <c r="V73" s="52"/>
      <c r="W73" s="52"/>
      <c r="X73" s="52"/>
      <c r="Y73" s="52"/>
      <c r="Z73" s="52"/>
      <c r="AA73" s="52"/>
      <c r="AB73" s="52"/>
      <c r="AC73" s="52"/>
      <c r="AD73" s="52"/>
    </row>
    <row r="74" spans="17:30" x14ac:dyDescent="0.2">
      <c r="Q74" s="52">
        <f t="shared" si="5"/>
        <v>0</v>
      </c>
      <c r="R74" s="52">
        <f t="shared" si="5"/>
        <v>0</v>
      </c>
      <c r="S74" s="52">
        <f t="shared" si="5"/>
        <v>0</v>
      </c>
      <c r="T74" s="52">
        <f t="shared" si="5"/>
        <v>0</v>
      </c>
      <c r="U74" s="52">
        <f t="shared" si="5"/>
        <v>0</v>
      </c>
      <c r="V74" s="52"/>
      <c r="W74" s="52"/>
      <c r="X74" s="52"/>
      <c r="Y74" s="52"/>
      <c r="Z74" s="52"/>
      <c r="AA74" s="52"/>
      <c r="AB74" s="52"/>
      <c r="AC74" s="52"/>
      <c r="AD74" s="52"/>
    </row>
    <row r="75" spans="17:30" x14ac:dyDescent="0.2">
      <c r="Q75" s="52">
        <f t="shared" si="5"/>
        <v>0</v>
      </c>
      <c r="R75" s="52">
        <f t="shared" si="5"/>
        <v>0</v>
      </c>
      <c r="S75" s="52">
        <f t="shared" si="5"/>
        <v>0</v>
      </c>
      <c r="T75" s="52">
        <f t="shared" si="5"/>
        <v>0</v>
      </c>
      <c r="U75" s="52">
        <f t="shared" si="5"/>
        <v>0</v>
      </c>
      <c r="V75" s="52"/>
      <c r="W75" s="52"/>
      <c r="X75" s="52"/>
      <c r="Y75" s="52"/>
      <c r="Z75" s="52"/>
      <c r="AA75" s="52"/>
      <c r="AB75" s="52"/>
      <c r="AC75" s="52"/>
      <c r="AD75" s="52"/>
    </row>
    <row r="76" spans="17:30" x14ac:dyDescent="0.2">
      <c r="Q76" s="52">
        <f t="shared" si="5"/>
        <v>0</v>
      </c>
      <c r="R76" s="52">
        <f t="shared" si="5"/>
        <v>0</v>
      </c>
      <c r="S76" s="52">
        <f t="shared" si="5"/>
        <v>0</v>
      </c>
      <c r="T76" s="52">
        <f t="shared" si="5"/>
        <v>0</v>
      </c>
      <c r="U76" s="52">
        <f t="shared" si="5"/>
        <v>0</v>
      </c>
      <c r="V76" s="52"/>
      <c r="W76" s="52"/>
      <c r="X76" s="52"/>
      <c r="Y76" s="52"/>
      <c r="Z76" s="52"/>
      <c r="AA76" s="52"/>
      <c r="AB76" s="52"/>
      <c r="AC76" s="52"/>
      <c r="AD76" s="52"/>
    </row>
    <row r="77" spans="17:30" x14ac:dyDescent="0.2">
      <c r="Q77" s="52">
        <f t="shared" si="5"/>
        <v>0</v>
      </c>
      <c r="R77" s="52">
        <f t="shared" si="5"/>
        <v>0</v>
      </c>
      <c r="S77" s="52">
        <f t="shared" si="5"/>
        <v>0</v>
      </c>
      <c r="T77" s="52">
        <f t="shared" si="5"/>
        <v>0</v>
      </c>
      <c r="U77" s="52">
        <f t="shared" si="5"/>
        <v>0</v>
      </c>
      <c r="V77" s="52"/>
      <c r="W77" s="52"/>
      <c r="X77" s="52"/>
      <c r="Y77" s="52"/>
      <c r="Z77" s="52"/>
      <c r="AA77" s="52"/>
      <c r="AB77" s="52"/>
      <c r="AC77" s="52"/>
      <c r="AD77" s="52"/>
    </row>
    <row r="78" spans="17:30" x14ac:dyDescent="0.2">
      <c r="Q78" s="52"/>
    </row>
    <row r="79" spans="17:30" x14ac:dyDescent="0.2">
      <c r="Q79" s="52"/>
    </row>
    <row r="80" spans="17:30" x14ac:dyDescent="0.2">
      <c r="Q80" s="52"/>
    </row>
    <row r="81" spans="17:17" x14ac:dyDescent="0.2">
      <c r="Q81" s="52"/>
    </row>
  </sheetData>
  <pageMargins left="0.70866141732283472" right="0.70866141732283472" top="0.74803149606299213" bottom="0.74803149606299213" header="0.31496062992125984" footer="0.31496062992125984"/>
  <pageSetup scale="80" orientation="landscape" verticalDpi="0" r:id="rId1"/>
  <ignoredErrors>
    <ignoredError sqref="M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B15" sqref="B15"/>
    </sheetView>
  </sheetViews>
  <sheetFormatPr baseColWidth="10" defaultRowHeight="15" x14ac:dyDescent="0.2"/>
  <cols>
    <col min="1" max="1" width="44.6640625" bestFit="1" customWidth="1"/>
    <col min="2" max="2" width="13.1640625" bestFit="1" customWidth="1"/>
    <col min="3" max="3" width="12.1640625" bestFit="1" customWidth="1"/>
    <col min="5" max="5" width="14.5" bestFit="1" customWidth="1"/>
  </cols>
  <sheetData>
    <row r="2" spans="1:5" x14ac:dyDescent="0.2">
      <c r="A2" s="70" t="s">
        <v>20</v>
      </c>
      <c r="B2" s="71" t="s">
        <v>10</v>
      </c>
      <c r="C2" s="71" t="s">
        <v>127</v>
      </c>
      <c r="D2" s="71" t="s">
        <v>128</v>
      </c>
      <c r="E2" s="71" t="s">
        <v>129</v>
      </c>
    </row>
    <row r="3" spans="1:5" x14ac:dyDescent="0.2">
      <c r="A3" s="67" t="s">
        <v>21</v>
      </c>
      <c r="B3" s="67" t="s">
        <v>13</v>
      </c>
      <c r="C3" s="27">
        <v>2233</v>
      </c>
      <c r="D3" s="68">
        <f t="shared" ref="D3:D11" si="0">C3/$C$12</f>
        <v>0.394453276806218</v>
      </c>
      <c r="E3" s="69">
        <f t="shared" ref="E3:E11" si="1">$B$15*D3</f>
        <v>737110.99244833074</v>
      </c>
    </row>
    <row r="4" spans="1:5" x14ac:dyDescent="0.2">
      <c r="A4" s="67" t="s">
        <v>22</v>
      </c>
      <c r="B4" s="67" t="s">
        <v>14</v>
      </c>
      <c r="C4" s="27">
        <v>1085</v>
      </c>
      <c r="D4" s="68">
        <f t="shared" si="0"/>
        <v>0.19166225048577989</v>
      </c>
      <c r="E4" s="69">
        <f t="shared" si="1"/>
        <v>358157.37877583463</v>
      </c>
    </row>
    <row r="5" spans="1:5" x14ac:dyDescent="0.2">
      <c r="A5" s="67" t="s">
        <v>23</v>
      </c>
      <c r="B5" s="67" t="s">
        <v>15</v>
      </c>
      <c r="C5" s="27">
        <v>619</v>
      </c>
      <c r="D5" s="68">
        <f t="shared" si="0"/>
        <v>0.10934463875640346</v>
      </c>
      <c r="E5" s="69">
        <f t="shared" si="1"/>
        <v>204331.26033386326</v>
      </c>
    </row>
    <row r="6" spans="1:5" x14ac:dyDescent="0.2">
      <c r="A6" s="67" t="s">
        <v>24</v>
      </c>
      <c r="B6" s="67" t="s">
        <v>16</v>
      </c>
      <c r="C6" s="27">
        <v>522</v>
      </c>
      <c r="D6" s="68">
        <f t="shared" si="0"/>
        <v>9.2209856915739269E-2</v>
      </c>
      <c r="E6" s="69">
        <f t="shared" si="1"/>
        <v>172311.66057233704</v>
      </c>
    </row>
    <row r="7" spans="1:5" x14ac:dyDescent="0.2">
      <c r="A7" s="67" t="s">
        <v>26</v>
      </c>
      <c r="B7" s="67" t="s">
        <v>18</v>
      </c>
      <c r="C7" s="27">
        <v>305</v>
      </c>
      <c r="D7" s="68">
        <f t="shared" si="0"/>
        <v>5.3877406818583287E-2</v>
      </c>
      <c r="E7" s="69">
        <f t="shared" si="1"/>
        <v>100680.18481717011</v>
      </c>
    </row>
    <row r="8" spans="1:5" x14ac:dyDescent="0.2">
      <c r="A8" s="67" t="s">
        <v>25</v>
      </c>
      <c r="B8" s="67" t="s">
        <v>17</v>
      </c>
      <c r="C8" s="27">
        <v>598</v>
      </c>
      <c r="D8" s="68">
        <f t="shared" si="0"/>
        <v>0.10563504681151741</v>
      </c>
      <c r="E8" s="69">
        <f t="shared" si="1"/>
        <v>197399.18203497617</v>
      </c>
    </row>
    <row r="9" spans="1:5" x14ac:dyDescent="0.2">
      <c r="A9" s="67" t="s">
        <v>27</v>
      </c>
      <c r="B9" s="67" t="s">
        <v>19</v>
      </c>
      <c r="C9" s="27">
        <v>121</v>
      </c>
      <c r="D9" s="68">
        <f t="shared" si="0"/>
        <v>2.1374315491962552E-2</v>
      </c>
      <c r="E9" s="69">
        <f t="shared" si="1"/>
        <v>39941.974960254374</v>
      </c>
    </row>
    <row r="10" spans="1:5" x14ac:dyDescent="0.2">
      <c r="A10" s="67" t="s">
        <v>32</v>
      </c>
      <c r="B10" s="67" t="s">
        <v>31</v>
      </c>
      <c r="C10" s="27">
        <v>95</v>
      </c>
      <c r="D10" s="68">
        <f t="shared" si="0"/>
        <v>1.6781487369722663E-2</v>
      </c>
      <c r="E10" s="69">
        <f t="shared" si="1"/>
        <v>31359.401828298887</v>
      </c>
    </row>
    <row r="11" spans="1:5" x14ac:dyDescent="0.2">
      <c r="A11" s="67" t="s">
        <v>33</v>
      </c>
      <c r="B11" s="67" t="s">
        <v>30</v>
      </c>
      <c r="C11" s="27">
        <v>83</v>
      </c>
      <c r="D11" s="68">
        <f t="shared" si="0"/>
        <v>1.4661720544073486E-2</v>
      </c>
      <c r="E11" s="69">
        <f t="shared" si="1"/>
        <v>27398.214228934819</v>
      </c>
    </row>
    <row r="12" spans="1:5" x14ac:dyDescent="0.2">
      <c r="C12" s="56">
        <f>SUM(C3:C11)</f>
        <v>5661</v>
      </c>
      <c r="D12" s="77">
        <f>SUM(D3:D11)</f>
        <v>0.99999999999999989</v>
      </c>
      <c r="E12" s="78">
        <f>SUM(E3:E11)</f>
        <v>1868690.2499999998</v>
      </c>
    </row>
    <row r="15" spans="1:5" x14ac:dyDescent="0.2">
      <c r="A15" t="s">
        <v>130</v>
      </c>
      <c r="B15" s="13">
        <f>'Montos BD 2018'!B27/6</f>
        <v>1868690.25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A3" sqref="A3:A11"/>
    </sheetView>
  </sheetViews>
  <sheetFormatPr baseColWidth="10" defaultRowHeight="15" x14ac:dyDescent="0.2"/>
  <cols>
    <col min="1" max="1" width="44.6640625" bestFit="1" customWidth="1"/>
  </cols>
  <sheetData>
    <row r="2" spans="1:11" ht="56" x14ac:dyDescent="0.2">
      <c r="A2" s="75" t="s">
        <v>20</v>
      </c>
      <c r="B2" s="76" t="s">
        <v>10</v>
      </c>
      <c r="C2" s="71" t="s">
        <v>138</v>
      </c>
      <c r="D2" s="71" t="s">
        <v>139</v>
      </c>
      <c r="E2" s="71" t="s">
        <v>140</v>
      </c>
      <c r="F2" s="71" t="s">
        <v>141</v>
      </c>
      <c r="G2" s="71" t="s">
        <v>142</v>
      </c>
      <c r="H2" s="71" t="s">
        <v>143</v>
      </c>
      <c r="I2" s="71" t="s">
        <v>144</v>
      </c>
      <c r="J2" s="71" t="s">
        <v>146</v>
      </c>
      <c r="K2" s="71" t="s">
        <v>145</v>
      </c>
    </row>
    <row r="3" spans="1:11" x14ac:dyDescent="0.2">
      <c r="A3" s="67" t="s">
        <v>21</v>
      </c>
      <c r="B3" s="67" t="s">
        <v>13</v>
      </c>
      <c r="C3" s="72">
        <f>IFERROR(VLOOKUP(A3,[9]IES_ACRE_31_12_2017!$C$6:$N$92,12,0),0)</f>
        <v>1</v>
      </c>
      <c r="D3" s="72">
        <f>IFERROR(VLOOKUP(A3,[9]IES_ACRE_31_12_2017!$C$6:$M$92,11,0),0)</f>
        <v>1</v>
      </c>
      <c r="E3" s="72">
        <f>IFERROR(VLOOKUP(A3,[9]IES_ACRE_31_12_2017!$C$6:$L$92,10,0),0)</f>
        <v>7</v>
      </c>
      <c r="F3" s="72">
        <f>C3*100</f>
        <v>100</v>
      </c>
      <c r="G3" s="72">
        <f>D3*100</f>
        <v>100</v>
      </c>
      <c r="H3" s="72">
        <f>E3/7*100</f>
        <v>100</v>
      </c>
      <c r="I3" s="72">
        <f>F3+G3+H3</f>
        <v>300</v>
      </c>
      <c r="J3" s="73">
        <f t="shared" ref="J3:J11" si="0">I3/$I$12</f>
        <v>0.14788732394366197</v>
      </c>
      <c r="K3" s="74">
        <f t="shared" ref="K3:K11" si="1">J3*$B$15</f>
        <v>276355.60035211267</v>
      </c>
    </row>
    <row r="4" spans="1:11" x14ac:dyDescent="0.2">
      <c r="A4" s="67" t="s">
        <v>22</v>
      </c>
      <c r="B4" s="67" t="s">
        <v>14</v>
      </c>
      <c r="C4" s="72">
        <f>IFERROR(VLOOKUP(A4,[9]IES_ACRE_31_12_2017!$C$6:$N$92,12,0),0)</f>
        <v>1</v>
      </c>
      <c r="D4" s="72">
        <f>IFERROR(VLOOKUP(A4,[9]IES_ACRE_31_12_2017!$C$6:$M$92,11,0),0)</f>
        <v>1</v>
      </c>
      <c r="E4" s="72">
        <f>IFERROR(VLOOKUP(A4,[9]IES_ACRE_31_12_2017!$C$6:$L$92,10,0),0)</f>
        <v>7</v>
      </c>
      <c r="F4" s="72">
        <f t="shared" ref="F4:F11" si="2">C4*100</f>
        <v>100</v>
      </c>
      <c r="G4" s="72">
        <f t="shared" ref="G4:G11" si="3">D4*100</f>
        <v>100</v>
      </c>
      <c r="H4" s="72">
        <f t="shared" ref="H4:H11" si="4">E4/7*100</f>
        <v>100</v>
      </c>
      <c r="I4" s="72">
        <f t="shared" ref="I4:I11" si="5">F4+G4+H4</f>
        <v>300</v>
      </c>
      <c r="J4" s="73">
        <f t="shared" si="0"/>
        <v>0.14788732394366197</v>
      </c>
      <c r="K4" s="74">
        <f t="shared" si="1"/>
        <v>276355.60035211267</v>
      </c>
    </row>
    <row r="5" spans="1:11" x14ac:dyDescent="0.2">
      <c r="A5" s="67" t="s">
        <v>23</v>
      </c>
      <c r="B5" s="67" t="s">
        <v>15</v>
      </c>
      <c r="C5" s="72">
        <f>IFERROR(VLOOKUP(A5,[9]IES_ACRE_31_12_2017!$C$6:$N$92,12,0),0)</f>
        <v>1</v>
      </c>
      <c r="D5" s="72">
        <f>IFERROR(VLOOKUP(A5,[9]IES_ACRE_31_12_2017!$C$6:$M$92,11,0),0)</f>
        <v>1</v>
      </c>
      <c r="E5" s="72">
        <f>IFERROR(VLOOKUP(A5,[9]IES_ACRE_31_12_2017!$C$6:$L$92,10,0),0)</f>
        <v>6</v>
      </c>
      <c r="F5" s="72">
        <f t="shared" si="2"/>
        <v>100</v>
      </c>
      <c r="G5" s="72">
        <f t="shared" si="3"/>
        <v>100</v>
      </c>
      <c r="H5" s="72">
        <f t="shared" si="4"/>
        <v>85.714285714285708</v>
      </c>
      <c r="I5" s="72">
        <f t="shared" si="5"/>
        <v>285.71428571428572</v>
      </c>
      <c r="J5" s="73">
        <f t="shared" si="0"/>
        <v>0.14084507042253522</v>
      </c>
      <c r="K5" s="74">
        <f t="shared" si="1"/>
        <v>263195.80985915492</v>
      </c>
    </row>
    <row r="6" spans="1:11" x14ac:dyDescent="0.2">
      <c r="A6" s="67" t="s">
        <v>24</v>
      </c>
      <c r="B6" s="67" t="s">
        <v>16</v>
      </c>
      <c r="C6" s="72">
        <f>IFERROR(VLOOKUP(A6,[9]IES_ACRE_31_12_2017!$C$6:$N$92,12,0),0)</f>
        <v>1</v>
      </c>
      <c r="D6" s="72">
        <f>IFERROR(VLOOKUP(A6,[9]IES_ACRE_31_12_2017!$C$6:$M$92,11,0),0)</f>
        <v>1</v>
      </c>
      <c r="E6" s="72">
        <f>IFERROR(VLOOKUP(A6,[9]IES_ACRE_31_12_2017!$C$6:$L$92,10,0),0)</f>
        <v>6</v>
      </c>
      <c r="F6" s="72">
        <f t="shared" si="2"/>
        <v>100</v>
      </c>
      <c r="G6" s="72">
        <f t="shared" si="3"/>
        <v>100</v>
      </c>
      <c r="H6" s="72">
        <f t="shared" si="4"/>
        <v>85.714285714285708</v>
      </c>
      <c r="I6" s="72">
        <f t="shared" si="5"/>
        <v>285.71428571428572</v>
      </c>
      <c r="J6" s="73">
        <f t="shared" si="0"/>
        <v>0.14084507042253522</v>
      </c>
      <c r="K6" s="74">
        <f t="shared" si="1"/>
        <v>263195.80985915492</v>
      </c>
    </row>
    <row r="7" spans="1:11" x14ac:dyDescent="0.2">
      <c r="A7" s="67" t="s">
        <v>26</v>
      </c>
      <c r="B7" s="67" t="s">
        <v>18</v>
      </c>
      <c r="C7" s="72">
        <f>IFERROR(VLOOKUP(A7,[9]IES_ACRE_31_12_2017!$C$6:$N$92,12,0),0)</f>
        <v>1</v>
      </c>
      <c r="D7" s="72">
        <f>IFERROR(VLOOKUP(A7,[9]IES_ACRE_31_12_2017!$C$6:$M$92,11,0),0)</f>
        <v>1</v>
      </c>
      <c r="E7" s="72">
        <f>IFERROR(VLOOKUP(A7,[9]IES_ACRE_31_12_2017!$C$6:$L$92,10,0),0)</f>
        <v>6</v>
      </c>
      <c r="F7" s="72">
        <f t="shared" si="2"/>
        <v>100</v>
      </c>
      <c r="G7" s="72">
        <f t="shared" si="3"/>
        <v>100</v>
      </c>
      <c r="H7" s="72">
        <f t="shared" si="4"/>
        <v>85.714285714285708</v>
      </c>
      <c r="I7" s="72">
        <f t="shared" si="5"/>
        <v>285.71428571428572</v>
      </c>
      <c r="J7" s="73">
        <f t="shared" si="0"/>
        <v>0.14084507042253522</v>
      </c>
      <c r="K7" s="74">
        <f t="shared" si="1"/>
        <v>263195.80985915492</v>
      </c>
    </row>
    <row r="8" spans="1:11" x14ac:dyDescent="0.2">
      <c r="A8" s="67" t="s">
        <v>25</v>
      </c>
      <c r="B8" s="67" t="s">
        <v>17</v>
      </c>
      <c r="C8" s="72">
        <f>IFERROR(VLOOKUP(A8,[9]IES_ACRE_31_12_2017!$C$6:$N$92,12,0),0)</f>
        <v>1</v>
      </c>
      <c r="D8" s="72">
        <f>IFERROR(VLOOKUP(A8,[9]IES_ACRE_31_12_2017!$C$6:$M$92,11,0),0)</f>
        <v>1</v>
      </c>
      <c r="E8" s="72">
        <f>IFERROR(VLOOKUP(A8,[9]IES_ACRE_31_12_2017!$C$6:$L$92,10,0),0)</f>
        <v>6</v>
      </c>
      <c r="F8" s="72">
        <f t="shared" si="2"/>
        <v>100</v>
      </c>
      <c r="G8" s="72">
        <f t="shared" si="3"/>
        <v>100</v>
      </c>
      <c r="H8" s="72">
        <f t="shared" si="4"/>
        <v>85.714285714285708</v>
      </c>
      <c r="I8" s="72">
        <f t="shared" si="5"/>
        <v>285.71428571428572</v>
      </c>
      <c r="J8" s="73">
        <f t="shared" si="0"/>
        <v>0.14084507042253522</v>
      </c>
      <c r="K8" s="74">
        <f t="shared" si="1"/>
        <v>263195.80985915492</v>
      </c>
    </row>
    <row r="9" spans="1:11" x14ac:dyDescent="0.2">
      <c r="A9" s="67" t="s">
        <v>27</v>
      </c>
      <c r="B9" s="67" t="s">
        <v>19</v>
      </c>
      <c r="C9" s="72">
        <f>IFERROR(VLOOKUP(A9,[9]IES_ACRE_31_12_2017!$C$6:$N$92,12,0),0)</f>
        <v>1</v>
      </c>
      <c r="D9" s="72">
        <f>IFERROR(VLOOKUP(A9,[9]IES_ACRE_31_12_2017!$C$6:$M$92,11,0),0)</f>
        <v>0</v>
      </c>
      <c r="E9" s="72">
        <f>IFERROR(VLOOKUP(A9,[9]IES_ACRE_31_12_2017!$C$6:$L$92,10,0),0)</f>
        <v>4</v>
      </c>
      <c r="F9" s="72">
        <f t="shared" si="2"/>
        <v>100</v>
      </c>
      <c r="G9" s="72">
        <f t="shared" si="3"/>
        <v>0</v>
      </c>
      <c r="H9" s="72">
        <f t="shared" si="4"/>
        <v>57.142857142857139</v>
      </c>
      <c r="I9" s="72">
        <f t="shared" si="5"/>
        <v>157.14285714285714</v>
      </c>
      <c r="J9" s="73">
        <f t="shared" si="0"/>
        <v>7.746478873239436E-2</v>
      </c>
      <c r="K9" s="74">
        <f t="shared" si="1"/>
        <v>144757.69542253521</v>
      </c>
    </row>
    <row r="10" spans="1:11" x14ac:dyDescent="0.2">
      <c r="A10" s="67" t="s">
        <v>32</v>
      </c>
      <c r="B10" s="67" t="s">
        <v>31</v>
      </c>
      <c r="C10" s="72">
        <f>IFERROR(VLOOKUP(A10,[9]IES_ACRE_31_12_2017!$C$6:$N$92,12,0),0)</f>
        <v>0</v>
      </c>
      <c r="D10" s="72">
        <f>IFERROR(VLOOKUP(A10,[9]IES_ACRE_31_12_2017!$C$6:$M$92,11,0),0)</f>
        <v>0</v>
      </c>
      <c r="E10" s="72">
        <f>IFERROR(VLOOKUP(A10,[9]IES_ACRE_31_12_2017!$C$6:$L$92,10,0),0)</f>
        <v>4</v>
      </c>
      <c r="F10" s="72">
        <f t="shared" si="2"/>
        <v>0</v>
      </c>
      <c r="G10" s="72">
        <f t="shared" si="3"/>
        <v>0</v>
      </c>
      <c r="H10" s="72">
        <f t="shared" si="4"/>
        <v>57.142857142857139</v>
      </c>
      <c r="I10" s="72">
        <f t="shared" si="5"/>
        <v>57.142857142857139</v>
      </c>
      <c r="J10" s="73">
        <f t="shared" si="0"/>
        <v>2.8169014084507039E-2</v>
      </c>
      <c r="K10" s="74">
        <f t="shared" si="1"/>
        <v>52639.161971830981</v>
      </c>
    </row>
    <row r="11" spans="1:11" x14ac:dyDescent="0.2">
      <c r="A11" s="67" t="s">
        <v>33</v>
      </c>
      <c r="B11" s="67" t="s">
        <v>30</v>
      </c>
      <c r="C11" s="72">
        <f>IFERROR(VLOOKUP(A11,[9]IES_ACRE_31_12_2017!$C$6:$N$92,12,0),0)</f>
        <v>0</v>
      </c>
      <c r="D11" s="72">
        <f>IFERROR(VLOOKUP(A11,[9]IES_ACRE_31_12_2017!$C$6:$M$92,11,0),0)</f>
        <v>0</v>
      </c>
      <c r="E11" s="72">
        <f>IFERROR(VLOOKUP(A11,[9]IES_ACRE_31_12_2017!$C$6:$L$92,10,0),0)</f>
        <v>5</v>
      </c>
      <c r="F11" s="72">
        <f t="shared" si="2"/>
        <v>0</v>
      </c>
      <c r="G11" s="72">
        <f t="shared" si="3"/>
        <v>0</v>
      </c>
      <c r="H11" s="72">
        <f t="shared" si="4"/>
        <v>71.428571428571431</v>
      </c>
      <c r="I11" s="72">
        <f t="shared" si="5"/>
        <v>71.428571428571431</v>
      </c>
      <c r="J11" s="73">
        <f t="shared" si="0"/>
        <v>3.5211267605633804E-2</v>
      </c>
      <c r="K11" s="74">
        <f t="shared" si="1"/>
        <v>65798.95246478873</v>
      </c>
    </row>
    <row r="12" spans="1:11" x14ac:dyDescent="0.2">
      <c r="C12" s="79">
        <f t="shared" ref="C12:K12" si="6">SUM(C3:C11)</f>
        <v>7</v>
      </c>
      <c r="D12" s="79">
        <f t="shared" si="6"/>
        <v>6</v>
      </c>
      <c r="E12" s="79">
        <f t="shared" si="6"/>
        <v>51</v>
      </c>
      <c r="F12" s="79">
        <f t="shared" si="6"/>
        <v>700</v>
      </c>
      <c r="G12" s="79">
        <f t="shared" si="6"/>
        <v>600</v>
      </c>
      <c r="H12" s="79">
        <f t="shared" si="6"/>
        <v>728.57142857142856</v>
      </c>
      <c r="I12" s="79">
        <f t="shared" si="6"/>
        <v>2028.5714285714287</v>
      </c>
      <c r="J12" s="79">
        <f t="shared" si="6"/>
        <v>1</v>
      </c>
      <c r="K12" s="79">
        <f t="shared" si="6"/>
        <v>1868690.2500000002</v>
      </c>
    </row>
    <row r="15" spans="1:11" x14ac:dyDescent="0.2">
      <c r="A15" t="s">
        <v>148</v>
      </c>
      <c r="B15" s="13">
        <f>'Montos BD 2018'!B27/6</f>
        <v>1868690.25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A3" sqref="A3:B11"/>
    </sheetView>
  </sheetViews>
  <sheetFormatPr baseColWidth="10" defaultRowHeight="15" x14ac:dyDescent="0.2"/>
  <cols>
    <col min="1" max="1" width="50" bestFit="1" customWidth="1"/>
    <col min="5" max="5" width="12.1640625" bestFit="1" customWidth="1"/>
  </cols>
  <sheetData>
    <row r="2" spans="1:5" ht="28" x14ac:dyDescent="0.2">
      <c r="A2" s="70" t="s">
        <v>20</v>
      </c>
      <c r="B2" s="71" t="s">
        <v>10</v>
      </c>
      <c r="C2" s="71" t="s">
        <v>147</v>
      </c>
      <c r="D2" s="71" t="s">
        <v>146</v>
      </c>
      <c r="E2" s="71" t="s">
        <v>145</v>
      </c>
    </row>
    <row r="3" spans="1:5" x14ac:dyDescent="0.2">
      <c r="A3" s="67" t="s">
        <v>152</v>
      </c>
      <c r="B3" s="67" t="s">
        <v>13</v>
      </c>
      <c r="C3" s="74">
        <f>IFERROR(VLOOKUP(A3,'[10]Indicador c.1)'!$B$2:$C$62,2,0),0)</f>
        <v>903</v>
      </c>
      <c r="D3" s="73">
        <f t="shared" ref="D3:D11" si="0">C3/$C$12</f>
        <v>0.28739656269891789</v>
      </c>
      <c r="E3" s="80">
        <f t="shared" ref="E3:E11" si="1">D3*$B$15</f>
        <v>537055.15459898149</v>
      </c>
    </row>
    <row r="4" spans="1:5" x14ac:dyDescent="0.2">
      <c r="A4" s="67" t="s">
        <v>153</v>
      </c>
      <c r="B4" s="67" t="s">
        <v>14</v>
      </c>
      <c r="C4" s="74">
        <f>IFERROR(VLOOKUP(A4,'[10]Indicador c.1)'!$B$2:$C$62,2,0),0)</f>
        <v>693</v>
      </c>
      <c r="D4" s="73">
        <f t="shared" si="0"/>
        <v>0.22056015276893698</v>
      </c>
      <c r="E4" s="80">
        <f t="shared" si="1"/>
        <v>412158.60701782303</v>
      </c>
    </row>
    <row r="5" spans="1:5" x14ac:dyDescent="0.2">
      <c r="A5" s="67" t="s">
        <v>154</v>
      </c>
      <c r="B5" s="67" t="s">
        <v>15</v>
      </c>
      <c r="C5" s="74">
        <f>IFERROR(VLOOKUP(A5,'[10]Indicador c.1)'!$B$2:$C$62,2,0),0)</f>
        <v>362</v>
      </c>
      <c r="D5" s="73">
        <f t="shared" si="0"/>
        <v>0.11521323997453851</v>
      </c>
      <c r="E5" s="80">
        <f t="shared" si="1"/>
        <v>215297.85821133037</v>
      </c>
    </row>
    <row r="6" spans="1:5" x14ac:dyDescent="0.2">
      <c r="A6" s="67" t="s">
        <v>24</v>
      </c>
      <c r="B6" s="67" t="s">
        <v>16</v>
      </c>
      <c r="C6" s="74">
        <f>IFERROR(VLOOKUP(A6,'[10]Indicador c.1)'!$B$2:$C$62,2,0),0)</f>
        <v>356</v>
      </c>
      <c r="D6" s="73">
        <f t="shared" si="0"/>
        <v>0.11330362826225335</v>
      </c>
      <c r="E6" s="80">
        <f t="shared" si="1"/>
        <v>211729.38542329727</v>
      </c>
    </row>
    <row r="7" spans="1:5" x14ac:dyDescent="0.2">
      <c r="A7" s="67" t="s">
        <v>155</v>
      </c>
      <c r="B7" s="67" t="s">
        <v>18</v>
      </c>
      <c r="C7" s="74">
        <f>IFERROR(VLOOKUP(A7,'[10]Indicador c.1)'!$B$2:$C$62,2,0),0)</f>
        <v>206</v>
      </c>
      <c r="D7" s="73">
        <f t="shared" si="0"/>
        <v>6.5563335455124119E-2</v>
      </c>
      <c r="E7" s="80">
        <f t="shared" si="1"/>
        <v>122517.56572246975</v>
      </c>
    </row>
    <row r="8" spans="1:5" x14ac:dyDescent="0.2">
      <c r="A8" s="67" t="s">
        <v>156</v>
      </c>
      <c r="B8" s="67" t="s">
        <v>17</v>
      </c>
      <c r="C8" s="74">
        <f>IFERROR(VLOOKUP(A8,'[10]Indicador c.1)'!$B$2:$C$62,2,0),0)</f>
        <v>230</v>
      </c>
      <c r="D8" s="73">
        <f t="shared" si="0"/>
        <v>7.3201782304264801E-2</v>
      </c>
      <c r="E8" s="80">
        <f t="shared" si="1"/>
        <v>136791.45687460215</v>
      </c>
    </row>
    <row r="9" spans="1:5" x14ac:dyDescent="0.2">
      <c r="A9" s="67" t="s">
        <v>157</v>
      </c>
      <c r="B9" s="67" t="s">
        <v>19</v>
      </c>
      <c r="C9" s="74">
        <f>IFERROR(VLOOKUP(A9,'[10]Indicador c.1)'!$B$2:$C$62,2,0),0)</f>
        <v>142</v>
      </c>
      <c r="D9" s="73">
        <f t="shared" si="0"/>
        <v>4.5194143857415658E-2</v>
      </c>
      <c r="E9" s="80">
        <f t="shared" si="1"/>
        <v>84453.855983450034</v>
      </c>
    </row>
    <row r="10" spans="1:5" x14ac:dyDescent="0.2">
      <c r="A10" s="67" t="s">
        <v>158</v>
      </c>
      <c r="B10" s="67" t="s">
        <v>31</v>
      </c>
      <c r="C10" s="74">
        <f>IFERROR(VLOOKUP(A10,'[10]Indicador c.1)'!$B$2:$C$62,2,0),0)</f>
        <v>122</v>
      </c>
      <c r="D10" s="73">
        <f t="shared" si="0"/>
        <v>3.8828771483131762E-2</v>
      </c>
      <c r="E10" s="80">
        <f t="shared" si="1"/>
        <v>72558.946690006356</v>
      </c>
    </row>
    <row r="11" spans="1:5" x14ac:dyDescent="0.2">
      <c r="A11" s="67" t="s">
        <v>159</v>
      </c>
      <c r="B11" s="67" t="s">
        <v>30</v>
      </c>
      <c r="C11" s="74">
        <f>IFERROR(VLOOKUP(A11,'[10]Indicador c.1)'!$B$2:$C$62,2,0),0)</f>
        <v>128</v>
      </c>
      <c r="D11" s="73">
        <f t="shared" si="0"/>
        <v>4.0738383195416929E-2</v>
      </c>
      <c r="E11" s="80">
        <f t="shared" si="1"/>
        <v>76127.419478039461</v>
      </c>
    </row>
    <row r="12" spans="1:5" x14ac:dyDescent="0.2">
      <c r="C12" s="81">
        <f>SUM(C3:C11)</f>
        <v>3142</v>
      </c>
      <c r="D12" s="82">
        <f>SUM(D3:D11)</f>
        <v>0.99999999999999989</v>
      </c>
      <c r="E12" s="83">
        <f>SUM(E3:E11)</f>
        <v>1868690.25</v>
      </c>
    </row>
    <row r="15" spans="1:5" x14ac:dyDescent="0.2">
      <c r="A15" t="s">
        <v>149</v>
      </c>
      <c r="B15" s="13">
        <f>'Montos BD 2018'!B27/6</f>
        <v>1868690.25</v>
      </c>
    </row>
  </sheetData>
  <autoFilter ref="A2:C1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I15" sqref="I15"/>
    </sheetView>
  </sheetViews>
  <sheetFormatPr baseColWidth="10" defaultRowHeight="15" x14ac:dyDescent="0.2"/>
  <cols>
    <col min="1" max="1" width="50" bestFit="1" customWidth="1"/>
    <col min="5" max="5" width="13.1640625" bestFit="1" customWidth="1"/>
  </cols>
  <sheetData>
    <row r="2" spans="1:5" ht="42" x14ac:dyDescent="0.2">
      <c r="A2" s="70" t="s">
        <v>20</v>
      </c>
      <c r="B2" s="71" t="s">
        <v>10</v>
      </c>
      <c r="C2" s="71" t="s">
        <v>150</v>
      </c>
      <c r="D2" s="71" t="s">
        <v>146</v>
      </c>
      <c r="E2" s="71" t="s">
        <v>145</v>
      </c>
    </row>
    <row r="3" spans="1:5" x14ac:dyDescent="0.2">
      <c r="A3" s="67" t="s">
        <v>21</v>
      </c>
      <c r="B3" s="84" t="s">
        <v>13</v>
      </c>
      <c r="C3" s="72">
        <f>IFERROR(VLOOKUP(B3,Categorías!B4:AI12,34,0),0)</f>
        <v>34</v>
      </c>
      <c r="D3" s="73">
        <f t="shared" ref="D3:D11" si="0">C3/$C$12</f>
        <v>0.40963855421686746</v>
      </c>
      <c r="E3" s="80">
        <f t="shared" ref="E3:E11" si="1">D3*$B$15</f>
        <v>765487.57228915661</v>
      </c>
    </row>
    <row r="4" spans="1:5" x14ac:dyDescent="0.2">
      <c r="A4" s="67" t="s">
        <v>22</v>
      </c>
      <c r="B4" s="84" t="s">
        <v>14</v>
      </c>
      <c r="C4" s="72">
        <f>IFERROR(VLOOKUP(B4,Categorías!B4:AI13,34,0),0)</f>
        <v>22</v>
      </c>
      <c r="D4" s="73">
        <f t="shared" si="0"/>
        <v>0.26506024096385544</v>
      </c>
      <c r="E4" s="80">
        <f t="shared" si="1"/>
        <v>495315.48795180727</v>
      </c>
    </row>
    <row r="5" spans="1:5" x14ac:dyDescent="0.2">
      <c r="A5" s="67" t="s">
        <v>23</v>
      </c>
      <c r="B5" s="84" t="s">
        <v>15</v>
      </c>
      <c r="C5" s="72">
        <f>IFERROR(VLOOKUP(B5,Categorías!B4:AI14,34,0),0)</f>
        <v>8</v>
      </c>
      <c r="D5" s="73">
        <f t="shared" si="0"/>
        <v>9.6385542168674704E-2</v>
      </c>
      <c r="E5" s="80">
        <f t="shared" si="1"/>
        <v>180114.72289156629</v>
      </c>
    </row>
    <row r="6" spans="1:5" x14ac:dyDescent="0.2">
      <c r="A6" s="67" t="s">
        <v>24</v>
      </c>
      <c r="B6" s="84" t="s">
        <v>16</v>
      </c>
      <c r="C6" s="72">
        <f>IFERROR(VLOOKUP(B6,Categorías!B4:AI15,34,0),0)</f>
        <v>9</v>
      </c>
      <c r="D6" s="73">
        <f t="shared" si="0"/>
        <v>0.10843373493975904</v>
      </c>
      <c r="E6" s="80">
        <f t="shared" si="1"/>
        <v>202629.06325301205</v>
      </c>
    </row>
    <row r="7" spans="1:5" x14ac:dyDescent="0.2">
      <c r="A7" s="67" t="s">
        <v>26</v>
      </c>
      <c r="B7" s="84" t="s">
        <v>18</v>
      </c>
      <c r="C7" s="72">
        <f>IFERROR(VLOOKUP(B7,Categorías!B4:AI16,34,0),0)</f>
        <v>6</v>
      </c>
      <c r="D7" s="73">
        <f t="shared" si="0"/>
        <v>7.2289156626506021E-2</v>
      </c>
      <c r="E7" s="80">
        <f t="shared" si="1"/>
        <v>135086.0421686747</v>
      </c>
    </row>
    <row r="8" spans="1:5" x14ac:dyDescent="0.2">
      <c r="A8" s="67" t="s">
        <v>25</v>
      </c>
      <c r="B8" s="84" t="s">
        <v>17</v>
      </c>
      <c r="C8" s="72">
        <f>IFERROR(VLOOKUP(B8,Categorías!B4:AI16,34,0),0)</f>
        <v>3</v>
      </c>
      <c r="D8" s="73">
        <f t="shared" si="0"/>
        <v>3.614457831325301E-2</v>
      </c>
      <c r="E8" s="80">
        <f t="shared" si="1"/>
        <v>67543.02108433735</v>
      </c>
    </row>
    <row r="9" spans="1:5" x14ac:dyDescent="0.2">
      <c r="A9" s="67" t="s">
        <v>27</v>
      </c>
      <c r="B9" s="84" t="s">
        <v>19</v>
      </c>
      <c r="C9" s="72">
        <f>IFERROR(VLOOKUP(B9,Categorías!B4:AI16,34,0),0)</f>
        <v>1</v>
      </c>
      <c r="D9" s="73">
        <f t="shared" si="0"/>
        <v>1.2048192771084338E-2</v>
      </c>
      <c r="E9" s="80">
        <f t="shared" si="1"/>
        <v>22514.340361445786</v>
      </c>
    </row>
    <row r="10" spans="1:5" x14ac:dyDescent="0.2">
      <c r="A10" s="67" t="s">
        <v>32</v>
      </c>
      <c r="B10" s="84" t="s">
        <v>31</v>
      </c>
      <c r="C10" s="72">
        <f>IFERROR(VLOOKUP(B10,Categorías!B4:AI16,34,0),0)</f>
        <v>0</v>
      </c>
      <c r="D10" s="73">
        <f t="shared" si="0"/>
        <v>0</v>
      </c>
      <c r="E10" s="80">
        <f t="shared" si="1"/>
        <v>0</v>
      </c>
    </row>
    <row r="11" spans="1:5" x14ac:dyDescent="0.2">
      <c r="A11" s="67" t="s">
        <v>33</v>
      </c>
      <c r="B11" s="84" t="s">
        <v>30</v>
      </c>
      <c r="C11" s="72">
        <f>IFERROR(VLOOKUP(B11,Categorías!B4:AI17,34,0),0)</f>
        <v>0</v>
      </c>
      <c r="D11" s="73">
        <f t="shared" si="0"/>
        <v>0</v>
      </c>
      <c r="E11" s="80">
        <f t="shared" si="1"/>
        <v>0</v>
      </c>
    </row>
    <row r="12" spans="1:5" x14ac:dyDescent="0.2">
      <c r="C12" s="85">
        <f>SUM(C3:C11)</f>
        <v>83</v>
      </c>
      <c r="D12" s="86">
        <f>SUM(D3:D11)</f>
        <v>1</v>
      </c>
      <c r="E12" s="83">
        <f>SUM(E3:E11)</f>
        <v>1868690.25</v>
      </c>
    </row>
    <row r="15" spans="1:5" x14ac:dyDescent="0.2">
      <c r="A15" t="s">
        <v>163</v>
      </c>
      <c r="B15" s="13">
        <f>'Montos BD 2018'!B27/6</f>
        <v>1868690.25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B15" sqref="B15"/>
    </sheetView>
  </sheetViews>
  <sheetFormatPr baseColWidth="10" defaultRowHeight="15" x14ac:dyDescent="0.2"/>
  <cols>
    <col min="1" max="1" width="50" bestFit="1" customWidth="1"/>
    <col min="5" max="5" width="12" bestFit="1" customWidth="1"/>
  </cols>
  <sheetData>
    <row r="2" spans="1:5" ht="28" x14ac:dyDescent="0.2">
      <c r="A2" s="70" t="s">
        <v>20</v>
      </c>
      <c r="B2" s="71" t="s">
        <v>10</v>
      </c>
      <c r="C2" s="71" t="s">
        <v>151</v>
      </c>
      <c r="D2" s="71" t="s">
        <v>146</v>
      </c>
      <c r="E2" s="71" t="s">
        <v>145</v>
      </c>
    </row>
    <row r="3" spans="1:5" x14ac:dyDescent="0.2">
      <c r="A3" s="67" t="s">
        <v>152</v>
      </c>
      <c r="B3" s="84" t="s">
        <v>13</v>
      </c>
      <c r="C3" s="74">
        <f>IFERROR(VLOOKUP(A3,'[10]Indicador c.1)'!$B$2:$F$62,5,0),0)</f>
        <v>1561</v>
      </c>
      <c r="D3" s="73">
        <f t="shared" ref="D3:D11" si="0">C3/$C$12</f>
        <v>0.27366760168302945</v>
      </c>
      <c r="E3" s="80">
        <f t="shared" ref="E3:E11" si="1">D3*$B$15</f>
        <v>511399.97900596075</v>
      </c>
    </row>
    <row r="4" spans="1:5" x14ac:dyDescent="0.2">
      <c r="A4" s="67" t="s">
        <v>153</v>
      </c>
      <c r="B4" s="84" t="s">
        <v>14</v>
      </c>
      <c r="C4" s="74">
        <f>IFERROR(VLOOKUP(A4,'[10]Indicador c.1)'!$B$2:$F$62,5,0),0)</f>
        <v>1127</v>
      </c>
      <c r="D4" s="73">
        <f t="shared" si="0"/>
        <v>0.19758064516129031</v>
      </c>
      <c r="E4" s="80">
        <f t="shared" si="1"/>
        <v>369217.02520161291</v>
      </c>
    </row>
    <row r="5" spans="1:5" x14ac:dyDescent="0.2">
      <c r="A5" s="67" t="s">
        <v>154</v>
      </c>
      <c r="B5" s="84" t="s">
        <v>15</v>
      </c>
      <c r="C5" s="74">
        <f>IFERROR(VLOOKUP(A5,'[10]Indicador c.1)'!$B$2:$F$62,5,0),0)</f>
        <v>504</v>
      </c>
      <c r="D5" s="73">
        <f t="shared" si="0"/>
        <v>8.8359046283309955E-2</v>
      </c>
      <c r="E5" s="80">
        <f t="shared" si="1"/>
        <v>165115.68828892006</v>
      </c>
    </row>
    <row r="6" spans="1:5" x14ac:dyDescent="0.2">
      <c r="A6" s="67" t="s">
        <v>24</v>
      </c>
      <c r="B6" s="84" t="s">
        <v>16</v>
      </c>
      <c r="C6" s="74">
        <f>IFERROR(VLOOKUP(A6,'[10]Indicador c.1)'!$B$2:$F$62,5,0),0)</f>
        <v>721</v>
      </c>
      <c r="D6" s="73">
        <f t="shared" si="0"/>
        <v>0.12640252454417952</v>
      </c>
      <c r="E6" s="80">
        <f t="shared" si="1"/>
        <v>236207.16519109398</v>
      </c>
    </row>
    <row r="7" spans="1:5" x14ac:dyDescent="0.2">
      <c r="A7" s="67" t="s">
        <v>155</v>
      </c>
      <c r="B7" s="84" t="s">
        <v>18</v>
      </c>
      <c r="C7" s="74">
        <f>IFERROR(VLOOKUP(A7,'[10]Indicador c.1)'!$B$2:$F$62,5,0),0)</f>
        <v>434</v>
      </c>
      <c r="D7" s="73">
        <f t="shared" si="0"/>
        <v>7.6086956521739135E-2</v>
      </c>
      <c r="E7" s="80">
        <f t="shared" si="1"/>
        <v>142182.95380434784</v>
      </c>
    </row>
    <row r="8" spans="1:5" x14ac:dyDescent="0.2">
      <c r="A8" s="67" t="s">
        <v>156</v>
      </c>
      <c r="B8" s="84" t="s">
        <v>17</v>
      </c>
      <c r="C8" s="74">
        <f>IFERROR(VLOOKUP(A8,'[10]Indicador c.1)'!$B$2:$F$62,5,0),0)</f>
        <v>444</v>
      </c>
      <c r="D8" s="73">
        <f t="shared" si="0"/>
        <v>7.7840112201963532E-2</v>
      </c>
      <c r="E8" s="80">
        <f t="shared" si="1"/>
        <v>145459.05873071527</v>
      </c>
    </row>
    <row r="9" spans="1:5" x14ac:dyDescent="0.2">
      <c r="A9" s="67" t="s">
        <v>157</v>
      </c>
      <c r="B9" s="84" t="s">
        <v>19</v>
      </c>
      <c r="C9" s="74">
        <f>IFERROR(VLOOKUP(A9,'[10]Indicador c.1)'!$B$2:$F$62,5,0),0)</f>
        <v>332</v>
      </c>
      <c r="D9" s="73">
        <f t="shared" si="0"/>
        <v>5.8204768583450209E-2</v>
      </c>
      <c r="E9" s="80">
        <f t="shared" si="1"/>
        <v>108766.68355539972</v>
      </c>
    </row>
    <row r="10" spans="1:5" x14ac:dyDescent="0.2">
      <c r="A10" s="67" t="s">
        <v>158</v>
      </c>
      <c r="B10" s="84" t="s">
        <v>31</v>
      </c>
      <c r="C10" s="74">
        <f>IFERROR(VLOOKUP(A10,'[10]Indicador c.1)'!$B$2:$F$62,5,0),0)</f>
        <v>284</v>
      </c>
      <c r="D10" s="73">
        <f t="shared" si="0"/>
        <v>4.978962131837307E-2</v>
      </c>
      <c r="E10" s="80">
        <f t="shared" si="1"/>
        <v>93041.379908835908</v>
      </c>
    </row>
    <row r="11" spans="1:5" x14ac:dyDescent="0.2">
      <c r="A11" s="67" t="s">
        <v>159</v>
      </c>
      <c r="B11" s="84" t="s">
        <v>30</v>
      </c>
      <c r="C11" s="74">
        <f>IFERROR(VLOOKUP(A11,'[10]Indicador c.1)'!$B$2:$F$62,5,0),0)</f>
        <v>297</v>
      </c>
      <c r="D11" s="73">
        <f t="shared" si="0"/>
        <v>5.2068723702664799E-2</v>
      </c>
      <c r="E11" s="80">
        <f t="shared" si="1"/>
        <v>97300.31631311361</v>
      </c>
    </row>
    <row r="12" spans="1:5" x14ac:dyDescent="0.2">
      <c r="C12" s="81">
        <f>SUM(C3:C11)</f>
        <v>5704</v>
      </c>
      <c r="D12" s="86">
        <f>SUM(D3:D11)</f>
        <v>1</v>
      </c>
      <c r="E12" s="81">
        <f>SUM(E3:E11)</f>
        <v>1868690.25</v>
      </c>
    </row>
    <row r="15" spans="1:5" x14ac:dyDescent="0.2">
      <c r="A15" t="s">
        <v>162</v>
      </c>
      <c r="B15" s="13">
        <f>'Montos BD 2018'!B27/6</f>
        <v>1868690.25</v>
      </c>
    </row>
  </sheetData>
  <autoFilter ref="A2:C1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C12" sqref="C12"/>
    </sheetView>
  </sheetViews>
  <sheetFormatPr baseColWidth="10" defaultRowHeight="15" x14ac:dyDescent="0.2"/>
  <cols>
    <col min="1" max="1" width="50" bestFit="1" customWidth="1"/>
  </cols>
  <sheetData>
    <row r="2" spans="1:5" ht="56" x14ac:dyDescent="0.2">
      <c r="A2" s="70" t="s">
        <v>20</v>
      </c>
      <c r="B2" s="71" t="s">
        <v>10</v>
      </c>
      <c r="C2" s="71" t="s">
        <v>160</v>
      </c>
      <c r="D2" s="71" t="s">
        <v>146</v>
      </c>
      <c r="E2" s="71" t="s">
        <v>145</v>
      </c>
    </row>
    <row r="3" spans="1:5" x14ac:dyDescent="0.2">
      <c r="A3" s="67" t="s">
        <v>152</v>
      </c>
      <c r="B3" s="84" t="s">
        <v>13</v>
      </c>
      <c r="C3" s="74">
        <f>IFERROR(VLOOKUP(B3,[11]Matricula_total!$C$8:$D$35,2,0),0)</f>
        <v>26629</v>
      </c>
      <c r="D3" s="73">
        <f t="shared" ref="D3:D11" si="0">C3/$C$12</f>
        <v>0.19618374037646885</v>
      </c>
      <c r="E3" s="74">
        <f t="shared" ref="E3:E11" si="1">D3*$B$15</f>
        <v>366606.64285003865</v>
      </c>
    </row>
    <row r="4" spans="1:5" x14ac:dyDescent="0.2">
      <c r="A4" s="67" t="s">
        <v>154</v>
      </c>
      <c r="B4" s="84" t="s">
        <v>15</v>
      </c>
      <c r="C4" s="74">
        <f>IFERROR(VLOOKUP(B4,[11]Matricula_total!$C$8:$D$35,2,0),0)</f>
        <v>14582</v>
      </c>
      <c r="D4" s="73">
        <f t="shared" si="0"/>
        <v>0.10742991859137289</v>
      </c>
      <c r="E4" s="74">
        <f t="shared" si="1"/>
        <v>200753.24142999225</v>
      </c>
    </row>
    <row r="5" spans="1:5" x14ac:dyDescent="0.2">
      <c r="A5" s="67" t="s">
        <v>24</v>
      </c>
      <c r="B5" s="84" t="s">
        <v>16</v>
      </c>
      <c r="C5" s="74">
        <f>IFERROR(VLOOKUP(B5,[11]Matricula_total!$C$8:$D$35,2,0),0)</f>
        <v>14483</v>
      </c>
      <c r="D5" s="73">
        <f t="shared" si="0"/>
        <v>0.10670055623089107</v>
      </c>
      <c r="E5" s="74">
        <f t="shared" si="1"/>
        <v>199390.28909824291</v>
      </c>
    </row>
    <row r="6" spans="1:5" x14ac:dyDescent="0.2">
      <c r="A6" s="67" t="s">
        <v>158</v>
      </c>
      <c r="B6" s="84" t="s">
        <v>31</v>
      </c>
      <c r="C6" s="74">
        <f>IFERROR(VLOOKUP(B6,[11]Matricula_total!$C$8:$D$35,2,0),0)</f>
        <v>12346</v>
      </c>
      <c r="D6" s="73">
        <f t="shared" si="0"/>
        <v>9.0956643459682476E-2</v>
      </c>
      <c r="E6" s="74">
        <f t="shared" si="1"/>
        <v>169969.79280583491</v>
      </c>
    </row>
    <row r="7" spans="1:5" x14ac:dyDescent="0.2">
      <c r="A7" s="67" t="s">
        <v>157</v>
      </c>
      <c r="B7" s="84" t="s">
        <v>19</v>
      </c>
      <c r="C7" s="74">
        <f>IFERROR(VLOOKUP(B7,[11]Matricula_total!$C$8:$D$35,2,0),0)</f>
        <v>9939</v>
      </c>
      <c r="D7" s="73">
        <f t="shared" si="0"/>
        <v>7.322356061443254E-2</v>
      </c>
      <c r="E7" s="74">
        <f t="shared" si="1"/>
        <v>136832.15379047408</v>
      </c>
    </row>
    <row r="8" spans="1:5" x14ac:dyDescent="0.2">
      <c r="A8" s="67" t="s">
        <v>159</v>
      </c>
      <c r="B8" s="84" t="s">
        <v>30</v>
      </c>
      <c r="C8" s="74">
        <f>IFERROR(VLOOKUP(B8,[11]Matricula_total!$C$8:$D$35,2,0),0)</f>
        <v>7341</v>
      </c>
      <c r="D8" s="73">
        <f t="shared" si="0"/>
        <v>5.4083324124212621E-2</v>
      </c>
      <c r="E8" s="74">
        <f t="shared" si="1"/>
        <v>101064.98047850591</v>
      </c>
    </row>
    <row r="9" spans="1:5" x14ac:dyDescent="0.2">
      <c r="A9" s="67" t="s">
        <v>155</v>
      </c>
      <c r="B9" s="84" t="s">
        <v>18</v>
      </c>
      <c r="C9" s="74">
        <f>IFERROR(VLOOKUP(B9,[11]Matricula_total!$C$8:$D$35,2,0),0)</f>
        <v>10618</v>
      </c>
      <c r="D9" s="73">
        <f t="shared" si="0"/>
        <v>7.8225954985817955E-2</v>
      </c>
      <c r="E9" s="74">
        <f t="shared" si="1"/>
        <v>146180.07937893691</v>
      </c>
    </row>
    <row r="10" spans="1:5" x14ac:dyDescent="0.2">
      <c r="A10" s="67" t="s">
        <v>153</v>
      </c>
      <c r="B10" s="84" t="s">
        <v>14</v>
      </c>
      <c r="C10" s="74">
        <f>IFERROR(VLOOKUP(B10,[11]Matricula_total!$C$8:$D$35,2,0),0)</f>
        <v>24617</v>
      </c>
      <c r="D10" s="73">
        <f t="shared" si="0"/>
        <v>0.18136073967657568</v>
      </c>
      <c r="E10" s="74">
        <f t="shared" si="1"/>
        <v>338907.04596640513</v>
      </c>
    </row>
    <row r="11" spans="1:5" x14ac:dyDescent="0.2">
      <c r="A11" s="67" t="s">
        <v>156</v>
      </c>
      <c r="B11" s="84" t="s">
        <v>17</v>
      </c>
      <c r="C11" s="74">
        <f>IFERROR(VLOOKUP(B11,[11]Matricula_total!$C$8:$D$35,2,0),0)</f>
        <v>15180</v>
      </c>
      <c r="D11" s="73">
        <f t="shared" si="0"/>
        <v>0.11183556194054592</v>
      </c>
      <c r="E11" s="74">
        <f t="shared" si="1"/>
        <v>208986.02420156923</v>
      </c>
    </row>
    <row r="12" spans="1:5" x14ac:dyDescent="0.2">
      <c r="C12" s="81">
        <f>SUM(C3:C11)</f>
        <v>135735</v>
      </c>
      <c r="D12" s="81">
        <f>SUM(D3:D11)</f>
        <v>1.0000000000000002</v>
      </c>
      <c r="E12" s="81">
        <f>SUM(E3:E11)</f>
        <v>1868690.2499999998</v>
      </c>
    </row>
    <row r="15" spans="1:5" x14ac:dyDescent="0.2">
      <c r="A15" t="s">
        <v>161</v>
      </c>
      <c r="B15" s="13">
        <f>'Montos BD 2018'!B27/6</f>
        <v>1868690.25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Montos BD 2018</vt:lpstr>
      <vt:lpstr>Montos BD 2018 Anticipo y Saldo</vt:lpstr>
      <vt:lpstr>Categorías</vt:lpstr>
      <vt:lpstr>Valores</vt:lpstr>
      <vt:lpstr>Indicadores</vt:lpstr>
      <vt:lpstr>Publicaciones CM</vt:lpstr>
      <vt:lpstr>Acreditación CM</vt:lpstr>
      <vt:lpstr>Doctorado JC CM</vt:lpstr>
      <vt:lpstr>Programas Doct. Acreditados CM</vt:lpstr>
      <vt:lpstr>Académicos JC CM</vt:lpstr>
      <vt:lpstr>Matrícula Regular Pre CM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Usuario de Microsoft Office</cp:lastModifiedBy>
  <cp:lastPrinted>2018-12-17T19:45:07Z</cp:lastPrinted>
  <dcterms:created xsi:type="dcterms:W3CDTF">2016-05-30T15:19:10Z</dcterms:created>
  <dcterms:modified xsi:type="dcterms:W3CDTF">2018-12-17T20:08:40Z</dcterms:modified>
</cp:coreProperties>
</file>