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4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carlos.gatica/Documents/DFI/2017/academica/FBasalXD/"/>
    </mc:Choice>
  </mc:AlternateContent>
  <bookViews>
    <workbookView xWindow="460" yWindow="580" windowWidth="25880" windowHeight="21520" tabRatio="857"/>
  </bookViews>
  <sheets>
    <sheet name="BD_Calculo 2017" sheetId="7" r:id="rId1"/>
    <sheet name="AFI 2016" sheetId="12" r:id="rId2"/>
    <sheet name="Complejidad" sheetId="4" r:id="rId3"/>
    <sheet name="Desempeño" sheetId="2" r:id="rId4"/>
    <sheet name="Categoria 2017" sheetId="10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3" hidden="1">Desempeño!$A$6:$BE$15</definedName>
    <definedName name="_xlnm.Print_Area" localSheetId="0">'BD_Calculo 2017'!$A$1:$X$23</definedName>
    <definedName name="_xlnm.Print_Area" localSheetId="4">'Categoria 2017'!$A$1:$N$19</definedName>
    <definedName name="_xlnm.Print_Area" localSheetId="2">Complejidad!$A$2:$AR$16</definedName>
    <definedName name="_xlnm.Print_Area" localSheetId="3">Desempeño!$BC$1:$BC$15</definedName>
  </definedNames>
  <calcPr calcId="150001" concurrentCalc="0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7" l="1"/>
  <c r="C10" i="7"/>
  <c r="C11" i="7"/>
  <c r="C12" i="7"/>
  <c r="C13" i="7"/>
  <c r="C14" i="7"/>
  <c r="C15" i="7"/>
  <c r="C16" i="7"/>
  <c r="C17" i="7"/>
  <c r="C18" i="7"/>
  <c r="A22" i="7"/>
  <c r="E21" i="7"/>
  <c r="AD2" i="4"/>
  <c r="AJ7" i="4"/>
  <c r="AK7" i="4"/>
  <c r="AL7" i="4"/>
  <c r="AM7" i="4"/>
  <c r="AN7" i="4"/>
  <c r="AO7" i="4"/>
  <c r="AP7" i="4"/>
  <c r="E9" i="7"/>
  <c r="AJ8" i="4"/>
  <c r="AK8" i="4"/>
  <c r="AL8" i="4"/>
  <c r="AM8" i="4"/>
  <c r="AN8" i="4"/>
  <c r="AO8" i="4"/>
  <c r="AP8" i="4"/>
  <c r="E10" i="7"/>
  <c r="AJ10" i="4"/>
  <c r="AK10" i="4"/>
  <c r="AL10" i="4"/>
  <c r="AM10" i="4"/>
  <c r="AN10" i="4"/>
  <c r="AO10" i="4"/>
  <c r="AP10" i="4"/>
  <c r="E11" i="7"/>
  <c r="AJ12" i="4"/>
  <c r="AK12" i="4"/>
  <c r="AL12" i="4"/>
  <c r="AM12" i="4"/>
  <c r="AN12" i="4"/>
  <c r="AO12" i="4"/>
  <c r="AP12" i="4"/>
  <c r="E12" i="7"/>
  <c r="AJ9" i="4"/>
  <c r="AK9" i="4"/>
  <c r="AL9" i="4"/>
  <c r="AM9" i="4"/>
  <c r="AN9" i="4"/>
  <c r="AO9" i="4"/>
  <c r="AP9" i="4"/>
  <c r="E13" i="7"/>
  <c r="AJ11" i="4"/>
  <c r="AK11" i="4"/>
  <c r="AL11" i="4"/>
  <c r="AM11" i="4"/>
  <c r="AN11" i="4"/>
  <c r="AO11" i="4"/>
  <c r="AP11" i="4"/>
  <c r="E14" i="7"/>
  <c r="AJ13" i="4"/>
  <c r="AK13" i="4"/>
  <c r="AL13" i="4"/>
  <c r="AM13" i="4"/>
  <c r="AN13" i="4"/>
  <c r="AO13" i="4"/>
  <c r="AP13" i="4"/>
  <c r="E15" i="7"/>
  <c r="AJ15" i="4"/>
  <c r="AK15" i="4"/>
  <c r="AL15" i="4"/>
  <c r="AM15" i="4"/>
  <c r="AN15" i="4"/>
  <c r="AO15" i="4"/>
  <c r="AP15" i="4"/>
  <c r="E16" i="7"/>
  <c r="AJ14" i="4"/>
  <c r="AK14" i="4"/>
  <c r="AL14" i="4"/>
  <c r="AM14" i="4"/>
  <c r="AN14" i="4"/>
  <c r="AO14" i="4"/>
  <c r="AP14" i="4"/>
  <c r="E17" i="7"/>
  <c r="E18" i="7"/>
  <c r="D18" i="7"/>
  <c r="F18" i="7"/>
  <c r="H21" i="7"/>
  <c r="BF2" i="2"/>
  <c r="BF3" i="2"/>
  <c r="BF4" i="2"/>
  <c r="BF1" i="2"/>
  <c r="G8" i="10"/>
  <c r="G9" i="10"/>
  <c r="G17" i="10"/>
  <c r="G18" i="10"/>
  <c r="G10" i="10"/>
  <c r="G11" i="10"/>
  <c r="G12" i="10"/>
  <c r="G13" i="10"/>
  <c r="G14" i="10"/>
  <c r="G15" i="10"/>
  <c r="G16" i="10"/>
  <c r="BD7" i="2"/>
  <c r="BA7" i="2"/>
  <c r="AT7" i="2"/>
  <c r="AN7" i="2"/>
  <c r="AJ7" i="2"/>
  <c r="AF7" i="2"/>
  <c r="E8" i="12"/>
  <c r="E9" i="12"/>
  <c r="E10" i="12"/>
  <c r="E11" i="12"/>
  <c r="E12" i="12"/>
  <c r="E13" i="12"/>
  <c r="E14" i="12"/>
  <c r="E15" i="12"/>
  <c r="E7" i="12"/>
  <c r="D16" i="12"/>
  <c r="C15" i="12"/>
  <c r="C14" i="12"/>
  <c r="C13" i="12"/>
  <c r="C12" i="12"/>
  <c r="C11" i="12"/>
  <c r="C10" i="12"/>
  <c r="C9" i="12"/>
  <c r="C8" i="12"/>
  <c r="C7" i="12"/>
  <c r="E16" i="12"/>
  <c r="E17" i="12"/>
  <c r="AC8" i="4"/>
  <c r="AC9" i="4"/>
  <c r="AC10" i="4"/>
  <c r="AC11" i="4"/>
  <c r="AC12" i="4"/>
  <c r="AC13" i="4"/>
  <c r="AC14" i="4"/>
  <c r="AC15" i="4"/>
  <c r="AC7" i="4"/>
  <c r="O8" i="4"/>
  <c r="O9" i="4"/>
  <c r="O10" i="4"/>
  <c r="O11" i="4"/>
  <c r="O12" i="4"/>
  <c r="O13" i="4"/>
  <c r="O14" i="4"/>
  <c r="O15" i="4"/>
  <c r="O7" i="4"/>
  <c r="P16" i="4"/>
  <c r="Q16" i="4"/>
  <c r="AF13" i="4"/>
  <c r="R7" i="4"/>
  <c r="AH8" i="4"/>
  <c r="AH12" i="4"/>
  <c r="AH7" i="4"/>
  <c r="AH13" i="4"/>
  <c r="AH10" i="4"/>
  <c r="AH14" i="4"/>
  <c r="AH11" i="4"/>
  <c r="AH15" i="4"/>
  <c r="AH9" i="4"/>
  <c r="R10" i="4"/>
  <c r="R8" i="4"/>
  <c r="R14" i="4"/>
  <c r="R11" i="4"/>
  <c r="R9" i="4"/>
  <c r="R12" i="4"/>
  <c r="R15" i="4"/>
  <c r="R13" i="4"/>
  <c r="AF14" i="4"/>
  <c r="S8" i="4"/>
  <c r="S10" i="4"/>
  <c r="AF12" i="4"/>
  <c r="AF10" i="4"/>
  <c r="S12" i="4"/>
  <c r="S14" i="4"/>
  <c r="AF8" i="4"/>
  <c r="AF11" i="4"/>
  <c r="AF7" i="4"/>
  <c r="S15" i="4"/>
  <c r="S13" i="4"/>
  <c r="AF9" i="4"/>
  <c r="AF15" i="4"/>
  <c r="S7" i="4"/>
  <c r="S11" i="4"/>
  <c r="S9" i="4"/>
  <c r="R16" i="4"/>
  <c r="S16" i="4"/>
  <c r="AF16" i="4"/>
  <c r="I8" i="4"/>
  <c r="J8" i="4"/>
  <c r="K8" i="4"/>
  <c r="I9" i="4"/>
  <c r="J9" i="4"/>
  <c r="K9" i="4"/>
  <c r="I10" i="4"/>
  <c r="J10" i="4"/>
  <c r="K10" i="4"/>
  <c r="I11" i="4"/>
  <c r="J11" i="4"/>
  <c r="K11" i="4"/>
  <c r="I12" i="4"/>
  <c r="J12" i="4"/>
  <c r="K12" i="4"/>
  <c r="I13" i="4"/>
  <c r="J13" i="4"/>
  <c r="K13" i="4"/>
  <c r="I14" i="4"/>
  <c r="J14" i="4"/>
  <c r="K14" i="4"/>
  <c r="I15" i="4"/>
  <c r="J15" i="4"/>
  <c r="K15" i="4"/>
  <c r="K7" i="4"/>
  <c r="I7" i="4"/>
  <c r="I6" i="4"/>
  <c r="J6" i="4"/>
  <c r="L15" i="4"/>
  <c r="L11" i="4"/>
  <c r="L12" i="4"/>
  <c r="L8" i="4"/>
  <c r="L13" i="4"/>
  <c r="L9" i="4"/>
  <c r="L14" i="4"/>
  <c r="L10" i="4"/>
  <c r="I16" i="4"/>
  <c r="K16" i="4"/>
  <c r="J7" i="4"/>
  <c r="L7" i="4"/>
  <c r="J16" i="4"/>
  <c r="L16" i="4"/>
  <c r="AE7" i="4"/>
  <c r="AE11" i="4"/>
  <c r="AE15" i="4"/>
  <c r="AE13" i="4"/>
  <c r="AE9" i="4"/>
  <c r="AE10" i="4"/>
  <c r="AE12" i="4"/>
  <c r="AE8" i="4"/>
  <c r="AE14" i="4"/>
  <c r="M15" i="4"/>
  <c r="M9" i="4"/>
  <c r="M11" i="4"/>
  <c r="M12" i="4"/>
  <c r="M10" i="4"/>
  <c r="M14" i="4"/>
  <c r="M13" i="4"/>
  <c r="M8" i="4"/>
  <c r="M7" i="4"/>
  <c r="AE16" i="4"/>
  <c r="J7" i="2"/>
  <c r="K7" i="2"/>
  <c r="L7" i="2"/>
  <c r="J8" i="2"/>
  <c r="K8" i="2"/>
  <c r="L8" i="2"/>
  <c r="J9" i="2"/>
  <c r="K9" i="2"/>
  <c r="L9" i="2"/>
  <c r="J10" i="2"/>
  <c r="K10" i="2"/>
  <c r="L10" i="2"/>
  <c r="J11" i="2"/>
  <c r="K11" i="2"/>
  <c r="L11" i="2"/>
  <c r="J12" i="2"/>
  <c r="K12" i="2"/>
  <c r="L12" i="2"/>
  <c r="J13" i="2"/>
  <c r="K13" i="2"/>
  <c r="L13" i="2"/>
  <c r="J14" i="2"/>
  <c r="K14" i="2"/>
  <c r="L14" i="2"/>
  <c r="J15" i="2"/>
  <c r="K15" i="2"/>
  <c r="L15" i="2"/>
  <c r="AP7" i="2"/>
  <c r="AR8" i="4"/>
  <c r="AR9" i="4"/>
  <c r="AR10" i="4"/>
  <c r="AR11" i="4"/>
  <c r="AR12" i="4"/>
  <c r="AR13" i="4"/>
  <c r="AR14" i="4"/>
  <c r="AR15" i="4"/>
  <c r="AR7" i="4"/>
  <c r="Z16" i="4"/>
  <c r="AA12" i="4"/>
  <c r="K17" i="10"/>
  <c r="E17" i="10"/>
  <c r="I16" i="10"/>
  <c r="I11" i="10"/>
  <c r="I10" i="10"/>
  <c r="I9" i="10"/>
  <c r="AA13" i="4"/>
  <c r="AA10" i="4"/>
  <c r="AA14" i="4"/>
  <c r="AA15" i="4"/>
  <c r="AA11" i="4"/>
  <c r="AA8" i="4"/>
  <c r="AA9" i="4"/>
  <c r="AA7" i="4"/>
  <c r="AI8" i="4"/>
  <c r="AI12" i="4"/>
  <c r="AI9" i="4"/>
  <c r="AI7" i="4"/>
  <c r="AI13" i="4"/>
  <c r="AI10" i="4"/>
  <c r="AI15" i="4"/>
  <c r="AI14" i="4"/>
  <c r="AI11" i="4"/>
  <c r="H17" i="10"/>
  <c r="I8" i="10"/>
  <c r="AI16" i="4"/>
  <c r="AH16" i="4"/>
  <c r="M7" i="2"/>
  <c r="N7" i="2"/>
  <c r="O7" i="2"/>
  <c r="P7" i="2"/>
  <c r="Q7" i="2"/>
  <c r="R7" i="2"/>
  <c r="U7" i="2"/>
  <c r="V7" i="2"/>
  <c r="W7" i="2"/>
  <c r="X7" i="2"/>
  <c r="Y7" i="2"/>
  <c r="Z7" i="2"/>
  <c r="AA7" i="2"/>
  <c r="AB7" i="2"/>
  <c r="AC7" i="2"/>
  <c r="AE7" i="2"/>
  <c r="BC7" i="2"/>
  <c r="AR7" i="2"/>
  <c r="AX7" i="2"/>
  <c r="AV7" i="2"/>
  <c r="AH7" i="2"/>
  <c r="AL7" i="2"/>
  <c r="AY7" i="2"/>
  <c r="BG4" i="2"/>
  <c r="BG3" i="2"/>
  <c r="BG2" i="2"/>
  <c r="U5" i="7"/>
  <c r="U6" i="7"/>
  <c r="B15" i="7"/>
  <c r="Q15" i="7"/>
  <c r="B12" i="7"/>
  <c r="Q12" i="7"/>
  <c r="B16" i="7"/>
  <c r="Q16" i="7"/>
  <c r="B11" i="7"/>
  <c r="Q11" i="7"/>
  <c r="B14" i="7"/>
  <c r="Q14" i="7"/>
  <c r="B10" i="7"/>
  <c r="Q10" i="7"/>
  <c r="B17" i="7"/>
  <c r="Q17" i="7"/>
  <c r="B13" i="7"/>
  <c r="Q13" i="7"/>
  <c r="B9" i="7"/>
  <c r="Q9" i="7"/>
  <c r="P14" i="7"/>
  <c r="P10" i="7"/>
  <c r="P17" i="7"/>
  <c r="P13" i="7"/>
  <c r="P15" i="7"/>
  <c r="P12" i="7"/>
  <c r="P16" i="7"/>
  <c r="P11" i="7"/>
  <c r="P9" i="7"/>
  <c r="S18" i="7"/>
  <c r="T9" i="7"/>
  <c r="U9" i="7"/>
  <c r="AL16" i="4"/>
  <c r="AN16" i="4"/>
  <c r="AK16" i="4"/>
  <c r="AO16" i="4"/>
  <c r="T17" i="7"/>
  <c r="U17" i="7"/>
  <c r="T10" i="7"/>
  <c r="U10" i="7"/>
  <c r="T14" i="7"/>
  <c r="U14" i="7"/>
  <c r="T16" i="7"/>
  <c r="U16" i="7"/>
  <c r="T11" i="7"/>
  <c r="U11" i="7"/>
  <c r="T15" i="7"/>
  <c r="U15" i="7"/>
  <c r="T12" i="7"/>
  <c r="U12" i="7"/>
  <c r="T13" i="7"/>
  <c r="U13" i="7"/>
  <c r="AX13" i="2"/>
  <c r="AX14" i="2"/>
  <c r="AX15" i="2"/>
  <c r="U18" i="7"/>
  <c r="T18" i="7"/>
  <c r="U8" i="2"/>
  <c r="V8" i="2"/>
  <c r="U9" i="2"/>
  <c r="V9" i="2"/>
  <c r="U10" i="2"/>
  <c r="V10" i="2"/>
  <c r="U11" i="2"/>
  <c r="V11" i="2"/>
  <c r="U12" i="2"/>
  <c r="V12" i="2"/>
  <c r="AA8" i="2"/>
  <c r="AA9" i="2"/>
  <c r="AA10" i="2"/>
  <c r="AA11" i="2"/>
  <c r="AA12" i="2"/>
  <c r="AA14" i="2"/>
  <c r="AA13" i="2"/>
  <c r="AA15" i="2"/>
  <c r="AB8" i="2"/>
  <c r="AB9" i="2"/>
  <c r="AB10" i="2"/>
  <c r="AB11" i="2"/>
  <c r="AB12" i="2"/>
  <c r="AB14" i="2"/>
  <c r="AB13" i="2"/>
  <c r="AB15" i="2"/>
  <c r="Z8" i="2"/>
  <c r="Z9" i="2"/>
  <c r="Z10" i="2"/>
  <c r="Z11" i="2"/>
  <c r="Z12" i="2"/>
  <c r="Z14" i="2"/>
  <c r="Z13" i="2"/>
  <c r="Z15" i="2"/>
  <c r="Y8" i="2"/>
  <c r="Y9" i="2"/>
  <c r="Y10" i="2"/>
  <c r="Y11" i="2"/>
  <c r="Y12" i="2"/>
  <c r="Y14" i="2"/>
  <c r="Y13" i="2"/>
  <c r="Y15" i="2"/>
  <c r="X8" i="2"/>
  <c r="X9" i="2"/>
  <c r="X10" i="2"/>
  <c r="X11" i="2"/>
  <c r="X12" i="2"/>
  <c r="X14" i="2"/>
  <c r="X13" i="2"/>
  <c r="X15" i="2"/>
  <c r="W8" i="2"/>
  <c r="W9" i="2"/>
  <c r="W10" i="2"/>
  <c r="W11" i="2"/>
  <c r="W12" i="2"/>
  <c r="W14" i="2"/>
  <c r="W13" i="2"/>
  <c r="W15" i="2"/>
  <c r="O8" i="2"/>
  <c r="P8" i="2"/>
  <c r="Q8" i="2"/>
  <c r="R8" i="2"/>
  <c r="O9" i="2"/>
  <c r="P9" i="2"/>
  <c r="Q9" i="2"/>
  <c r="R9" i="2"/>
  <c r="O10" i="2"/>
  <c r="BA10" i="2"/>
  <c r="P10" i="2"/>
  <c r="Q10" i="2"/>
  <c r="R10" i="2"/>
  <c r="O11" i="2"/>
  <c r="P11" i="2"/>
  <c r="Q11" i="2"/>
  <c r="R11" i="2"/>
  <c r="O12" i="2"/>
  <c r="P12" i="2"/>
  <c r="Q12" i="2"/>
  <c r="R12" i="2"/>
  <c r="O14" i="2"/>
  <c r="P14" i="2"/>
  <c r="Q14" i="2"/>
  <c r="R14" i="2"/>
  <c r="O13" i="2"/>
  <c r="P13" i="2"/>
  <c r="Q13" i="2"/>
  <c r="R13" i="2"/>
  <c r="O15" i="2"/>
  <c r="P15" i="2"/>
  <c r="Q15" i="2"/>
  <c r="R15" i="2"/>
  <c r="M8" i="2"/>
  <c r="N8" i="2"/>
  <c r="M9" i="2"/>
  <c r="N9" i="2"/>
  <c r="M10" i="2"/>
  <c r="N10" i="2"/>
  <c r="M11" i="2"/>
  <c r="N11" i="2"/>
  <c r="M12" i="2"/>
  <c r="N12" i="2"/>
  <c r="M14" i="2"/>
  <c r="N14" i="2"/>
  <c r="M13" i="2"/>
  <c r="N13" i="2"/>
  <c r="M15" i="2"/>
  <c r="N15" i="2"/>
  <c r="AF8" i="2"/>
  <c r="AV13" i="2"/>
  <c r="AV10" i="2"/>
  <c r="AV15" i="2"/>
  <c r="AV11" i="2"/>
  <c r="AT13" i="2"/>
  <c r="AR13" i="2"/>
  <c r="AV12" i="2"/>
  <c r="AV8" i="2"/>
  <c r="BA15" i="2"/>
  <c r="BA13" i="2"/>
  <c r="BA14" i="2"/>
  <c r="BA12" i="2"/>
  <c r="BA11" i="2"/>
  <c r="BA9" i="2"/>
  <c r="AY11" i="2"/>
  <c r="AY12" i="2"/>
  <c r="AY8" i="2"/>
  <c r="AX9" i="2"/>
  <c r="AY9" i="2"/>
  <c r="AY10" i="2"/>
  <c r="AP15" i="2"/>
  <c r="AP14" i="2"/>
  <c r="AP11" i="2"/>
  <c r="AP9" i="2"/>
  <c r="AP13" i="2"/>
  <c r="AP12" i="2"/>
  <c r="AP10" i="2"/>
  <c r="AP8" i="2"/>
  <c r="AV14" i="2"/>
  <c r="AV9" i="2"/>
  <c r="AX11" i="2"/>
  <c r="AN13" i="2"/>
  <c r="AL13" i="2"/>
  <c r="AL12" i="2"/>
  <c r="AN12" i="2"/>
  <c r="AN10" i="2"/>
  <c r="AL10" i="2"/>
  <c r="AL8" i="2"/>
  <c r="AM2" i="2"/>
  <c r="AM7" i="2"/>
  <c r="AN8" i="2"/>
  <c r="AO2" i="2"/>
  <c r="AO7" i="2"/>
  <c r="AF15" i="2"/>
  <c r="AF14" i="2"/>
  <c r="AF11" i="2"/>
  <c r="AF9" i="2"/>
  <c r="AR15" i="2"/>
  <c r="AR11" i="2"/>
  <c r="AT14" i="2"/>
  <c r="AT9" i="2"/>
  <c r="AR10" i="2"/>
  <c r="AT12" i="2"/>
  <c r="AT8" i="2"/>
  <c r="AU2" i="2"/>
  <c r="AU7" i="2"/>
  <c r="AX12" i="2"/>
  <c r="AX8" i="2"/>
  <c r="AL15" i="2"/>
  <c r="AN15" i="2"/>
  <c r="AN14" i="2"/>
  <c r="AL14" i="2"/>
  <c r="AL11" i="2"/>
  <c r="AN11" i="2"/>
  <c r="AN9" i="2"/>
  <c r="AL9" i="2"/>
  <c r="AF13" i="2"/>
  <c r="AF12" i="2"/>
  <c r="AF10" i="2"/>
  <c r="AJ15" i="2"/>
  <c r="AH15" i="2"/>
  <c r="AH13" i="2"/>
  <c r="AJ13" i="2"/>
  <c r="AJ14" i="2"/>
  <c r="AH14" i="2"/>
  <c r="AH12" i="2"/>
  <c r="AJ12" i="2"/>
  <c r="AJ11" i="2"/>
  <c r="AH11" i="2"/>
  <c r="AJ10" i="2"/>
  <c r="AH10" i="2"/>
  <c r="AH9" i="2"/>
  <c r="AJ9" i="2"/>
  <c r="AH8" i="2"/>
  <c r="AI2" i="2"/>
  <c r="AI7" i="2"/>
  <c r="AJ8" i="2"/>
  <c r="AR14" i="2"/>
  <c r="AR9" i="2"/>
  <c r="AT15" i="2"/>
  <c r="AT11" i="2"/>
  <c r="AR12" i="2"/>
  <c r="AR8" i="2"/>
  <c r="AT10" i="2"/>
  <c r="AX10" i="2"/>
  <c r="AW4" i="2"/>
  <c r="AW3" i="2"/>
  <c r="AW13" i="2"/>
  <c r="AS4" i="2"/>
  <c r="AK3" i="2"/>
  <c r="AK13" i="2"/>
  <c r="AM3" i="2"/>
  <c r="AM13" i="2"/>
  <c r="AM4" i="2"/>
  <c r="AK4" i="2"/>
  <c r="AQ4" i="2"/>
  <c r="AW2" i="2"/>
  <c r="AW7" i="2"/>
  <c r="AS3" i="2"/>
  <c r="AS13" i="2"/>
  <c r="AG2" i="2"/>
  <c r="AG7" i="2"/>
  <c r="AK2" i="2"/>
  <c r="AK7" i="2"/>
  <c r="AG3" i="2"/>
  <c r="AG13" i="2"/>
  <c r="AQ2" i="2"/>
  <c r="AQ7" i="2"/>
  <c r="AZ2" i="2"/>
  <c r="AZ7" i="2"/>
  <c r="AI4" i="2"/>
  <c r="AU3" i="2"/>
  <c r="AU13" i="2"/>
  <c r="AQ3" i="2"/>
  <c r="AQ13" i="2"/>
  <c r="BB3" i="2"/>
  <c r="BB10" i="2"/>
  <c r="BB4" i="2"/>
  <c r="AS2" i="2"/>
  <c r="AS7" i="2"/>
  <c r="AZ3" i="2"/>
  <c r="AZ12" i="2"/>
  <c r="AI3" i="2"/>
  <c r="AI13" i="2"/>
  <c r="AO3" i="2"/>
  <c r="AO13" i="2"/>
  <c r="AO4" i="2"/>
  <c r="AU4" i="2"/>
  <c r="AG4" i="2"/>
  <c r="C16" i="4"/>
  <c r="AD7" i="4"/>
  <c r="W16" i="4"/>
  <c r="X9" i="4"/>
  <c r="X13" i="4"/>
  <c r="X15" i="4"/>
  <c r="X7" i="4"/>
  <c r="X10" i="4"/>
  <c r="X14" i="4"/>
  <c r="X11" i="4"/>
  <c r="X8" i="4"/>
  <c r="X12" i="4"/>
  <c r="D13" i="4"/>
  <c r="D12" i="4"/>
  <c r="D7" i="4"/>
  <c r="D10" i="4"/>
  <c r="D11" i="4"/>
  <c r="D14" i="4"/>
  <c r="D8" i="4"/>
  <c r="D9" i="4"/>
  <c r="D15" i="4"/>
  <c r="AD12" i="4"/>
  <c r="AD13" i="4"/>
  <c r="AD15" i="4"/>
  <c r="AG8" i="4"/>
  <c r="AG12" i="4"/>
  <c r="AG7" i="4"/>
  <c r="AG9" i="4"/>
  <c r="AG13" i="4"/>
  <c r="AG10" i="4"/>
  <c r="AG14" i="4"/>
  <c r="AG11" i="4"/>
  <c r="AG15" i="4"/>
  <c r="AD11" i="4"/>
  <c r="AD10" i="4"/>
  <c r="AD8" i="4"/>
  <c r="AD9" i="4"/>
  <c r="AD14" i="4"/>
  <c r="BB12" i="2"/>
  <c r="AZ10" i="2"/>
  <c r="BB13" i="2"/>
  <c r="BB11" i="2"/>
  <c r="BB9" i="2"/>
  <c r="AZ8" i="2"/>
  <c r="AZ11" i="2"/>
  <c r="AZ9" i="2"/>
  <c r="AQ9" i="4"/>
  <c r="AD16" i="4"/>
  <c r="AG16" i="4"/>
  <c r="AM16" i="4"/>
  <c r="F13" i="7"/>
  <c r="AQ8" i="4"/>
  <c r="F10" i="7"/>
  <c r="AQ10" i="4"/>
  <c r="F11" i="7"/>
  <c r="AQ12" i="4"/>
  <c r="F12" i="7"/>
  <c r="AQ15" i="4"/>
  <c r="F16" i="7"/>
  <c r="AQ11" i="4"/>
  <c r="F14" i="7"/>
  <c r="AQ13" i="4"/>
  <c r="F15" i="7"/>
  <c r="AQ14" i="4"/>
  <c r="F17" i="7"/>
  <c r="AJ16" i="4"/>
  <c r="AQ7" i="4"/>
  <c r="AP16" i="4"/>
  <c r="AQ9" i="2"/>
  <c r="AQ15" i="2"/>
  <c r="BC9" i="2"/>
  <c r="BC10" i="2"/>
  <c r="BC14" i="2"/>
  <c r="BC13" i="2"/>
  <c r="BC15" i="2"/>
  <c r="BC11" i="2"/>
  <c r="BC8" i="2"/>
  <c r="BC12" i="2"/>
  <c r="AQ16" i="4"/>
  <c r="F9" i="7"/>
  <c r="AQ8" i="2"/>
  <c r="AQ11" i="2"/>
  <c r="AQ14" i="2"/>
  <c r="AQ12" i="2"/>
  <c r="AQ10" i="2"/>
  <c r="AM9" i="2"/>
  <c r="AS14" i="2"/>
  <c r="AU9" i="2"/>
  <c r="AW14" i="2"/>
  <c r="AO9" i="2"/>
  <c r="AM14" i="2"/>
  <c r="AS11" i="2"/>
  <c r="AW9" i="2"/>
  <c r="AK10" i="2"/>
  <c r="AS8" i="2"/>
  <c r="AU11" i="2"/>
  <c r="AW8" i="2"/>
  <c r="AG15" i="2"/>
  <c r="AI8" i="2"/>
  <c r="AG11" i="2"/>
  <c r="AI11" i="2"/>
  <c r="AI15" i="2"/>
  <c r="AC9" i="2"/>
  <c r="AE9" i="2"/>
  <c r="AC10" i="2"/>
  <c r="AE10" i="2"/>
  <c r="AC14" i="2"/>
  <c r="AE14" i="2"/>
  <c r="AC13" i="2"/>
  <c r="AE13" i="2"/>
  <c r="AC15" i="2"/>
  <c r="AE15" i="2"/>
  <c r="AC11" i="2"/>
  <c r="AE11" i="2"/>
  <c r="AC8" i="2"/>
  <c r="AE8" i="2"/>
  <c r="AC12" i="2"/>
  <c r="AE12" i="2"/>
  <c r="E19" i="7"/>
  <c r="F19" i="7"/>
  <c r="AU12" i="2"/>
  <c r="AK15" i="2"/>
  <c r="AU10" i="2"/>
  <c r="AO8" i="2"/>
  <c r="AM10" i="2"/>
  <c r="AS15" i="2"/>
  <c r="AW12" i="2"/>
  <c r="AM12" i="2"/>
  <c r="AM11" i="2"/>
  <c r="AU8" i="2"/>
  <c r="AS12" i="2"/>
  <c r="AM8" i="2"/>
  <c r="AK8" i="2"/>
  <c r="AW15" i="2"/>
  <c r="AO12" i="2"/>
  <c r="AK9" i="2"/>
  <c r="AS9" i="2"/>
  <c r="AO14" i="2"/>
  <c r="AG8" i="2"/>
  <c r="AK11" i="2"/>
  <c r="AO15" i="2"/>
  <c r="AO10" i="2"/>
  <c r="AK12" i="2"/>
  <c r="AI12" i="2"/>
  <c r="AW10" i="2"/>
  <c r="AK14" i="2"/>
  <c r="AU15" i="2"/>
  <c r="AO11" i="2"/>
  <c r="AU14" i="2"/>
  <c r="AI9" i="2"/>
  <c r="AW11" i="2"/>
  <c r="AS10" i="2"/>
  <c r="AI10" i="2"/>
  <c r="AM15" i="2"/>
  <c r="AI14" i="2"/>
  <c r="AG10" i="2"/>
  <c r="AG14" i="2"/>
  <c r="AG12" i="2"/>
  <c r="AG9" i="2"/>
  <c r="D19" i="7"/>
  <c r="BD14" i="2"/>
  <c r="BD10" i="2"/>
  <c r="BD9" i="2"/>
  <c r="BD15" i="2"/>
  <c r="BD11" i="2"/>
  <c r="BD12" i="2"/>
  <c r="BD13" i="2"/>
  <c r="H22" i="7"/>
  <c r="M6" i="10"/>
  <c r="BE3" i="2"/>
  <c r="BE13" i="2"/>
  <c r="BE4" i="2"/>
  <c r="M15" i="10"/>
  <c r="M10" i="10"/>
  <c r="M8" i="10"/>
  <c r="BF13" i="2"/>
  <c r="BG13" i="2"/>
  <c r="G15" i="7"/>
  <c r="N8" i="10"/>
  <c r="M17" i="10"/>
  <c r="N17" i="10"/>
  <c r="O8" i="10"/>
  <c r="N10" i="10"/>
  <c r="O10" i="10"/>
  <c r="O15" i="10"/>
  <c r="N15" i="10"/>
  <c r="I15" i="7"/>
  <c r="H8" i="2"/>
  <c r="BA8" i="2"/>
  <c r="BB2" i="2"/>
  <c r="BB7" i="2"/>
  <c r="BB8" i="2"/>
  <c r="BD8" i="2"/>
  <c r="BE2" i="2"/>
  <c r="BE7" i="2"/>
  <c r="BF7" i="2"/>
  <c r="BG7" i="2"/>
  <c r="G9" i="7"/>
  <c r="BE8" i="2"/>
  <c r="BE15" i="2"/>
  <c r="BE10" i="2"/>
  <c r="BF10" i="2"/>
  <c r="BF8" i="2"/>
  <c r="BF15" i="2"/>
  <c r="BE14" i="2"/>
  <c r="BE9" i="2"/>
  <c r="BE11" i="2"/>
  <c r="BE12" i="2"/>
  <c r="BG15" i="2"/>
  <c r="G16" i="7"/>
  <c r="BG8" i="2"/>
  <c r="G10" i="7"/>
  <c r="BG10" i="2"/>
  <c r="G13" i="7"/>
  <c r="BF12" i="2"/>
  <c r="BF14" i="2"/>
  <c r="BF11" i="2"/>
  <c r="BF9" i="2"/>
  <c r="BG12" i="2"/>
  <c r="G12" i="7"/>
  <c r="I12" i="7"/>
  <c r="BG9" i="2"/>
  <c r="G11" i="7"/>
  <c r="I11" i="7"/>
  <c r="BG14" i="2"/>
  <c r="G17" i="7"/>
  <c r="BG11" i="2"/>
  <c r="G14" i="7"/>
  <c r="I13" i="7"/>
  <c r="I10" i="7"/>
  <c r="I16" i="7"/>
  <c r="I9" i="7"/>
  <c r="I14" i="7"/>
  <c r="I17" i="7"/>
  <c r="G18" i="7"/>
  <c r="H10" i="7"/>
  <c r="K9" i="7"/>
  <c r="L9" i="7"/>
  <c r="H15" i="7"/>
  <c r="H16" i="7"/>
  <c r="H12" i="7"/>
  <c r="H17" i="7"/>
  <c r="H11" i="7"/>
  <c r="H13" i="7"/>
  <c r="I18" i="7"/>
  <c r="J17" i="7"/>
  <c r="H9" i="7"/>
  <c r="H14" i="7"/>
  <c r="L13" i="7"/>
  <c r="M13" i="7"/>
  <c r="L16" i="7"/>
  <c r="M16" i="7"/>
  <c r="L11" i="7"/>
  <c r="M11" i="7"/>
  <c r="L10" i="7"/>
  <c r="M10" i="7"/>
  <c r="L12" i="7"/>
  <c r="M12" i="7"/>
  <c r="L14" i="7"/>
  <c r="M14" i="7"/>
  <c r="L15" i="7"/>
  <c r="M15" i="7"/>
  <c r="L17" i="7"/>
  <c r="M17" i="7"/>
  <c r="M9" i="7"/>
  <c r="J12" i="7"/>
  <c r="J10" i="7"/>
  <c r="J14" i="7"/>
  <c r="J16" i="7"/>
  <c r="J9" i="7"/>
  <c r="J11" i="7"/>
  <c r="J13" i="7"/>
  <c r="J15" i="7"/>
  <c r="H18" i="7"/>
  <c r="N17" i="7"/>
  <c r="N15" i="7"/>
  <c r="N11" i="7"/>
  <c r="N10" i="7"/>
  <c r="N16" i="7"/>
  <c r="N9" i="7"/>
  <c r="V9" i="7"/>
  <c r="N12" i="7"/>
  <c r="N13" i="7"/>
  <c r="O13" i="7"/>
  <c r="O17" i="7"/>
  <c r="V14" i="7"/>
  <c r="W14" i="7"/>
  <c r="O15" i="7"/>
  <c r="O16" i="7"/>
  <c r="O11" i="7"/>
  <c r="O14" i="7"/>
  <c r="O10" i="7"/>
  <c r="O12" i="7"/>
  <c r="L18" i="7"/>
  <c r="O9" i="7"/>
  <c r="M18" i="7"/>
  <c r="O18" i="7"/>
  <c r="J18" i="7"/>
  <c r="V10" i="7"/>
  <c r="W10" i="7"/>
  <c r="W9" i="7"/>
  <c r="V15" i="7"/>
  <c r="W15" i="7"/>
  <c r="V16" i="7"/>
  <c r="W16" i="7"/>
  <c r="V17" i="7"/>
  <c r="W17" i="7"/>
  <c r="V13" i="7"/>
  <c r="W13" i="7"/>
  <c r="V12" i="7"/>
  <c r="W12" i="7"/>
  <c r="V11" i="7"/>
  <c r="W11" i="7"/>
  <c r="N18" i="7"/>
  <c r="V18" i="7"/>
</calcChain>
</file>

<file path=xl/sharedStrings.xml><?xml version="1.0" encoding="utf-8"?>
<sst xmlns="http://schemas.openxmlformats.org/spreadsheetml/2006/main" count="346" uniqueCount="203">
  <si>
    <t>NOMB_INST</t>
  </si>
  <si>
    <t>NOMB_INST2</t>
  </si>
  <si>
    <t>Tipo_INST</t>
  </si>
  <si>
    <t>Region_INST</t>
  </si>
  <si>
    <t>ZONA_Reg_INST</t>
  </si>
  <si>
    <t>PONTIFICIA UNIVERSIDAD CATOLICA DE CHILE</t>
  </si>
  <si>
    <t>P. U. C. DE CHILE</t>
  </si>
  <si>
    <t>CRUCH Priv.</t>
  </si>
  <si>
    <t>RM</t>
  </si>
  <si>
    <t>4. Metropolitana</t>
  </si>
  <si>
    <t>PONTIFICIA UNIVERSIDAD CATOLICA DE VALPARAISO</t>
  </si>
  <si>
    <t>P. U. C. DE VALPARAISO</t>
  </si>
  <si>
    <t>V</t>
  </si>
  <si>
    <t>2. Centro</t>
  </si>
  <si>
    <t>I</t>
  </si>
  <si>
    <t>1. Norte</t>
  </si>
  <si>
    <t>UNIVERSIDAD AUSTRAL DE CHILE</t>
  </si>
  <si>
    <t>U. AUSTRAL DE CHILE</t>
  </si>
  <si>
    <t>XIV</t>
  </si>
  <si>
    <t>3. Sur</t>
  </si>
  <si>
    <t>UNIVERSIDAD CATOLICA DE LA SANTISIMA CONCEPCION</t>
  </si>
  <si>
    <t>U. C. DE LA STMA. CONCEPCIÓN</t>
  </si>
  <si>
    <t>VIII</t>
  </si>
  <si>
    <t>UNIVERSIDAD CATOLICA DE TEMUCO</t>
  </si>
  <si>
    <t>U. C. DE TEMUCO</t>
  </si>
  <si>
    <t>IX</t>
  </si>
  <si>
    <t>UNIVERSIDAD CATOLICA DEL MAULE</t>
  </si>
  <si>
    <t>U. C. DEL MAULE</t>
  </si>
  <si>
    <t>VII</t>
  </si>
  <si>
    <t>UNIVERSIDAD CATOLICA DEL NORTE</t>
  </si>
  <si>
    <t>U. C. DEL NORTE</t>
  </si>
  <si>
    <t>II</t>
  </si>
  <si>
    <t>III</t>
  </si>
  <si>
    <t>UNIVERSIDAD DE CONCEPCION</t>
  </si>
  <si>
    <t>U. DE CONCEPCIÓN</t>
  </si>
  <si>
    <t>UNIVERSIDAD TECNICA FEDERICO SANTA MARIA</t>
  </si>
  <si>
    <t>U. TÉCNICA FEDERICO STA. MARÍA</t>
  </si>
  <si>
    <t>UCO</t>
  </si>
  <si>
    <t>UCT</t>
  </si>
  <si>
    <t>USC</t>
  </si>
  <si>
    <t>AUS</t>
  </si>
  <si>
    <t>UCV</t>
  </si>
  <si>
    <t>UCM</t>
  </si>
  <si>
    <t>FSM</t>
  </si>
  <si>
    <t>UCN</t>
  </si>
  <si>
    <t>PUC</t>
  </si>
  <si>
    <t>TOTAL MAT PhD 2009</t>
  </si>
  <si>
    <t>TOTAL MAT PhD 2010</t>
  </si>
  <si>
    <t>INSTITUCIÓN</t>
  </si>
  <si>
    <t>COD_INST</t>
  </si>
  <si>
    <t>Solicitud_ pat_nac_2014</t>
  </si>
  <si>
    <t>Cod_SIES</t>
  </si>
  <si>
    <t>a)</t>
  </si>
  <si>
    <t>b)</t>
  </si>
  <si>
    <t>c)</t>
  </si>
  <si>
    <t>d)</t>
  </si>
  <si>
    <t>e)</t>
  </si>
  <si>
    <t>MAX</t>
  </si>
  <si>
    <t>f)</t>
  </si>
  <si>
    <t>g)</t>
  </si>
  <si>
    <t>h)</t>
  </si>
  <si>
    <t>i)</t>
  </si>
  <si>
    <t>j) Corregido
 (% respecto al maximo del grupo)</t>
  </si>
  <si>
    <t>j)</t>
  </si>
  <si>
    <t>k)</t>
  </si>
  <si>
    <t>Suma</t>
  </si>
  <si>
    <t>Promedio 11 o 10 Indicadores
corregidos</t>
  </si>
  <si>
    <t>proporción</t>
  </si>
  <si>
    <t>Peso categoría</t>
  </si>
  <si>
    <t>CATEGORÍA</t>
  </si>
  <si>
    <t>N° Conjunto desde 5 años</t>
  </si>
  <si>
    <t>Individual</t>
  </si>
  <si>
    <t>U. C.de la Sant.Concepción</t>
  </si>
  <si>
    <t>U. Católica de Maule</t>
  </si>
  <si>
    <t>U. Católica de Temuco</t>
  </si>
  <si>
    <t>U. Católica del Norte</t>
  </si>
  <si>
    <t>U. Austral</t>
  </si>
  <si>
    <t>P.U. Católica de Valparaíso</t>
  </si>
  <si>
    <t>U. de Concepción</t>
  </si>
  <si>
    <t>P.U. Católica de Chile</t>
  </si>
  <si>
    <t>UdA-DFI</t>
  </si>
  <si>
    <t>Cruch P. I</t>
  </si>
  <si>
    <t>Cruch P. II</t>
  </si>
  <si>
    <t>Cruch P. III</t>
  </si>
  <si>
    <t>a) Corregido
 (% respecto al maximo de la categoría del grupo)</t>
  </si>
  <si>
    <t>b) Corregido
 (% respecto al maximo de la categoría del grupo)</t>
  </si>
  <si>
    <t>c) Corregido
 (% respecto al maximo de la categoría del grupo)</t>
  </si>
  <si>
    <t>d) Corregido
 (% respecto al maximo de la categoría del grupo)</t>
  </si>
  <si>
    <t>e) Corregido
 (% respecto al maximo de la categoría del grupo)</t>
  </si>
  <si>
    <t>f) Corregido
 (% respecto al maximo de la categoría del grupo)</t>
  </si>
  <si>
    <t>g) Corregido
 (% respecto al maximo de la categoría del grupo)</t>
  </si>
  <si>
    <t>h) Corregido
 (% respecto al maximo de la categoría del grupo)</t>
  </si>
  <si>
    <t>i) Corregido
 (% respecto al maximo de la categoría del grupo)</t>
  </si>
  <si>
    <t>k) Corregido
 (% respecto al maximo de la categoría del grupo)</t>
  </si>
  <si>
    <t>Proporción por Indicadores (por categoría)</t>
  </si>
  <si>
    <t>b) c) e)</t>
  </si>
  <si>
    <t>d) e)</t>
  </si>
  <si>
    <t>Solicitud_ pat_nac_2015</t>
  </si>
  <si>
    <t>Acreditación Programas de Doctorado
(web CNA al 05-dic-2016)</t>
  </si>
  <si>
    <t>Monto categoría</t>
  </si>
  <si>
    <t>Monto Promedio por U</t>
  </si>
  <si>
    <t>N°
Individual + Cjto desde 5 años</t>
  </si>
  <si>
    <t>Categoría
Individual + Cjto desde 5 años</t>
  </si>
  <si>
    <t>Publicaciones  
Scopus
(citables)
2015</t>
  </si>
  <si>
    <t>Categoría
Publicaciones  (citables)
2015</t>
  </si>
  <si>
    <t xml:space="preserve"> _ 6/18</t>
  </si>
  <si>
    <t xml:space="preserve"> _ 10/18</t>
  </si>
  <si>
    <t xml:space="preserve"> _ 2/18</t>
  </si>
  <si>
    <t>Exploratorio</t>
  </si>
  <si>
    <t>Publicaciones  (citables)
2015</t>
  </si>
  <si>
    <t>Publicaciones 2011-2015 (citables)</t>
  </si>
  <si>
    <t>Citas 2011_2015</t>
  </si>
  <si>
    <t>JC_2015</t>
  </si>
  <si>
    <t>MAT_2015</t>
  </si>
  <si>
    <t>JCE 2015</t>
  </si>
  <si>
    <t>JCE Doctor 2015</t>
  </si>
  <si>
    <t>JCE Magister 2015</t>
  </si>
  <si>
    <t>JCE Esp. Med._Odont. 2015</t>
  </si>
  <si>
    <t>TOTAL MAT PhD 2011</t>
  </si>
  <si>
    <t>Grad_PhD_2011al_2015</t>
  </si>
  <si>
    <t>MAT_1año_2015(g)</t>
  </si>
  <si>
    <t>Q1_Q2_Q3_MAT_1año_2015</t>
  </si>
  <si>
    <t>MAT_2014_Ret_1er_enMAT_2015</t>
  </si>
  <si>
    <t>MAT_1año_2014(h)</t>
  </si>
  <si>
    <t>MAT_2012_Ret_4to_enMAT_2015</t>
  </si>
  <si>
    <t>MAT_1año_2012(i)</t>
  </si>
  <si>
    <t>Categoría 2017
(04ene2017)</t>
  </si>
  <si>
    <t>Total</t>
  </si>
  <si>
    <t>AFI 2016
M$</t>
  </si>
  <si>
    <t>Elemento Desempeño</t>
  </si>
  <si>
    <t>Reajuste al 2017</t>
  </si>
  <si>
    <t>Elemento Mixto</t>
  </si>
  <si>
    <t>Ley de Presupuesto 2017</t>
  </si>
  <si>
    <t>Ley de Presupuesto 2017 (M$)</t>
  </si>
  <si>
    <t>Categoría 2017</t>
  </si>
  <si>
    <t>TOTAL
MIXTO</t>
  </si>
  <si>
    <t>Monto por IES</t>
  </si>
  <si>
    <t>Monto por iES Redondeado</t>
  </si>
  <si>
    <t>Desempeño 2017</t>
  </si>
  <si>
    <t>IES</t>
  </si>
  <si>
    <t>U. Téc. Federico Sta. Maria</t>
  </si>
  <si>
    <t>Santiago, enero 2017</t>
  </si>
  <si>
    <t>BASAL POR DESEMPEÑO</t>
  </si>
  <si>
    <t>Mejoramiento Pedagogía
M$</t>
  </si>
  <si>
    <t xml:space="preserve"> % BD 2017</t>
  </si>
  <si>
    <t>BD 2017</t>
  </si>
  <si>
    <t>BD</t>
  </si>
  <si>
    <t>BD 2016
 Nominal</t>
  </si>
  <si>
    <t>% BD 2017</t>
  </si>
  <si>
    <t>Fracción (Bolsa)</t>
  </si>
  <si>
    <t>(Miles  de pesos nominales)</t>
  </si>
  <si>
    <t>Matricula Pregrado regular Año 2016</t>
  </si>
  <si>
    <t>CATEGORIAS UNIVERSIDADES</t>
  </si>
  <si>
    <t>b) c) d) k)</t>
  </si>
  <si>
    <t>Categoría 2016
(11ene2016)</t>
  </si>
  <si>
    <t>Complejidad
IES
M$</t>
  </si>
  <si>
    <t xml:space="preserve">Acreditación </t>
  </si>
  <si>
    <t>5 áreas</t>
  </si>
  <si>
    <t>Investigación</t>
  </si>
  <si>
    <t>Años Acreditación Institucional</t>
  </si>
  <si>
    <t>Puntaje Años Acreditación Institucional</t>
  </si>
  <si>
    <t>%</t>
  </si>
  <si>
    <t>Tamaño</t>
  </si>
  <si>
    <t>Proporción Publicaciones</t>
  </si>
  <si>
    <t>Proporción JC Doctor</t>
  </si>
  <si>
    <t>Proporción PhD</t>
  </si>
  <si>
    <t>Proporción Acreditación</t>
  </si>
  <si>
    <t>Proporción Matrícula</t>
  </si>
  <si>
    <t>Proporción JC</t>
  </si>
  <si>
    <t>Monto Publicaciones</t>
  </si>
  <si>
    <t>Monto JC Doctor</t>
  </si>
  <si>
    <t>Monto PhD Acreditado</t>
  </si>
  <si>
    <t>Monto Acreditación</t>
  </si>
  <si>
    <t>Monto Matrícula</t>
  </si>
  <si>
    <t>Monto JC</t>
  </si>
  <si>
    <t>MONTO COMPLEJIDAD</t>
  </si>
  <si>
    <t>Puntaje
Acreditación</t>
  </si>
  <si>
    <t>Nº JC</t>
  </si>
  <si>
    <t>Nº JC Doctor</t>
  </si>
  <si>
    <t>SIES: 16 mayo 2017</t>
  </si>
  <si>
    <t>MONTO COMPLEJIDAD
Sin decimales</t>
  </si>
  <si>
    <t>% JC</t>
  </si>
  <si>
    <t>% JC Doctor</t>
  </si>
  <si>
    <t>Excede 25% RM
M$</t>
  </si>
  <si>
    <t>A repartir  Partes IGUALES a regionales
M$</t>
  </si>
  <si>
    <t>Total Universidad
BD M$</t>
  </si>
  <si>
    <t>TOTAL BASAL POR DESEMPEÑO 2017</t>
  </si>
  <si>
    <t>AFI 2016</t>
  </si>
  <si>
    <t>SIES
BdD WEB</t>
  </si>
  <si>
    <t>Santiago, julio 2017</t>
  </si>
  <si>
    <t>Total Universidad
BD (M$ sin decimales)</t>
  </si>
  <si>
    <t>% Saldo respecto a la Universidad</t>
  </si>
  <si>
    <t>Total ppto 2017</t>
  </si>
  <si>
    <t>Adelanto
(40%)</t>
  </si>
  <si>
    <t xml:space="preserve">Saldo
</t>
  </si>
  <si>
    <t>AFI 2016
Reajuste 3,0%
M$</t>
  </si>
  <si>
    <t>Proporción año 2016</t>
  </si>
  <si>
    <t>Complejidad Institucional</t>
  </si>
  <si>
    <t>Acreditación Programas de Doctorado
(correo CNA al 31-dic-2016)</t>
  </si>
  <si>
    <t>INAPI</t>
  </si>
  <si>
    <t>CONICYT</t>
  </si>
  <si>
    <t>SIES</t>
  </si>
  <si>
    <t>UdA-DFI, 30 noviembre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</si>
</sst>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_ ;\-0.0\ "/>
    <numFmt numFmtId="165" formatCode="0.0%"/>
    <numFmt numFmtId="166" formatCode="0.0000000_ ;\-0.0000000\ "/>
    <numFmt numFmtId="167" formatCode="0.000000000_ ;\-0.000000000\ "/>
    <numFmt numFmtId="168" formatCode="0.0000000000_ ;\-0.0000000000\ "/>
    <numFmt numFmtId="169" formatCode="#,##0.0"/>
    <numFmt numFmtId="170" formatCode="0.0000%"/>
    <numFmt numFmtId="171" formatCode="#,##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249977111117893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0"/>
      <color theme="0" tint="-0.499984740745262"/>
      <name val="Calibri"/>
      <family val="2"/>
    </font>
    <font>
      <sz val="9"/>
      <name val="Calibri"/>
      <family val="2"/>
      <scheme val="minor"/>
    </font>
    <font>
      <sz val="15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2A578"/>
        <bgColor indexed="64"/>
      </patternFill>
    </fill>
    <fill>
      <patternFill patternType="solid">
        <fgColor rgb="FFF0E0D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</cellStyleXfs>
  <cellXfs count="253">
    <xf numFmtId="0" fontId="0" fillId="0" borderId="0" xfId="0"/>
    <xf numFmtId="0" fontId="2" fillId="0" borderId="3" xfId="5" applyFont="1" applyFill="1" applyBorder="1" applyAlignment="1">
      <alignment horizontal="center" vertical="top" wrapText="1"/>
    </xf>
    <xf numFmtId="0" fontId="7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7" fillId="0" borderId="3" xfId="0" applyFont="1" applyFill="1" applyBorder="1"/>
    <xf numFmtId="0" fontId="1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/>
    <xf numFmtId="0" fontId="3" fillId="0" borderId="0" xfId="0" applyFont="1"/>
    <xf numFmtId="3" fontId="7" fillId="0" borderId="0" xfId="0" applyNumberFormat="1" applyFont="1"/>
    <xf numFmtId="169" fontId="7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right"/>
    </xf>
    <xf numFmtId="169" fontId="7" fillId="0" borderId="0" xfId="0" applyNumberFormat="1" applyFont="1"/>
    <xf numFmtId="3" fontId="11" fillId="0" borderId="0" xfId="0" applyNumberFormat="1" applyFont="1"/>
    <xf numFmtId="17" fontId="7" fillId="0" borderId="0" xfId="0" applyNumberFormat="1" applyFont="1"/>
    <xf numFmtId="0" fontId="7" fillId="0" borderId="0" xfId="0" applyFont="1" applyFill="1"/>
    <xf numFmtId="0" fontId="0" fillId="0" borderId="11" xfId="0" applyBorder="1"/>
    <xf numFmtId="0" fontId="7" fillId="0" borderId="2" xfId="0" applyFont="1" applyFill="1" applyBorder="1"/>
    <xf numFmtId="0" fontId="5" fillId="0" borderId="6" xfId="0" applyFont="1" applyFill="1" applyBorder="1"/>
    <xf numFmtId="169" fontId="7" fillId="0" borderId="3" xfId="0" applyNumberFormat="1" applyFont="1" applyFill="1" applyBorder="1"/>
    <xf numFmtId="169" fontId="7" fillId="0" borderId="3" xfId="0" applyNumberFormat="1" applyFont="1" applyBorder="1"/>
    <xf numFmtId="0" fontId="7" fillId="0" borderId="0" xfId="0" applyFont="1" applyBorder="1"/>
    <xf numFmtId="169" fontId="13" fillId="0" borderId="13" xfId="0" applyNumberFormat="1" applyFont="1" applyBorder="1"/>
    <xf numFmtId="0" fontId="13" fillId="0" borderId="9" xfId="0" applyFont="1" applyBorder="1"/>
    <xf numFmtId="0" fontId="7" fillId="0" borderId="6" xfId="0" applyFont="1" applyBorder="1"/>
    <xf numFmtId="0" fontId="7" fillId="0" borderId="4" xfId="0" applyFont="1" applyBorder="1"/>
    <xf numFmtId="0" fontId="0" fillId="0" borderId="11" xfId="0" applyBorder="1" applyAlignment="1">
      <alignment horizontal="center"/>
    </xf>
    <xf numFmtId="0" fontId="13" fillId="0" borderId="3" xfId="0" applyFont="1" applyBorder="1"/>
    <xf numFmtId="169" fontId="7" fillId="4" borderId="3" xfId="0" applyNumberFormat="1" applyFont="1" applyFill="1" applyBorder="1"/>
    <xf numFmtId="169" fontId="13" fillId="4" borderId="3" xfId="0" applyNumberFormat="1" applyFont="1" applyFill="1" applyBorder="1"/>
    <xf numFmtId="169" fontId="7" fillId="7" borderId="3" xfId="0" applyNumberFormat="1" applyFont="1" applyFill="1" applyBorder="1"/>
    <xf numFmtId="169" fontId="13" fillId="7" borderId="3" xfId="0" applyNumberFormat="1" applyFont="1" applyFill="1" applyBorder="1"/>
    <xf numFmtId="10" fontId="13" fillId="7" borderId="3" xfId="7" applyNumberFormat="1" applyFont="1" applyFill="1" applyBorder="1"/>
    <xf numFmtId="0" fontId="13" fillId="0" borderId="3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9" fontId="10" fillId="7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5" xfId="0" applyFont="1" applyFill="1" applyBorder="1"/>
    <xf numFmtId="0" fontId="16" fillId="0" borderId="0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7" fillId="0" borderId="15" xfId="0" applyFont="1" applyBorder="1"/>
    <xf numFmtId="0" fontId="7" fillId="0" borderId="16" xfId="0" applyFont="1" applyBorder="1"/>
    <xf numFmtId="0" fontId="13" fillId="0" borderId="17" xfId="0" applyFont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0" fontId="7" fillId="0" borderId="18" xfId="0" applyFont="1" applyBorder="1"/>
    <xf numFmtId="9" fontId="7" fillId="0" borderId="0" xfId="7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0" xfId="0" applyFont="1" applyFill="1" applyBorder="1"/>
    <xf numFmtId="0" fontId="0" fillId="0" borderId="12" xfId="0" applyBorder="1"/>
    <xf numFmtId="0" fontId="18" fillId="0" borderId="12" xfId="0" applyFont="1" applyBorder="1"/>
    <xf numFmtId="0" fontId="18" fillId="0" borderId="11" xfId="0" applyFont="1" applyBorder="1"/>
    <xf numFmtId="0" fontId="0" fillId="0" borderId="10" xfId="0" applyBorder="1"/>
    <xf numFmtId="0" fontId="18" fillId="0" borderId="10" xfId="0" applyFont="1" applyBorder="1"/>
    <xf numFmtId="3" fontId="7" fillId="0" borderId="0" xfId="0" applyNumberFormat="1" applyFont="1" applyBorder="1"/>
    <xf numFmtId="9" fontId="7" fillId="0" borderId="20" xfId="0" applyNumberFormat="1" applyFont="1" applyBorder="1"/>
    <xf numFmtId="3" fontId="7" fillId="0" borderId="3" xfId="0" applyNumberFormat="1" applyFont="1" applyBorder="1"/>
    <xf numFmtId="4" fontId="7" fillId="0" borderId="0" xfId="0" applyNumberFormat="1" applyFont="1"/>
    <xf numFmtId="165" fontId="7" fillId="0" borderId="0" xfId="7" applyNumberFormat="1" applyFont="1" applyBorder="1"/>
    <xf numFmtId="0" fontId="7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165" fontId="7" fillId="11" borderId="3" xfId="7" applyNumberFormat="1" applyFont="1" applyFill="1" applyBorder="1" applyAlignment="1">
      <alignment horizontal="center"/>
    </xf>
    <xf numFmtId="169" fontId="7" fillId="11" borderId="3" xfId="0" applyNumberFormat="1" applyFont="1" applyFill="1" applyBorder="1"/>
    <xf numFmtId="165" fontId="7" fillId="0" borderId="0" xfId="0" applyNumberFormat="1" applyFont="1"/>
    <xf numFmtId="0" fontId="16" fillId="0" borderId="3" xfId="0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169" fontId="10" fillId="0" borderId="3" xfId="0" applyNumberFormat="1" applyFont="1" applyFill="1" applyBorder="1"/>
    <xf numFmtId="10" fontId="10" fillId="0" borderId="3" xfId="7" applyNumberFormat="1" applyFont="1" applyFill="1" applyBorder="1"/>
    <xf numFmtId="169" fontId="21" fillId="0" borderId="3" xfId="0" applyNumberFormat="1" applyFont="1" applyFill="1" applyBorder="1"/>
    <xf numFmtId="10" fontId="10" fillId="0" borderId="0" xfId="7" applyNumberFormat="1" applyFont="1" applyFill="1" applyBorder="1"/>
    <xf numFmtId="169" fontId="16" fillId="0" borderId="0" xfId="0" applyNumberFormat="1" applyFont="1" applyFill="1" applyBorder="1"/>
    <xf numFmtId="0" fontId="10" fillId="9" borderId="12" xfId="0" applyFont="1" applyFill="1" applyBorder="1" applyAlignment="1">
      <alignment horizontal="center" vertical="center" wrapText="1"/>
    </xf>
    <xf numFmtId="169" fontId="10" fillId="9" borderId="3" xfId="0" applyNumberFormat="1" applyFont="1" applyFill="1" applyBorder="1"/>
    <xf numFmtId="170" fontId="10" fillId="9" borderId="3" xfId="7" applyNumberFormat="1" applyFont="1" applyFill="1" applyBorder="1"/>
    <xf numFmtId="10" fontId="10" fillId="9" borderId="0" xfId="7" applyNumberFormat="1" applyFont="1" applyFill="1" applyBorder="1"/>
    <xf numFmtId="0" fontId="7" fillId="0" borderId="17" xfId="0" applyFont="1" applyBorder="1"/>
    <xf numFmtId="3" fontId="16" fillId="0" borderId="3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6" fillId="0" borderId="0" xfId="0" applyNumberFormat="1" applyFont="1" applyFill="1" applyBorder="1"/>
    <xf numFmtId="0" fontId="17" fillId="0" borderId="10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6" fillId="0" borderId="3" xfId="0" applyFont="1" applyBorder="1"/>
    <xf numFmtId="0" fontId="16" fillId="0" borderId="3" xfId="0" applyFont="1" applyFill="1" applyBorder="1"/>
    <xf numFmtId="169" fontId="16" fillId="4" borderId="3" xfId="0" applyNumberFormat="1" applyFont="1" applyFill="1" applyBorder="1"/>
    <xf numFmtId="0" fontId="10" fillId="4" borderId="12" xfId="0" applyFont="1" applyFill="1" applyBorder="1" applyAlignment="1">
      <alignment vertical="center" wrapText="1"/>
    </xf>
    <xf numFmtId="169" fontId="10" fillId="4" borderId="3" xfId="0" applyNumberFormat="1" applyFont="1" applyFill="1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9" fontId="7" fillId="0" borderId="10" xfId="0" applyNumberFormat="1" applyFont="1" applyBorder="1"/>
    <xf numFmtId="0" fontId="3" fillId="0" borderId="4" xfId="0" applyFont="1" applyFill="1" applyBorder="1"/>
    <xf numFmtId="0" fontId="16" fillId="0" borderId="1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center" vertical="center" wrapText="1"/>
    </xf>
    <xf numFmtId="0" fontId="14" fillId="0" borderId="3" xfId="5" applyFont="1" applyFill="1" applyBorder="1" applyAlignment="1">
      <alignment horizontal="center" vertical="center" wrapText="1"/>
    </xf>
    <xf numFmtId="165" fontId="11" fillId="0" borderId="3" xfId="7" applyNumberFormat="1" applyFont="1" applyFill="1" applyBorder="1" applyAlignment="1">
      <alignment horizontal="center"/>
    </xf>
    <xf numFmtId="17" fontId="7" fillId="0" borderId="3" xfId="0" applyNumberFormat="1" applyFont="1" applyBorder="1" applyAlignment="1">
      <alignment wrapText="1"/>
    </xf>
    <xf numFmtId="0" fontId="20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65" fontId="11" fillId="0" borderId="3" xfId="7" applyNumberFormat="1" applyFont="1" applyBorder="1"/>
    <xf numFmtId="165" fontId="11" fillId="0" borderId="3" xfId="7" applyNumberFormat="1" applyFont="1" applyBorder="1" applyAlignment="1">
      <alignment horizontal="center"/>
    </xf>
    <xf numFmtId="169" fontId="13" fillId="0" borderId="0" xfId="0" applyNumberFormat="1" applyFont="1"/>
    <xf numFmtId="0" fontId="7" fillId="0" borderId="0" xfId="0" applyFont="1" applyAlignment="1">
      <alignment vertical="top"/>
    </xf>
    <xf numFmtId="0" fontId="7" fillId="0" borderId="23" xfId="0" applyFont="1" applyBorder="1" applyAlignment="1">
      <alignment horizontal="center"/>
    </xf>
    <xf numFmtId="0" fontId="7" fillId="0" borderId="15" xfId="0" applyFont="1" applyFill="1" applyBorder="1"/>
    <xf numFmtId="0" fontId="7" fillId="0" borderId="21" xfId="0" applyFont="1" applyFill="1" applyBorder="1"/>
    <xf numFmtId="4" fontId="7" fillId="0" borderId="3" xfId="0" applyNumberFormat="1" applyFont="1" applyBorder="1"/>
    <xf numFmtId="169" fontId="13" fillId="10" borderId="3" xfId="0" applyNumberFormat="1" applyFont="1" applyFill="1" applyBorder="1" applyAlignment="1">
      <alignment horizontal="center" vertical="center" wrapText="1"/>
    </xf>
    <xf numFmtId="169" fontId="7" fillId="0" borderId="12" xfId="0" applyNumberFormat="1" applyFont="1" applyBorder="1"/>
    <xf numFmtId="0" fontId="7" fillId="0" borderId="0" xfId="0" applyFont="1" applyAlignment="1">
      <alignment wrapText="1"/>
    </xf>
    <xf numFmtId="0" fontId="13" fillId="0" borderId="10" xfId="0" applyFont="1" applyBorder="1" applyAlignment="1">
      <alignment horizontal="center" vertical="center" wrapText="1"/>
    </xf>
    <xf numFmtId="3" fontId="12" fillId="0" borderId="3" xfId="0" applyNumberFormat="1" applyFont="1" applyBorder="1"/>
    <xf numFmtId="9" fontId="7" fillId="0" borderId="3" xfId="0" applyNumberFormat="1" applyFont="1" applyBorder="1"/>
    <xf numFmtId="9" fontId="13" fillId="0" borderId="3" xfId="0" applyNumberFormat="1" applyFont="1" applyBorder="1" applyAlignment="1">
      <alignment horizontal="center" vertical="center" wrapText="1"/>
    </xf>
    <xf numFmtId="165" fontId="7" fillId="0" borderId="3" xfId="7" applyNumberFormat="1" applyFont="1" applyBorder="1" applyAlignment="1">
      <alignment horizontal="center"/>
    </xf>
    <xf numFmtId="0" fontId="21" fillId="0" borderId="0" xfId="5" applyFont="1"/>
    <xf numFmtId="0" fontId="21" fillId="0" borderId="0" xfId="5" applyFont="1" applyAlignment="1">
      <alignment horizontal="center"/>
    </xf>
    <xf numFmtId="0" fontId="23" fillId="0" borderId="0" xfId="5" applyFont="1" applyAlignment="1">
      <alignment horizontal="center"/>
    </xf>
    <xf numFmtId="0" fontId="23" fillId="0" borderId="0" xfId="5" applyFont="1" applyFill="1" applyAlignment="1">
      <alignment horizontal="center"/>
    </xf>
    <xf numFmtId="0" fontId="24" fillId="0" borderId="0" xfId="5" applyFont="1" applyAlignment="1">
      <alignment vertical="center"/>
    </xf>
    <xf numFmtId="166" fontId="10" fillId="0" borderId="0" xfId="5" applyNumberFormat="1" applyFont="1" applyFill="1" applyAlignment="1">
      <alignment vertical="center" wrapText="1"/>
    </xf>
    <xf numFmtId="166" fontId="10" fillId="0" borderId="0" xfId="5" applyNumberFormat="1" applyFont="1" applyFill="1" applyAlignment="1">
      <alignment horizontal="center" vertical="center" wrapText="1"/>
    </xf>
    <xf numFmtId="0" fontId="6" fillId="0" borderId="0" xfId="5" applyFont="1" applyFill="1" applyAlignment="1">
      <alignment horizontal="center" vertical="center"/>
    </xf>
    <xf numFmtId="169" fontId="25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166" fontId="10" fillId="6" borderId="0" xfId="5" applyNumberFormat="1" applyFont="1" applyFill="1" applyAlignment="1">
      <alignment vertical="center" wrapText="1"/>
    </xf>
    <xf numFmtId="0" fontId="6" fillId="0" borderId="0" xfId="5" applyFont="1" applyFill="1" applyAlignment="1">
      <alignment vertical="center"/>
    </xf>
    <xf numFmtId="0" fontId="26" fillId="0" borderId="3" xfId="5" applyFont="1" applyFill="1" applyBorder="1" applyAlignment="1">
      <alignment horizontal="center" vertical="top"/>
    </xf>
    <xf numFmtId="0" fontId="26" fillId="0" borderId="3" xfId="5" applyFont="1" applyFill="1" applyBorder="1" applyAlignment="1">
      <alignment horizontal="center" vertical="top" wrapText="1"/>
    </xf>
    <xf numFmtId="0" fontId="26" fillId="3" borderId="3" xfId="5" applyFont="1" applyFill="1" applyBorder="1" applyAlignment="1">
      <alignment vertical="top" wrapText="1"/>
    </xf>
    <xf numFmtId="0" fontId="26" fillId="0" borderId="3" xfId="5" applyFont="1" applyFill="1" applyBorder="1" applyAlignment="1">
      <alignment vertical="top" wrapText="1"/>
    </xf>
    <xf numFmtId="0" fontId="21" fillId="0" borderId="0" xfId="5" applyFont="1" applyAlignment="1">
      <alignment vertical="top"/>
    </xf>
    <xf numFmtId="0" fontId="21" fillId="0" borderId="3" xfId="5" applyFont="1" applyFill="1" applyBorder="1" applyAlignment="1">
      <alignment horizontal="center"/>
    </xf>
    <xf numFmtId="3" fontId="21" fillId="0" borderId="3" xfId="5" applyNumberFormat="1" applyFont="1" applyFill="1" applyBorder="1" applyAlignment="1">
      <alignment horizontal="center"/>
    </xf>
    <xf numFmtId="2" fontId="21" fillId="0" borderId="3" xfId="5" applyNumberFormat="1" applyFont="1" applyFill="1" applyBorder="1" applyAlignment="1">
      <alignment horizontal="center"/>
    </xf>
    <xf numFmtId="168" fontId="21" fillId="8" borderId="3" xfId="3" applyNumberFormat="1" applyFont="1" applyFill="1" applyBorder="1"/>
    <xf numFmtId="167" fontId="21" fillId="0" borderId="3" xfId="3" applyNumberFormat="1" applyFont="1" applyFill="1" applyBorder="1" applyAlignment="1"/>
    <xf numFmtId="168" fontId="21" fillId="5" borderId="3" xfId="3" applyNumberFormat="1" applyFont="1" applyFill="1" applyBorder="1"/>
    <xf numFmtId="167" fontId="21" fillId="0" borderId="3" xfId="3" applyNumberFormat="1" applyFont="1" applyFill="1" applyBorder="1" applyAlignment="1">
      <alignment horizontal="center"/>
    </xf>
    <xf numFmtId="168" fontId="21" fillId="0" borderId="3" xfId="3" applyNumberFormat="1" applyFont="1" applyFill="1" applyBorder="1"/>
    <xf numFmtId="0" fontId="21" fillId="3" borderId="3" xfId="5" applyFont="1" applyFill="1" applyBorder="1"/>
    <xf numFmtId="169" fontId="21" fillId="0" borderId="3" xfId="5" applyNumberFormat="1" applyFont="1" applyFill="1" applyBorder="1"/>
    <xf numFmtId="168" fontId="21" fillId="2" borderId="3" xfId="3" applyNumberFormat="1" applyFont="1" applyFill="1" applyBorder="1"/>
    <xf numFmtId="168" fontId="21" fillId="6" borderId="3" xfId="3" applyNumberFormat="1" applyFont="1" applyFill="1" applyBorder="1"/>
    <xf numFmtId="0" fontId="21" fillId="0" borderId="0" xfId="5" applyFont="1" applyFill="1"/>
    <xf numFmtId="0" fontId="21" fillId="0" borderId="0" xfId="5" applyFont="1" applyFill="1" applyAlignment="1"/>
    <xf numFmtId="0" fontId="21" fillId="0" borderId="0" xfId="5" applyFont="1" applyFill="1" applyAlignment="1">
      <alignment horizontal="center"/>
    </xf>
    <xf numFmtId="0" fontId="26" fillId="0" borderId="3" xfId="1" applyFont="1" applyFill="1" applyBorder="1" applyAlignment="1">
      <alignment vertical="top"/>
    </xf>
    <xf numFmtId="0" fontId="26" fillId="0" borderId="3" xfId="5" applyFont="1" applyFill="1" applyBorder="1" applyAlignment="1">
      <alignment vertical="top"/>
    </xf>
    <xf numFmtId="0" fontId="26" fillId="0" borderId="3" xfId="0" applyNumberFormat="1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left" vertical="top" wrapText="1"/>
    </xf>
    <xf numFmtId="0" fontId="26" fillId="0" borderId="3" xfId="5" applyFont="1" applyFill="1" applyBorder="1" applyAlignment="1">
      <alignment horizontal="left" vertical="top" wrapText="1"/>
    </xf>
    <xf numFmtId="0" fontId="26" fillId="0" borderId="3" xfId="5" applyNumberFormat="1" applyFont="1" applyFill="1" applyBorder="1" applyAlignment="1">
      <alignment horizontal="center" vertical="top" wrapText="1"/>
    </xf>
    <xf numFmtId="0" fontId="21" fillId="0" borderId="3" xfId="5" applyFont="1" applyFill="1" applyBorder="1"/>
    <xf numFmtId="164" fontId="21" fillId="0" borderId="3" xfId="5" applyNumberFormat="1" applyFont="1" applyFill="1" applyBorder="1" applyAlignment="1">
      <alignment horizontal="center" vertical="center"/>
    </xf>
    <xf numFmtId="164" fontId="21" fillId="0" borderId="3" xfId="3" applyNumberFormat="1" applyFont="1" applyFill="1" applyBorder="1"/>
    <xf numFmtId="164" fontId="21" fillId="0" borderId="3" xfId="3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169" fontId="23" fillId="3" borderId="3" xfId="5" applyNumberFormat="1" applyFont="1" applyFill="1" applyBorder="1" applyAlignment="1">
      <alignment horizontal="center"/>
    </xf>
    <xf numFmtId="4" fontId="10" fillId="9" borderId="3" xfId="0" applyNumberFormat="1" applyFont="1" applyFill="1" applyBorder="1"/>
    <xf numFmtId="171" fontId="16" fillId="9" borderId="3" xfId="0" applyNumberFormat="1" applyFont="1" applyFill="1" applyBorder="1"/>
    <xf numFmtId="169" fontId="16" fillId="9" borderId="3" xfId="0" applyNumberFormat="1" applyFont="1" applyFill="1" applyBorder="1"/>
    <xf numFmtId="0" fontId="16" fillId="9" borderId="12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center"/>
    </xf>
    <xf numFmtId="3" fontId="13" fillId="0" borderId="13" xfId="0" applyNumberFormat="1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5" fontId="0" fillId="0" borderId="0" xfId="0" applyNumberFormat="1" applyAlignment="1">
      <alignment horizontal="left"/>
    </xf>
    <xf numFmtId="0" fontId="13" fillId="10" borderId="25" xfId="0" applyFont="1" applyFill="1" applyBorder="1" applyAlignment="1">
      <alignment horizontal="center" vertical="center" wrapText="1"/>
    </xf>
    <xf numFmtId="0" fontId="13" fillId="10" borderId="26" xfId="0" applyFont="1" applyFill="1" applyBorder="1" applyAlignment="1">
      <alignment horizontal="center" vertical="center" wrapText="1"/>
    </xf>
    <xf numFmtId="0" fontId="13" fillId="10" borderId="24" xfId="0" applyFont="1" applyFill="1" applyBorder="1" applyAlignment="1">
      <alignment horizontal="center" vertical="center" wrapText="1"/>
    </xf>
    <xf numFmtId="17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 wrapText="1"/>
    </xf>
    <xf numFmtId="0" fontId="6" fillId="0" borderId="14" xfId="5" applyFont="1" applyFill="1" applyBorder="1" applyAlignment="1">
      <alignment horizontal="center" vertical="center" wrapText="1"/>
    </xf>
    <xf numFmtId="169" fontId="11" fillId="0" borderId="12" xfId="0" applyNumberFormat="1" applyFont="1" applyFill="1" applyBorder="1" applyAlignment="1">
      <alignment horizontal="center" vertical="center"/>
    </xf>
    <xf numFmtId="169" fontId="11" fillId="0" borderId="10" xfId="0" applyNumberFormat="1" applyFont="1" applyFill="1" applyBorder="1" applyAlignment="1">
      <alignment horizontal="center" vertical="center"/>
    </xf>
    <xf numFmtId="169" fontId="7" fillId="0" borderId="12" xfId="0" applyNumberFormat="1" applyFont="1" applyFill="1" applyBorder="1" applyAlignment="1">
      <alignment horizontal="center" vertical="center"/>
    </xf>
    <xf numFmtId="169" fontId="7" fillId="0" borderId="10" xfId="0" applyNumberFormat="1" applyFont="1" applyFill="1" applyBorder="1" applyAlignment="1">
      <alignment horizontal="center" vertical="center"/>
    </xf>
    <xf numFmtId="169" fontId="11" fillId="0" borderId="3" xfId="0" applyNumberFormat="1" applyFont="1" applyFill="1" applyBorder="1" applyAlignment="1">
      <alignment horizontal="center" vertical="center"/>
    </xf>
    <xf numFmtId="13" fontId="9" fillId="0" borderId="12" xfId="0" applyNumberFormat="1" applyFont="1" applyFill="1" applyBorder="1" applyAlignment="1">
      <alignment horizontal="left" vertical="center"/>
    </xf>
    <xf numFmtId="13" fontId="9" fillId="0" borderId="10" xfId="0" applyNumberFormat="1" applyFont="1" applyFill="1" applyBorder="1" applyAlignment="1">
      <alignment horizontal="left" vertical="center"/>
    </xf>
    <xf numFmtId="0" fontId="13" fillId="0" borderId="12" xfId="0" applyFont="1" applyBorder="1" applyAlignment="1">
      <alignment horizontal="center" wrapText="1"/>
    </xf>
    <xf numFmtId="13" fontId="9" fillId="0" borderId="11" xfId="0" applyNumberFormat="1" applyFont="1" applyFill="1" applyBorder="1" applyAlignment="1">
      <alignment horizontal="left" vertical="center"/>
    </xf>
    <xf numFmtId="169" fontId="7" fillId="0" borderId="11" xfId="0" applyNumberFormat="1" applyFont="1" applyFill="1" applyBorder="1" applyAlignment="1">
      <alignment horizontal="center" vertical="center"/>
    </xf>
    <xf numFmtId="0" fontId="5" fillId="12" borderId="0" xfId="0" applyFont="1" applyFill="1" applyBorder="1"/>
    <xf numFmtId="0" fontId="7" fillId="12" borderId="0" xfId="0" applyFont="1" applyFill="1" applyBorder="1"/>
    <xf numFmtId="0" fontId="4" fillId="12" borderId="0" xfId="0" applyFont="1" applyFill="1" applyBorder="1"/>
    <xf numFmtId="0" fontId="7" fillId="12" borderId="0" xfId="0" applyFont="1" applyFill="1"/>
    <xf numFmtId="0" fontId="7" fillId="12" borderId="4" xfId="0" applyFont="1" applyFill="1" applyBorder="1"/>
    <xf numFmtId="0" fontId="7" fillId="12" borderId="5" xfId="0" applyFont="1" applyFill="1" applyBorder="1"/>
    <xf numFmtId="0" fontId="7" fillId="12" borderId="1" xfId="0" applyFont="1" applyFill="1" applyBorder="1"/>
    <xf numFmtId="0" fontId="7" fillId="0" borderId="22" xfId="0" applyFont="1" applyBorder="1"/>
    <xf numFmtId="0" fontId="15" fillId="12" borderId="0" xfId="0" applyFont="1" applyFill="1" applyBorder="1" applyAlignment="1">
      <alignment vertical="top"/>
    </xf>
    <xf numFmtId="0" fontId="7" fillId="12" borderId="0" xfId="0" applyFont="1" applyFill="1" applyBorder="1" applyAlignment="1">
      <alignment vertical="top"/>
    </xf>
    <xf numFmtId="0" fontId="7" fillId="0" borderId="5" xfId="0" applyFont="1" applyFill="1" applyBorder="1"/>
    <xf numFmtId="15" fontId="7" fillId="0" borderId="0" xfId="0" applyNumberFormat="1" applyFont="1" applyFill="1" applyBorder="1"/>
    <xf numFmtId="0" fontId="7" fillId="0" borderId="7" xfId="0" applyFont="1" applyFill="1" applyBorder="1"/>
    <xf numFmtId="0" fontId="7" fillId="0" borderId="5" xfId="0" applyFont="1" applyBorder="1"/>
    <xf numFmtId="0" fontId="7" fillId="0" borderId="27" xfId="0" applyFont="1" applyBorder="1"/>
    <xf numFmtId="0" fontId="13" fillId="0" borderId="28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3" fillId="0" borderId="22" xfId="0" applyFont="1" applyBorder="1" applyAlignment="1">
      <alignment horizontal="left" vertical="top"/>
    </xf>
    <xf numFmtId="0" fontId="7" fillId="0" borderId="4" xfId="0" applyFont="1" applyFill="1" applyBorder="1"/>
    <xf numFmtId="0" fontId="7" fillId="0" borderId="1" xfId="0" applyFont="1" applyFill="1" applyBorder="1"/>
    <xf numFmtId="0" fontId="7" fillId="0" borderId="9" xfId="0" applyFont="1" applyFill="1" applyBorder="1"/>
  </cellXfs>
  <cellStyles count="10">
    <cellStyle name="Millares 2" xfId="3"/>
    <cellStyle name="Millares 2 2" xfId="4"/>
    <cellStyle name="Normal" xfId="0" builtinId="0"/>
    <cellStyle name="Normal 2" xfId="5"/>
    <cellStyle name="Normal 2 2" xfId="1"/>
    <cellStyle name="Normal 3" xfId="8"/>
    <cellStyle name="Normal 3 2" xfId="9"/>
    <cellStyle name="Porcentaje" xfId="7" builtinId="5"/>
    <cellStyle name="Porcentaje 2" xfId="2"/>
    <cellStyle name="Porcentaje 2 2" xfId="6"/>
  </cellStyles>
  <dxfs count="0"/>
  <tableStyles count="0" defaultTableStyle="TableStyleMedium2" defaultPivotStyle="PivotStyleLight16"/>
  <colors>
    <mruColors>
      <color rgb="FFFFFF66"/>
      <color rgb="FF0000FF"/>
      <color rgb="FF6600FF"/>
      <color rgb="FFCC00FF"/>
      <color rgb="FFFF0000"/>
      <color rgb="FFCCFF99"/>
      <color rgb="FFFFFFCC"/>
      <color rgb="FF99FF66"/>
      <color rgb="FF7A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externalLink" Target="externalLinks/externalLink3.xml"/><Relationship Id="rId9" Type="http://schemas.openxmlformats.org/officeDocument/2006/relationships/externalLink" Target="externalLinks/externalLink4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2</xdr:col>
      <xdr:colOff>707415</xdr:colOff>
      <xdr:row>4</xdr:row>
      <xdr:rowOff>444500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0"/>
          <a:ext cx="1901215" cy="1739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roxana.acuna/Documents/UDAC%202008/CD%20Basal/Conicyt%202016%20(dic)/BASAL_CRUCH_2016%20(CGG%2027dic1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roxana.acuna/Documents/UDAC%202008/CD%20Basal/SIES/SIES%202016/Indicadores%20Seguimiento%20Universidades%20Chilenas_A&#241;o%202015%20sin%20i)%20j))%20RRM%2022dic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roxana.acuna/Documents/UDAC%202008/CD%20Basal/SIES/SIES%202016/Indicadores%20Seguimiento%20Universidades%20Chilenas_A&#241;o%202015%20i)%20y%20j)%20RRM%2022dic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roxana.acuna/Documents/UDAC%202008/CD%20Basal/Conicyt%202016%20(exploratorio)/BASALES_2016_CRUCH%20(link%20web%2002ago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</sheetNames>
    <sheetDataSet>
      <sheetData sheetId="0">
        <row r="13">
          <cell r="B13" t="str">
            <v>UCH</v>
          </cell>
          <cell r="C13">
            <v>10443</v>
          </cell>
          <cell r="D13">
            <v>61168</v>
          </cell>
        </row>
        <row r="14">
          <cell r="B14" t="str">
            <v>PUC</v>
          </cell>
          <cell r="C14">
            <v>8788</v>
          </cell>
          <cell r="D14">
            <v>68545</v>
          </cell>
        </row>
        <row r="15">
          <cell r="B15" t="str">
            <v>UCO</v>
          </cell>
          <cell r="C15">
            <v>4558</v>
          </cell>
          <cell r="D15">
            <v>24135</v>
          </cell>
        </row>
        <row r="16">
          <cell r="B16" t="str">
            <v>FSM</v>
          </cell>
          <cell r="C16">
            <v>2326</v>
          </cell>
          <cell r="D16">
            <v>23322</v>
          </cell>
        </row>
        <row r="17">
          <cell r="B17" t="str">
            <v>USA</v>
          </cell>
          <cell r="C17">
            <v>2232</v>
          </cell>
          <cell r="D17">
            <v>9572</v>
          </cell>
        </row>
        <row r="18">
          <cell r="B18" t="str">
            <v>AUS</v>
          </cell>
          <cell r="C18">
            <v>2124</v>
          </cell>
          <cell r="D18">
            <v>10927</v>
          </cell>
        </row>
        <row r="19">
          <cell r="B19" t="str">
            <v>UCV</v>
          </cell>
          <cell r="C19">
            <v>1890</v>
          </cell>
          <cell r="D19">
            <v>6917</v>
          </cell>
        </row>
        <row r="20">
          <cell r="B20" t="str">
            <v>FRO</v>
          </cell>
          <cell r="C20">
            <v>1655</v>
          </cell>
          <cell r="D20">
            <v>8512</v>
          </cell>
        </row>
        <row r="21">
          <cell r="B21" t="str">
            <v>UVA</v>
          </cell>
          <cell r="C21">
            <v>1446</v>
          </cell>
          <cell r="D21">
            <v>9149</v>
          </cell>
        </row>
        <row r="22">
          <cell r="B22" t="str">
            <v>UCN</v>
          </cell>
          <cell r="C22">
            <v>1352</v>
          </cell>
          <cell r="D22">
            <v>5338</v>
          </cell>
        </row>
        <row r="23">
          <cell r="B23" t="str">
            <v>TAL</v>
          </cell>
          <cell r="C23">
            <v>1326</v>
          </cell>
          <cell r="D23">
            <v>4053</v>
          </cell>
        </row>
        <row r="24">
          <cell r="B24" t="str">
            <v>UTA</v>
          </cell>
          <cell r="C24">
            <v>820</v>
          </cell>
          <cell r="D24">
            <v>2919</v>
          </cell>
        </row>
        <row r="25">
          <cell r="B25" t="str">
            <v>UBB</v>
          </cell>
          <cell r="C25">
            <v>734</v>
          </cell>
          <cell r="D25">
            <v>2251</v>
          </cell>
        </row>
        <row r="26">
          <cell r="B26" t="str">
            <v>ANT</v>
          </cell>
          <cell r="C26">
            <v>596</v>
          </cell>
          <cell r="D26">
            <v>2340</v>
          </cell>
        </row>
        <row r="27">
          <cell r="B27" t="str">
            <v>ULS</v>
          </cell>
          <cell r="C27">
            <v>526</v>
          </cell>
          <cell r="D27">
            <v>3273</v>
          </cell>
        </row>
        <row r="28">
          <cell r="B28" t="str">
            <v>UCT</v>
          </cell>
          <cell r="C28">
            <v>455</v>
          </cell>
          <cell r="D28">
            <v>976</v>
          </cell>
        </row>
        <row r="29">
          <cell r="B29" t="str">
            <v>UCM</v>
          </cell>
          <cell r="C29">
            <v>332</v>
          </cell>
          <cell r="D29">
            <v>922</v>
          </cell>
        </row>
        <row r="30">
          <cell r="B30" t="str">
            <v>USC</v>
          </cell>
          <cell r="C30">
            <v>326</v>
          </cell>
          <cell r="D30">
            <v>790</v>
          </cell>
        </row>
        <row r="31">
          <cell r="B31" t="str">
            <v>ULA</v>
          </cell>
          <cell r="C31">
            <v>311</v>
          </cell>
          <cell r="D31">
            <v>939</v>
          </cell>
        </row>
        <row r="32">
          <cell r="B32" t="str">
            <v>MAG</v>
          </cell>
          <cell r="C32">
            <v>268</v>
          </cell>
          <cell r="D32">
            <v>806</v>
          </cell>
        </row>
        <row r="33">
          <cell r="B33" t="str">
            <v>UAP</v>
          </cell>
          <cell r="C33">
            <v>264</v>
          </cell>
          <cell r="D33">
            <v>1165</v>
          </cell>
        </row>
        <row r="34">
          <cell r="B34" t="str">
            <v>UPA</v>
          </cell>
          <cell r="C34">
            <v>245</v>
          </cell>
          <cell r="D34">
            <v>401</v>
          </cell>
        </row>
        <row r="35">
          <cell r="B35" t="str">
            <v>UMC</v>
          </cell>
          <cell r="C35">
            <v>117</v>
          </cell>
          <cell r="D35">
            <v>341</v>
          </cell>
        </row>
        <row r="36">
          <cell r="B36" t="str">
            <v>ATA</v>
          </cell>
          <cell r="C36">
            <v>116</v>
          </cell>
          <cell r="D36">
            <v>331</v>
          </cell>
        </row>
        <row r="37">
          <cell r="B37" t="str">
            <v>UTM</v>
          </cell>
          <cell r="C37">
            <v>63</v>
          </cell>
          <cell r="D37">
            <v>301</v>
          </cell>
        </row>
        <row r="44">
          <cell r="B44" t="str">
            <v>UCH</v>
          </cell>
          <cell r="C44">
            <v>2369</v>
          </cell>
          <cell r="D44">
            <v>3206</v>
          </cell>
        </row>
        <row r="45">
          <cell r="B45" t="str">
            <v>PUC</v>
          </cell>
          <cell r="C45">
            <v>1851</v>
          </cell>
          <cell r="D45">
            <v>3146</v>
          </cell>
        </row>
        <row r="46">
          <cell r="B46" t="str">
            <v>UCO</v>
          </cell>
          <cell r="C46">
            <v>946</v>
          </cell>
          <cell r="D46">
            <v>1115</v>
          </cell>
        </row>
        <row r="47">
          <cell r="B47" t="str">
            <v>FSM</v>
          </cell>
          <cell r="C47">
            <v>495</v>
          </cell>
          <cell r="D47">
            <v>1053</v>
          </cell>
        </row>
        <row r="48">
          <cell r="B48" t="str">
            <v>UCV</v>
          </cell>
          <cell r="C48">
            <v>484</v>
          </cell>
          <cell r="D48">
            <v>407</v>
          </cell>
        </row>
        <row r="49">
          <cell r="B49" t="str">
            <v>USA</v>
          </cell>
          <cell r="C49">
            <v>475</v>
          </cell>
          <cell r="D49">
            <v>419</v>
          </cell>
        </row>
        <row r="50">
          <cell r="B50" t="str">
            <v>AUS</v>
          </cell>
          <cell r="C50">
            <v>460</v>
          </cell>
          <cell r="D50">
            <v>429</v>
          </cell>
        </row>
        <row r="51">
          <cell r="B51" t="str">
            <v>FRO</v>
          </cell>
          <cell r="C51">
            <v>408</v>
          </cell>
          <cell r="D51">
            <v>381</v>
          </cell>
        </row>
        <row r="52">
          <cell r="B52" t="str">
            <v>TAL</v>
          </cell>
          <cell r="C52">
            <v>342</v>
          </cell>
          <cell r="D52">
            <v>241</v>
          </cell>
        </row>
        <row r="53">
          <cell r="B53" t="str">
            <v>UVA</v>
          </cell>
          <cell r="C53">
            <v>341</v>
          </cell>
          <cell r="D53">
            <v>458</v>
          </cell>
        </row>
        <row r="54">
          <cell r="B54" t="str">
            <v>UCN</v>
          </cell>
          <cell r="C54">
            <v>312</v>
          </cell>
          <cell r="D54">
            <v>293</v>
          </cell>
        </row>
        <row r="55">
          <cell r="B55" t="str">
            <v>UTA</v>
          </cell>
          <cell r="C55">
            <v>189</v>
          </cell>
          <cell r="D55">
            <v>232</v>
          </cell>
        </row>
        <row r="56">
          <cell r="B56" t="str">
            <v>UBB</v>
          </cell>
          <cell r="C56">
            <v>171</v>
          </cell>
          <cell r="D56">
            <v>100</v>
          </cell>
        </row>
        <row r="57">
          <cell r="B57" t="str">
            <v>ANT</v>
          </cell>
          <cell r="C57">
            <v>147</v>
          </cell>
          <cell r="D57">
            <v>210</v>
          </cell>
        </row>
        <row r="58">
          <cell r="B58" t="str">
            <v>UPA</v>
          </cell>
          <cell r="C58">
            <v>111</v>
          </cell>
          <cell r="D58">
            <v>49</v>
          </cell>
        </row>
        <row r="59">
          <cell r="B59" t="str">
            <v>ULS</v>
          </cell>
          <cell r="C59">
            <v>110</v>
          </cell>
          <cell r="D59">
            <v>109</v>
          </cell>
        </row>
        <row r="60">
          <cell r="B60" t="str">
            <v>UCT</v>
          </cell>
          <cell r="C60">
            <v>109</v>
          </cell>
          <cell r="D60">
            <v>64</v>
          </cell>
        </row>
        <row r="61">
          <cell r="B61" t="str">
            <v>ULA</v>
          </cell>
          <cell r="C61">
            <v>81</v>
          </cell>
          <cell r="D61">
            <v>51</v>
          </cell>
        </row>
        <row r="62">
          <cell r="B62" t="str">
            <v>USC</v>
          </cell>
          <cell r="C62">
            <v>80</v>
          </cell>
          <cell r="D62">
            <v>32</v>
          </cell>
        </row>
        <row r="63">
          <cell r="B63" t="str">
            <v>MAG</v>
          </cell>
          <cell r="C63">
            <v>77</v>
          </cell>
          <cell r="D63">
            <v>64</v>
          </cell>
        </row>
        <row r="64">
          <cell r="B64" t="str">
            <v>UCM</v>
          </cell>
          <cell r="C64">
            <v>66</v>
          </cell>
          <cell r="D64">
            <v>15</v>
          </cell>
        </row>
        <row r="65">
          <cell r="B65" t="str">
            <v>UAP</v>
          </cell>
          <cell r="C65">
            <v>55</v>
          </cell>
          <cell r="D65">
            <v>43</v>
          </cell>
        </row>
        <row r="66">
          <cell r="B66" t="str">
            <v>UMC</v>
          </cell>
          <cell r="C66">
            <v>33</v>
          </cell>
          <cell r="D66">
            <v>26</v>
          </cell>
        </row>
        <row r="67">
          <cell r="B67" t="str">
            <v>ATA</v>
          </cell>
          <cell r="C67">
            <v>26</v>
          </cell>
          <cell r="D67">
            <v>16</v>
          </cell>
        </row>
        <row r="68">
          <cell r="B68" t="str">
            <v>UTM</v>
          </cell>
          <cell r="C68">
            <v>17</v>
          </cell>
          <cell r="D6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 a)"/>
      <sheetName val="Indicador b)"/>
      <sheetName val="Indicador b.1)"/>
      <sheetName val="Indicador c)"/>
      <sheetName val="Indicador c.1)"/>
      <sheetName val="Ind g) 2016 con QUINTIL PERFIL"/>
      <sheetName val="Indicador h)"/>
      <sheetName val="Indicador i. 1)"/>
    </sheetNames>
    <sheetDataSet>
      <sheetData sheetId="0">
        <row r="2">
          <cell r="C2" t="str">
            <v>U. GABRIELA MISTRAL</v>
          </cell>
          <cell r="D2" t="str">
            <v>UGM</v>
          </cell>
          <cell r="E2" t="str">
            <v>U. Privada</v>
          </cell>
          <cell r="F2">
            <v>18</v>
          </cell>
          <cell r="G2">
            <v>1113</v>
          </cell>
          <cell r="H2">
            <v>1.6172506738544474</v>
          </cell>
        </row>
        <row r="3">
          <cell r="C3" t="str">
            <v>U. FINIS TERRAE</v>
          </cell>
          <cell r="D3" t="str">
            <v>UFT</v>
          </cell>
          <cell r="E3" t="str">
            <v>U. Privada</v>
          </cell>
          <cell r="F3">
            <v>100</v>
          </cell>
          <cell r="G3">
            <v>6912</v>
          </cell>
          <cell r="H3">
            <v>1.4467592592592591</v>
          </cell>
        </row>
        <row r="4">
          <cell r="C4" t="str">
            <v>U. DIEGO PORTALES</v>
          </cell>
          <cell r="D4" t="str">
            <v>UDP</v>
          </cell>
          <cell r="E4" t="str">
            <v>U. Privada</v>
          </cell>
          <cell r="F4">
            <v>327</v>
          </cell>
          <cell r="G4">
            <v>16372</v>
          </cell>
          <cell r="H4">
            <v>1.997312484730027</v>
          </cell>
        </row>
        <row r="5">
          <cell r="C5" t="str">
            <v>U. CENTRAL</v>
          </cell>
          <cell r="D5" t="str">
            <v>UCE</v>
          </cell>
          <cell r="E5" t="str">
            <v>U. Privada</v>
          </cell>
          <cell r="F5">
            <v>207</v>
          </cell>
          <cell r="G5">
            <v>13069</v>
          </cell>
          <cell r="H5">
            <v>1.5839008340347387</v>
          </cell>
        </row>
        <row r="6">
          <cell r="C6" t="str">
            <v>U. BOLIVARIANA</v>
          </cell>
          <cell r="D6" t="str">
            <v>UBL</v>
          </cell>
          <cell r="E6" t="str">
            <v>U. Privada</v>
          </cell>
          <cell r="F6">
            <v>58</v>
          </cell>
          <cell r="G6">
            <v>4814</v>
          </cell>
          <cell r="H6">
            <v>1.2048192771084336</v>
          </cell>
        </row>
        <row r="7">
          <cell r="C7" t="str">
            <v>U. PEDRO DE VALDIVIA</v>
          </cell>
          <cell r="D7" t="str">
            <v>UPV</v>
          </cell>
          <cell r="E7" t="str">
            <v>U. Privada</v>
          </cell>
          <cell r="F7">
            <v>7</v>
          </cell>
          <cell r="G7">
            <v>7161</v>
          </cell>
          <cell r="H7">
            <v>9.7751710654936458E-2</v>
          </cell>
        </row>
        <row r="8">
          <cell r="C8" t="str">
            <v>U. MAYOR</v>
          </cell>
          <cell r="D8" t="str">
            <v>UMA</v>
          </cell>
          <cell r="E8" t="str">
            <v>U. Privada</v>
          </cell>
          <cell r="F8">
            <v>351</v>
          </cell>
          <cell r="G8">
            <v>21482</v>
          </cell>
          <cell r="H8">
            <v>1.6339260776464017</v>
          </cell>
        </row>
        <row r="9">
          <cell r="C9" t="str">
            <v>U. ACADEMIA HUMANISMO CRISTIANO</v>
          </cell>
          <cell r="D9" t="str">
            <v>AHC</v>
          </cell>
          <cell r="E9" t="str">
            <v>U. Privada</v>
          </cell>
          <cell r="F9">
            <v>46</v>
          </cell>
          <cell r="G9">
            <v>3627</v>
          </cell>
          <cell r="H9">
            <v>1.2682657843948166</v>
          </cell>
        </row>
        <row r="10">
          <cell r="C10" t="str">
            <v>U. SANTO TOMÁS</v>
          </cell>
          <cell r="D10" t="str">
            <v>UST</v>
          </cell>
          <cell r="E10" t="str">
            <v>U. Privada</v>
          </cell>
          <cell r="F10">
            <v>440</v>
          </cell>
          <cell r="G10">
            <v>29871</v>
          </cell>
          <cell r="H10">
            <v>1.4730005691138564</v>
          </cell>
        </row>
        <row r="11">
          <cell r="C11" t="str">
            <v>U. LA REPÚBLICA</v>
          </cell>
          <cell r="D11" t="str">
            <v>ULR</v>
          </cell>
          <cell r="E11" t="str">
            <v>U. Privada</v>
          </cell>
          <cell r="F11">
            <v>166</v>
          </cell>
          <cell r="G11">
            <v>4433</v>
          </cell>
          <cell r="H11">
            <v>3.744642454319874</v>
          </cell>
        </row>
        <row r="12">
          <cell r="C12" t="str">
            <v>U. INTERNACIONAL SEK</v>
          </cell>
          <cell r="D12" t="str">
            <v>USK</v>
          </cell>
          <cell r="E12" t="str">
            <v>U. Privada</v>
          </cell>
          <cell r="F12">
            <v>57</v>
          </cell>
          <cell r="G12">
            <v>4422</v>
          </cell>
          <cell r="H12">
            <v>1.289009497964722</v>
          </cell>
        </row>
        <row r="13">
          <cell r="C13" t="str">
            <v>U. DE LAS AMÉRICAS</v>
          </cell>
          <cell r="D13" t="str">
            <v>UAM</v>
          </cell>
          <cell r="E13" t="str">
            <v>U. Privada</v>
          </cell>
          <cell r="F13">
            <v>505</v>
          </cell>
          <cell r="G13">
            <v>26407</v>
          </cell>
          <cell r="H13">
            <v>1.9123717196197978</v>
          </cell>
        </row>
        <row r="14">
          <cell r="C14" t="str">
            <v>U. ANDRÉS BELLO</v>
          </cell>
          <cell r="D14" t="str">
            <v>UAB</v>
          </cell>
          <cell r="E14" t="str">
            <v>U. Privada</v>
          </cell>
          <cell r="F14">
            <v>786</v>
          </cell>
          <cell r="G14">
            <v>47159</v>
          </cell>
          <cell r="H14">
            <v>1.6667020081002566</v>
          </cell>
        </row>
        <row r="15">
          <cell r="C15" t="str">
            <v>U. DE VIÑA DEL MAR</v>
          </cell>
          <cell r="D15" t="str">
            <v>UVM</v>
          </cell>
          <cell r="E15" t="str">
            <v>U. Privada</v>
          </cell>
          <cell r="F15">
            <v>182</v>
          </cell>
          <cell r="G15">
            <v>8403</v>
          </cell>
          <cell r="H15">
            <v>2.1658931334047362</v>
          </cell>
        </row>
        <row r="16">
          <cell r="C16" t="str">
            <v>U. ADOLFO IBAÑEZ</v>
          </cell>
          <cell r="D16" t="str">
            <v>UAI</v>
          </cell>
          <cell r="E16" t="str">
            <v>U. Privada</v>
          </cell>
          <cell r="F16">
            <v>260</v>
          </cell>
          <cell r="G16">
            <v>10691</v>
          </cell>
          <cell r="H16">
            <v>2.4319521092507719</v>
          </cell>
        </row>
        <row r="17">
          <cell r="C17" t="str">
            <v>U. IBEROAMERICANA DE CS. Y TECNOLOGÍA UNICYT</v>
          </cell>
          <cell r="D17" t="str">
            <v>UIB</v>
          </cell>
          <cell r="E17" t="str">
            <v>U. Privada</v>
          </cell>
          <cell r="F17">
            <v>62</v>
          </cell>
          <cell r="G17">
            <v>3197</v>
          </cell>
          <cell r="H17">
            <v>1.9393181107288082</v>
          </cell>
        </row>
        <row r="18">
          <cell r="C18" t="str">
            <v>U. DE ARTES, CS. Y COMUNICACIÓN UNIACC</v>
          </cell>
          <cell r="D18" t="str">
            <v>UCC</v>
          </cell>
          <cell r="E18" t="str">
            <v>U. Privada</v>
          </cell>
          <cell r="F18">
            <v>0</v>
          </cell>
          <cell r="G18">
            <v>3718</v>
          </cell>
          <cell r="H18">
            <v>0</v>
          </cell>
        </row>
        <row r="19">
          <cell r="C19" t="str">
            <v>U. DEL MAR</v>
          </cell>
          <cell r="D19" t="str">
            <v>UDM</v>
          </cell>
          <cell r="E19" t="str">
            <v>U. Privada</v>
          </cell>
          <cell r="F19">
            <v>8</v>
          </cell>
          <cell r="G19">
            <v>400</v>
          </cell>
          <cell r="H19">
            <v>2</v>
          </cell>
        </row>
        <row r="20">
          <cell r="C20" t="str">
            <v>U.  UCINF</v>
          </cell>
          <cell r="D20" t="str">
            <v>UCI</v>
          </cell>
          <cell r="E20" t="str">
            <v>U. Privada</v>
          </cell>
          <cell r="F20">
            <v>13</v>
          </cell>
          <cell r="G20">
            <v>3118</v>
          </cell>
          <cell r="H20">
            <v>0.41693393200769724</v>
          </cell>
        </row>
        <row r="21">
          <cell r="C21" t="str">
            <v>U. AUTÓNOMA DE CHILE</v>
          </cell>
          <cell r="D21" t="str">
            <v>UAU</v>
          </cell>
          <cell r="E21" t="str">
            <v>U. Privada</v>
          </cell>
          <cell r="F21">
            <v>455</v>
          </cell>
          <cell r="G21">
            <v>20563</v>
          </cell>
          <cell r="H21">
            <v>2.2127121528959783</v>
          </cell>
        </row>
        <row r="22">
          <cell r="C22" t="str">
            <v>U. DE LOS ANDES</v>
          </cell>
          <cell r="D22" t="str">
            <v>UAN</v>
          </cell>
          <cell r="E22" t="str">
            <v>U. Privada</v>
          </cell>
          <cell r="F22">
            <v>190</v>
          </cell>
          <cell r="G22">
            <v>8292</v>
          </cell>
          <cell r="H22">
            <v>2.2913651712493968</v>
          </cell>
        </row>
        <row r="23">
          <cell r="C23" t="str">
            <v>U. ADVENTISTA</v>
          </cell>
          <cell r="D23" t="str">
            <v>UAC</v>
          </cell>
          <cell r="E23" t="str">
            <v>U. Privada</v>
          </cell>
          <cell r="F23">
            <v>78</v>
          </cell>
          <cell r="G23">
            <v>1955</v>
          </cell>
          <cell r="H23">
            <v>3.9897698209718668</v>
          </cell>
        </row>
        <row r="24">
          <cell r="C24" t="str">
            <v>U. SAN SEBASTIÁN</v>
          </cell>
          <cell r="D24" t="str">
            <v>USS</v>
          </cell>
          <cell r="E24" t="str">
            <v>U. Privada</v>
          </cell>
          <cell r="F24">
            <v>767</v>
          </cell>
          <cell r="G24">
            <v>28517</v>
          </cell>
          <cell r="H24">
            <v>2.6896237332117683</v>
          </cell>
        </row>
        <row r="25">
          <cell r="C25" t="str">
            <v>U. DE ARTES Y CS. SOCIALES ARCIS</v>
          </cell>
          <cell r="D25" t="str">
            <v>UAR</v>
          </cell>
          <cell r="E25" t="str">
            <v>U. Privada</v>
          </cell>
          <cell r="F25">
            <v>21</v>
          </cell>
          <cell r="G25">
            <v>1120</v>
          </cell>
          <cell r="H25">
            <v>1.8750000000000002</v>
          </cell>
        </row>
        <row r="26">
          <cell r="C26" t="str">
            <v>U. C. SILVA HENRÍQUEZ</v>
          </cell>
          <cell r="D26" t="str">
            <v>UCS</v>
          </cell>
          <cell r="E26" t="str">
            <v>U. Privada</v>
          </cell>
          <cell r="F26">
            <v>114</v>
          </cell>
          <cell r="G26">
            <v>5551</v>
          </cell>
          <cell r="H26">
            <v>2.0536840208971356</v>
          </cell>
        </row>
        <row r="27">
          <cell r="C27" t="str">
            <v>U. DEL DESARROLLO</v>
          </cell>
          <cell r="D27" t="str">
            <v>UDD</v>
          </cell>
          <cell r="E27" t="str">
            <v>U. Privada</v>
          </cell>
          <cell r="F27">
            <v>328</v>
          </cell>
          <cell r="G27">
            <v>16425</v>
          </cell>
          <cell r="H27">
            <v>1.9969558599695585</v>
          </cell>
        </row>
        <row r="28">
          <cell r="C28" t="str">
            <v>U. DE ACONCAGUA</v>
          </cell>
          <cell r="D28" t="e">
            <v>#N/A</v>
          </cell>
          <cell r="E28" t="str">
            <v>U. Privada</v>
          </cell>
          <cell r="F28">
            <v>38</v>
          </cell>
          <cell r="G28">
            <v>8840</v>
          </cell>
          <cell r="H28">
            <v>0.42986425339366513</v>
          </cell>
        </row>
        <row r="29">
          <cell r="C29" t="str">
            <v>U. DEL PACÍFICO</v>
          </cell>
          <cell r="D29" t="str">
            <v>UPO</v>
          </cell>
          <cell r="E29" t="str">
            <v>U. Privada</v>
          </cell>
          <cell r="F29">
            <v>78</v>
          </cell>
          <cell r="G29">
            <v>4507</v>
          </cell>
          <cell r="H29">
            <v>1.7306412247614822</v>
          </cell>
        </row>
        <row r="30">
          <cell r="C30" t="str">
            <v>U. LOS LEONES</v>
          </cell>
          <cell r="D30" t="e">
            <v>#N/A</v>
          </cell>
          <cell r="E30" t="str">
            <v>U. Privada</v>
          </cell>
          <cell r="F30">
            <v>7</v>
          </cell>
          <cell r="G30">
            <v>2135</v>
          </cell>
          <cell r="H30">
            <v>0.32786885245901637</v>
          </cell>
        </row>
        <row r="31">
          <cell r="C31" t="str">
            <v>U. BERNARDO O'HIGGINS</v>
          </cell>
          <cell r="D31" t="str">
            <v>UBO</v>
          </cell>
          <cell r="E31" t="str">
            <v>U. Privada</v>
          </cell>
          <cell r="F31">
            <v>110</v>
          </cell>
          <cell r="G31">
            <v>4920</v>
          </cell>
          <cell r="H31">
            <v>2.2357723577235773</v>
          </cell>
        </row>
        <row r="32">
          <cell r="C32" t="str">
            <v>U. TECNOLOGICA INACAP</v>
          </cell>
          <cell r="D32" t="str">
            <v>UTC</v>
          </cell>
          <cell r="E32" t="str">
            <v>U. Privada</v>
          </cell>
          <cell r="F32">
            <v>119</v>
          </cell>
          <cell r="G32">
            <v>34964</v>
          </cell>
          <cell r="H32">
            <v>0.34035007436220116</v>
          </cell>
        </row>
        <row r="33">
          <cell r="C33" t="str">
            <v>U. MIGUEL DE CERVANTES</v>
          </cell>
          <cell r="D33" t="e">
            <v>#N/A</v>
          </cell>
          <cell r="E33" t="str">
            <v>U. Privada</v>
          </cell>
          <cell r="F33">
            <v>15</v>
          </cell>
          <cell r="G33">
            <v>1951</v>
          </cell>
          <cell r="H33">
            <v>0.76883649410558685</v>
          </cell>
        </row>
        <row r="34">
          <cell r="C34" t="str">
            <v>U. ALBERTO HURTADO</v>
          </cell>
          <cell r="D34" t="str">
            <v>UAH</v>
          </cell>
          <cell r="E34" t="str">
            <v>U. Privada</v>
          </cell>
          <cell r="F34">
            <v>136</v>
          </cell>
          <cell r="G34">
            <v>6694</v>
          </cell>
          <cell r="H34">
            <v>2.0316701523752614</v>
          </cell>
        </row>
        <row r="35">
          <cell r="C35" t="str">
            <v>U. DE CHILE</v>
          </cell>
          <cell r="D35" t="str">
            <v>UCH</v>
          </cell>
          <cell r="E35" t="str">
            <v>CRUCH Est.</v>
          </cell>
          <cell r="F35">
            <v>1509</v>
          </cell>
          <cell r="G35">
            <v>38234</v>
          </cell>
          <cell r="H35">
            <v>3.9467489668881104</v>
          </cell>
        </row>
        <row r="36">
          <cell r="C36" t="str">
            <v>U. DE SANTIAGO</v>
          </cell>
          <cell r="D36" t="str">
            <v>USA</v>
          </cell>
          <cell r="E36" t="str">
            <v>CRUCH Est.</v>
          </cell>
          <cell r="F36">
            <v>577</v>
          </cell>
          <cell r="G36">
            <v>23450</v>
          </cell>
          <cell r="H36">
            <v>2.4605543710021323</v>
          </cell>
        </row>
        <row r="37">
          <cell r="C37" t="str">
            <v>U. DE VALPARAÍSO</v>
          </cell>
          <cell r="D37" t="str">
            <v>UVA</v>
          </cell>
          <cell r="E37" t="str">
            <v>CRUCH Est.</v>
          </cell>
          <cell r="F37">
            <v>543</v>
          </cell>
          <cell r="G37">
            <v>15340</v>
          </cell>
          <cell r="H37">
            <v>3.5397653194263361</v>
          </cell>
        </row>
        <row r="38">
          <cell r="C38" t="str">
            <v>U. DE ANTOFAGASTA</v>
          </cell>
          <cell r="D38" t="str">
            <v>ANT</v>
          </cell>
          <cell r="E38" t="str">
            <v>CRUCH Est.</v>
          </cell>
          <cell r="F38">
            <v>306</v>
          </cell>
          <cell r="G38">
            <v>7628</v>
          </cell>
          <cell r="H38">
            <v>4.0115364446775041</v>
          </cell>
        </row>
        <row r="39">
          <cell r="C39" t="str">
            <v>U. DE LA SERENA</v>
          </cell>
          <cell r="D39" t="str">
            <v>ULS</v>
          </cell>
          <cell r="E39" t="str">
            <v>CRUCH Est.</v>
          </cell>
          <cell r="F39">
            <v>208</v>
          </cell>
          <cell r="G39">
            <v>7112</v>
          </cell>
          <cell r="H39">
            <v>2.9246344206974126</v>
          </cell>
        </row>
        <row r="40">
          <cell r="C40" t="str">
            <v>U. DEL BÍO-BÍO</v>
          </cell>
          <cell r="D40" t="str">
            <v>UBB</v>
          </cell>
          <cell r="E40" t="str">
            <v>CRUCH Est.</v>
          </cell>
          <cell r="F40">
            <v>446</v>
          </cell>
          <cell r="G40">
            <v>12488</v>
          </cell>
          <cell r="H40">
            <v>3.5714285714285716</v>
          </cell>
        </row>
        <row r="41">
          <cell r="C41" t="str">
            <v>U. DE LA FRONTERA</v>
          </cell>
          <cell r="D41" t="str">
            <v>FRO</v>
          </cell>
          <cell r="E41" t="str">
            <v>CRUCH Est.</v>
          </cell>
          <cell r="F41">
            <v>281</v>
          </cell>
          <cell r="G41">
            <v>10139</v>
          </cell>
          <cell r="H41">
            <v>2.7714764769701152</v>
          </cell>
        </row>
        <row r="42">
          <cell r="C42" t="str">
            <v>U. DE MAGALLANES</v>
          </cell>
          <cell r="D42" t="str">
            <v>MAG</v>
          </cell>
          <cell r="E42" t="str">
            <v>CRUCH Est.</v>
          </cell>
          <cell r="F42">
            <v>182</v>
          </cell>
          <cell r="G42">
            <v>4278</v>
          </cell>
          <cell r="H42">
            <v>4.2543244506778866</v>
          </cell>
        </row>
        <row r="43">
          <cell r="C43" t="str">
            <v>U. DE TALCA</v>
          </cell>
          <cell r="D43" t="str">
            <v>TAL</v>
          </cell>
          <cell r="E43" t="str">
            <v>CRUCH Est.</v>
          </cell>
          <cell r="F43">
            <v>336</v>
          </cell>
          <cell r="G43">
            <v>10518</v>
          </cell>
          <cell r="H43">
            <v>3.1945236737022245</v>
          </cell>
        </row>
        <row r="44">
          <cell r="C44" t="str">
            <v>U. DE ATACAMA</v>
          </cell>
          <cell r="D44" t="str">
            <v>ATA</v>
          </cell>
          <cell r="E44" t="str">
            <v>CRUCH Est.</v>
          </cell>
          <cell r="F44">
            <v>200</v>
          </cell>
          <cell r="G44">
            <v>4352</v>
          </cell>
          <cell r="H44">
            <v>4.5955882352941178</v>
          </cell>
        </row>
        <row r="45">
          <cell r="C45" t="str">
            <v>U. DE TARAPACÁ</v>
          </cell>
          <cell r="D45" t="str">
            <v>UTA</v>
          </cell>
          <cell r="E45" t="str">
            <v>CRUCH Est.</v>
          </cell>
          <cell r="F45">
            <v>323</v>
          </cell>
          <cell r="G45">
            <v>8780</v>
          </cell>
          <cell r="H45">
            <v>3.6788154897494305</v>
          </cell>
        </row>
        <row r="46">
          <cell r="C46" t="str">
            <v>U. ARTURO PRAT</v>
          </cell>
          <cell r="D46" t="str">
            <v>UAP</v>
          </cell>
          <cell r="E46" t="str">
            <v>CRUCH Est.</v>
          </cell>
          <cell r="F46">
            <v>233</v>
          </cell>
          <cell r="G46">
            <v>14002</v>
          </cell>
          <cell r="H46">
            <v>1.6640479931438366</v>
          </cell>
        </row>
        <row r="47">
          <cell r="C47" t="str">
            <v>U. METROPOLITANA DE CS. DE LA ED.</v>
          </cell>
          <cell r="D47" t="str">
            <v>UMC</v>
          </cell>
          <cell r="E47" t="str">
            <v>CRUCH Est.</v>
          </cell>
          <cell r="F47">
            <v>225</v>
          </cell>
          <cell r="G47">
            <v>4961</v>
          </cell>
          <cell r="H47">
            <v>4.5353759322717195</v>
          </cell>
        </row>
        <row r="48">
          <cell r="C48" t="str">
            <v>U. DE PLAYA ANCHA DE CS. DE LA ED.</v>
          </cell>
          <cell r="D48" t="str">
            <v>UPA</v>
          </cell>
          <cell r="E48" t="str">
            <v>CRUCH Est.</v>
          </cell>
          <cell r="F48">
            <v>297</v>
          </cell>
          <cell r="G48">
            <v>8740</v>
          </cell>
          <cell r="H48">
            <v>3.3981693363844392</v>
          </cell>
        </row>
        <row r="49">
          <cell r="C49" t="str">
            <v>U. DE LOS LAGOS</v>
          </cell>
          <cell r="D49" t="str">
            <v>ULA</v>
          </cell>
          <cell r="E49" t="str">
            <v>CRUCH Est.</v>
          </cell>
          <cell r="F49">
            <v>241</v>
          </cell>
          <cell r="G49">
            <v>9382</v>
          </cell>
          <cell r="H49">
            <v>2.5687486676614797</v>
          </cell>
        </row>
        <row r="50">
          <cell r="C50" t="str">
            <v>U. TECNOLÓGICA METROPOLITANA</v>
          </cell>
          <cell r="D50" t="str">
            <v>UTM</v>
          </cell>
          <cell r="E50" t="str">
            <v>CRUCH Est.</v>
          </cell>
          <cell r="F50">
            <v>188</v>
          </cell>
          <cell r="G50">
            <v>7676</v>
          </cell>
          <cell r="H50">
            <v>2.4491922876498173</v>
          </cell>
        </row>
        <row r="51">
          <cell r="C51" t="str">
            <v>P. U. C. DE CHILE</v>
          </cell>
          <cell r="D51" t="str">
            <v>PUC</v>
          </cell>
          <cell r="E51" t="str">
            <v>CRUCH Priv.</v>
          </cell>
          <cell r="F51">
            <v>1478</v>
          </cell>
          <cell r="G51">
            <v>30202</v>
          </cell>
          <cell r="H51">
            <v>4.8937156479703336</v>
          </cell>
        </row>
        <row r="52">
          <cell r="C52" t="str">
            <v>U. DE CONCEPCIÓN</v>
          </cell>
          <cell r="D52" t="str">
            <v>UCO</v>
          </cell>
          <cell r="E52" t="str">
            <v>CRUCH Priv.</v>
          </cell>
          <cell r="F52">
            <v>1088</v>
          </cell>
          <cell r="G52">
            <v>26408</v>
          </cell>
          <cell r="H52">
            <v>4.1199636473795822</v>
          </cell>
        </row>
        <row r="53">
          <cell r="C53" t="str">
            <v>U. TÉCNICA FEDERICO STA. MARÍA</v>
          </cell>
          <cell r="D53" t="str">
            <v>FSM</v>
          </cell>
          <cell r="E53" t="str">
            <v>CRUCH Priv.</v>
          </cell>
          <cell r="F53">
            <v>415</v>
          </cell>
          <cell r="G53">
            <v>19268</v>
          </cell>
          <cell r="H53">
            <v>2.1538301847623003</v>
          </cell>
        </row>
        <row r="54">
          <cell r="C54" t="str">
            <v>P. U. C. DE VALPARAISO</v>
          </cell>
          <cell r="D54" t="str">
            <v>UCV</v>
          </cell>
          <cell r="E54" t="str">
            <v>CRUCH Priv.</v>
          </cell>
          <cell r="F54">
            <v>488</v>
          </cell>
          <cell r="G54">
            <v>14972</v>
          </cell>
          <cell r="H54">
            <v>3.2594175794816991</v>
          </cell>
        </row>
        <row r="55">
          <cell r="C55" t="str">
            <v>U. AUSTRAL DE CHILE</v>
          </cell>
          <cell r="D55" t="str">
            <v>AUS</v>
          </cell>
          <cell r="E55" t="str">
            <v>CRUCH Priv.</v>
          </cell>
          <cell r="F55">
            <v>729</v>
          </cell>
          <cell r="G55">
            <v>13852</v>
          </cell>
          <cell r="H55">
            <v>5.2627779382038691</v>
          </cell>
        </row>
        <row r="56">
          <cell r="C56" t="str">
            <v>U. C. DEL NORTE</v>
          </cell>
          <cell r="D56" t="str">
            <v>UCN</v>
          </cell>
          <cell r="E56" t="str">
            <v>CRUCH Priv.</v>
          </cell>
          <cell r="F56">
            <v>411</v>
          </cell>
          <cell r="G56">
            <v>10767</v>
          </cell>
          <cell r="H56">
            <v>3.8172192811368069</v>
          </cell>
        </row>
        <row r="57">
          <cell r="C57" t="str">
            <v>U. C. DEL MAULE</v>
          </cell>
          <cell r="D57" t="str">
            <v>UCM</v>
          </cell>
          <cell r="E57" t="str">
            <v>CRUCH Priv.</v>
          </cell>
          <cell r="F57">
            <v>271</v>
          </cell>
          <cell r="G57">
            <v>7101</v>
          </cell>
          <cell r="H57">
            <v>3.8163638924095196</v>
          </cell>
        </row>
        <row r="58">
          <cell r="C58" t="str">
            <v>U. C. DE LA STMA. CONCEPCIÓN</v>
          </cell>
          <cell r="D58" t="str">
            <v>USC</v>
          </cell>
          <cell r="E58" t="str">
            <v>CRUCH Priv.</v>
          </cell>
          <cell r="F58">
            <v>258</v>
          </cell>
          <cell r="G58">
            <v>13548</v>
          </cell>
          <cell r="H58">
            <v>1.9043401240035431</v>
          </cell>
        </row>
        <row r="59">
          <cell r="C59" t="str">
            <v>U. C. DE TEMUCO</v>
          </cell>
          <cell r="D59" t="str">
            <v>UCT</v>
          </cell>
          <cell r="E59" t="str">
            <v>CRUCH Priv.</v>
          </cell>
          <cell r="F59">
            <v>295</v>
          </cell>
          <cell r="G59">
            <v>8848</v>
          </cell>
          <cell r="H59">
            <v>3.3340867992766725</v>
          </cell>
        </row>
        <row r="60">
          <cell r="C60" t="str">
            <v>U. CHILENO BRITÁNICA DE CULTURA</v>
          </cell>
          <cell r="D60" t="e">
            <v>#N/A</v>
          </cell>
          <cell r="E60" t="str">
            <v>U. Privada</v>
          </cell>
          <cell r="F60">
            <v>4</v>
          </cell>
          <cell r="G60">
            <v>437</v>
          </cell>
          <cell r="H60">
            <v>0.91533180778032031</v>
          </cell>
        </row>
        <row r="61">
          <cell r="C61" t="str">
            <v>U. LA ARAUCANA</v>
          </cell>
          <cell r="D61" t="e">
            <v>#N/A</v>
          </cell>
          <cell r="E61" t="str">
            <v>U. Privada</v>
          </cell>
          <cell r="F61">
            <v>1</v>
          </cell>
          <cell r="G61">
            <v>390</v>
          </cell>
          <cell r="H61">
            <v>0.25641025641025644</v>
          </cell>
        </row>
      </sheetData>
      <sheetData sheetId="1"/>
      <sheetData sheetId="2"/>
      <sheetData sheetId="3">
        <row r="3">
          <cell r="C3" t="str">
            <v>U. GABRIELA MISTRAL</v>
          </cell>
          <cell r="D3" t="str">
            <v>UGM</v>
          </cell>
          <cell r="E3" t="str">
            <v>U. Privada</v>
          </cell>
          <cell r="F3">
            <v>6.8931818181818176</v>
          </cell>
          <cell r="G3">
            <v>22.409090909090921</v>
          </cell>
          <cell r="H3">
            <v>6.136363636363637E-2</v>
          </cell>
          <cell r="I3">
            <v>61.870454545454585</v>
          </cell>
          <cell r="J3">
            <v>0.47459868493553231</v>
          </cell>
        </row>
        <row r="4">
          <cell r="C4" t="str">
            <v>U. FINIS TERRAE</v>
          </cell>
          <cell r="D4" t="str">
            <v>UFT</v>
          </cell>
          <cell r="E4" t="str">
            <v>U. Privada</v>
          </cell>
          <cell r="F4">
            <v>35.363636363636353</v>
          </cell>
          <cell r="G4">
            <v>104.65909090909126</v>
          </cell>
          <cell r="H4">
            <v>38.13636363636364</v>
          </cell>
          <cell r="I4">
            <v>352.40909090909179</v>
          </cell>
          <cell r="J4">
            <v>0.50554624016509719</v>
          </cell>
        </row>
        <row r="5">
          <cell r="C5" t="str">
            <v>U. DIEGO PORTALES</v>
          </cell>
          <cell r="D5" t="str">
            <v>UDP</v>
          </cell>
          <cell r="E5" t="str">
            <v>U. Privada</v>
          </cell>
          <cell r="F5">
            <v>185.17954545454552</v>
          </cell>
          <cell r="G5">
            <v>268.61136363636444</v>
          </cell>
          <cell r="H5">
            <v>60.563636363636384</v>
          </cell>
          <cell r="I5">
            <v>681.47045454545514</v>
          </cell>
          <cell r="J5">
            <v>0.75477160018276057</v>
          </cell>
        </row>
        <row r="6">
          <cell r="C6" t="str">
            <v>U. CENTRAL</v>
          </cell>
          <cell r="D6" t="str">
            <v>UCE</v>
          </cell>
          <cell r="E6" t="str">
            <v>U. Privada</v>
          </cell>
          <cell r="F6">
            <v>50.636363636363633</v>
          </cell>
          <cell r="G6">
            <v>263.45454545454629</v>
          </cell>
          <cell r="H6">
            <v>2.2727272727272729</v>
          </cell>
          <cell r="I6">
            <v>439.59090909090963</v>
          </cell>
          <cell r="J6">
            <v>0.71967738599938058</v>
          </cell>
        </row>
        <row r="7">
          <cell r="C7" t="str">
            <v>U. BOLIVARIANA</v>
          </cell>
          <cell r="D7" t="str">
            <v>UBL</v>
          </cell>
          <cell r="E7" t="str">
            <v>U. Privada</v>
          </cell>
          <cell r="F7">
            <v>6.3181818181818183</v>
          </cell>
          <cell r="G7">
            <v>50.465909090909086</v>
          </cell>
          <cell r="H7">
            <v>0.5</v>
          </cell>
          <cell r="I7">
            <v>193.17954545454546</v>
          </cell>
          <cell r="J7">
            <v>0.29653290038706337</v>
          </cell>
        </row>
        <row r="8">
          <cell r="C8" t="str">
            <v>U. PEDRO DE VALDIVIA</v>
          </cell>
          <cell r="D8" t="str">
            <v>UPV</v>
          </cell>
          <cell r="E8" t="str">
            <v>U. Privada</v>
          </cell>
          <cell r="F8">
            <v>7.7727272727272734</v>
          </cell>
          <cell r="G8">
            <v>63.340909090909115</v>
          </cell>
          <cell r="H8">
            <v>22.704545454545453</v>
          </cell>
          <cell r="I8">
            <v>274.52272727272691</v>
          </cell>
          <cell r="J8">
            <v>0.34175014487954353</v>
          </cell>
        </row>
        <row r="9">
          <cell r="C9" t="str">
            <v>U. MAYOR</v>
          </cell>
          <cell r="D9" t="str">
            <v>UMA</v>
          </cell>
          <cell r="E9" t="str">
            <v>U. Privada</v>
          </cell>
          <cell r="F9">
            <v>54.900227272727271</v>
          </cell>
          <cell r="G9">
            <v>313.86409090908921</v>
          </cell>
          <cell r="H9">
            <v>61.214545454545444</v>
          </cell>
          <cell r="I9">
            <v>1033.4981818181773</v>
          </cell>
          <cell r="J9">
            <v>0.41604220617004223</v>
          </cell>
        </row>
        <row r="10">
          <cell r="C10" t="str">
            <v>U. ACADEMIA HUMANISMO CRISTIANO</v>
          </cell>
          <cell r="D10" t="str">
            <v>AHC</v>
          </cell>
          <cell r="E10" t="str">
            <v>U. Privada</v>
          </cell>
          <cell r="F10">
            <v>26.909090909090899</v>
          </cell>
          <cell r="G10">
            <v>43.295454545454547</v>
          </cell>
          <cell r="H10">
            <v>0.22727272727272727</v>
          </cell>
          <cell r="I10">
            <v>138.25000000000003</v>
          </cell>
          <cell r="J10">
            <v>0.50945257274371181</v>
          </cell>
        </row>
        <row r="11">
          <cell r="C11" t="str">
            <v>U. SANTO TOMÁS</v>
          </cell>
          <cell r="D11" t="str">
            <v>UST</v>
          </cell>
          <cell r="E11" t="str">
            <v>U. Privada</v>
          </cell>
          <cell r="F11">
            <v>75.117272727272805</v>
          </cell>
          <cell r="G11">
            <v>400.68363636363631</v>
          </cell>
          <cell r="H11">
            <v>2.500681818181818</v>
          </cell>
          <cell r="I11">
            <v>1123.9595454545467</v>
          </cell>
          <cell r="J11">
            <v>0.42555053946862326</v>
          </cell>
        </row>
        <row r="12">
          <cell r="C12" t="str">
            <v>U. LA REPÚBLICA</v>
          </cell>
          <cell r="D12" t="str">
            <v>ULR</v>
          </cell>
          <cell r="E12" t="str">
            <v>U. Privada</v>
          </cell>
          <cell r="F12">
            <v>6.4318181818181799</v>
          </cell>
          <cell r="G12">
            <v>64.659090909090907</v>
          </cell>
          <cell r="H12">
            <v>0</v>
          </cell>
          <cell r="I12">
            <v>301.88636363636334</v>
          </cell>
          <cell r="J12">
            <v>0.23548897086501566</v>
          </cell>
        </row>
        <row r="13">
          <cell r="C13" t="str">
            <v>U. INTERNACIONAL SEK</v>
          </cell>
          <cell r="D13" t="str">
            <v>USK</v>
          </cell>
          <cell r="E13" t="str">
            <v>U. Privada</v>
          </cell>
          <cell r="F13">
            <v>19.42045454545455</v>
          </cell>
          <cell r="G13">
            <v>68.909090909090779</v>
          </cell>
          <cell r="H13">
            <v>0.52272727272727271</v>
          </cell>
          <cell r="I13">
            <v>141.22727272727249</v>
          </cell>
          <cell r="J13">
            <v>0.62914386868361771</v>
          </cell>
        </row>
        <row r="14">
          <cell r="C14" t="str">
            <v>U. DE LAS AMÉRICAS</v>
          </cell>
          <cell r="D14" t="str">
            <v>UAM</v>
          </cell>
          <cell r="E14" t="str">
            <v>U. Privada</v>
          </cell>
          <cell r="F14">
            <v>13.481818181818186</v>
          </cell>
          <cell r="G14">
            <v>324.79772727273064</v>
          </cell>
          <cell r="H14">
            <v>1.0227272727272727</v>
          </cell>
          <cell r="I14">
            <v>996.12272727273091</v>
          </cell>
          <cell r="J14">
            <v>0.34062296084363675</v>
          </cell>
        </row>
        <row r="15">
          <cell r="C15" t="str">
            <v>U. ANDRÉS BELLO</v>
          </cell>
          <cell r="D15" t="str">
            <v>UAB</v>
          </cell>
          <cell r="E15" t="str">
            <v>U. Privada</v>
          </cell>
          <cell r="F15">
            <v>309.72727272727309</v>
          </cell>
          <cell r="G15">
            <v>633.02272727272555</v>
          </cell>
          <cell r="H15">
            <v>90.613636363636473</v>
          </cell>
          <cell r="I15">
            <v>1721.2272727272721</v>
          </cell>
          <cell r="J15">
            <v>0.60036443341167722</v>
          </cell>
        </row>
        <row r="16">
          <cell r="C16" t="str">
            <v>U. DE VIÑA DEL MAR</v>
          </cell>
          <cell r="D16" t="str">
            <v>UVM</v>
          </cell>
          <cell r="E16" t="str">
            <v>U. Privada</v>
          </cell>
          <cell r="F16">
            <v>26.149318181818188</v>
          </cell>
          <cell r="G16">
            <v>129.96795454545449</v>
          </cell>
          <cell r="H16">
            <v>5.4386363636363644</v>
          </cell>
          <cell r="I16">
            <v>327.66681818181786</v>
          </cell>
          <cell r="J16">
            <v>0.49304934197293016</v>
          </cell>
        </row>
        <row r="17">
          <cell r="C17" t="str">
            <v>U. ADOLFO IBAÑEZ</v>
          </cell>
          <cell r="D17" t="str">
            <v>UAI</v>
          </cell>
          <cell r="E17" t="str">
            <v>U. Privada</v>
          </cell>
          <cell r="F17">
            <v>191.90909090909156</v>
          </cell>
          <cell r="G17">
            <v>153.18181818181822</v>
          </cell>
          <cell r="H17">
            <v>4.5454545454545456E-2</v>
          </cell>
          <cell r="I17">
            <v>423.29545454545536</v>
          </cell>
          <cell r="J17">
            <v>0.81535570469798668</v>
          </cell>
        </row>
        <row r="18">
          <cell r="C18" t="str">
            <v>U. IBEROAMERICANA DE CS. Y TECNOLOGÍA UNICYT</v>
          </cell>
          <cell r="D18" t="str">
            <v>UIB</v>
          </cell>
          <cell r="E18" t="str">
            <v>U. Privada</v>
          </cell>
          <cell r="F18">
            <v>10.795454545454549</v>
          </cell>
          <cell r="G18">
            <v>67.295454545454547</v>
          </cell>
          <cell r="H18">
            <v>0</v>
          </cell>
          <cell r="I18">
            <v>160.20454545454535</v>
          </cell>
          <cell r="J18">
            <v>0.48744502766349868</v>
          </cell>
        </row>
        <row r="19">
          <cell r="C19" t="str">
            <v>U. DE ARTES, CS. Y COMUNICACIÓN UNIACC</v>
          </cell>
          <cell r="D19" t="str">
            <v>UCC</v>
          </cell>
          <cell r="E19" t="str">
            <v>U. Privada</v>
          </cell>
          <cell r="F19">
            <v>3.7463636363636361</v>
          </cell>
          <cell r="G19">
            <v>37.005681818181813</v>
          </cell>
          <cell r="H19">
            <v>0.24249999999999999</v>
          </cell>
          <cell r="I19">
            <v>84.59909090909089</v>
          </cell>
          <cell r="J19">
            <v>0.48457430232433196</v>
          </cell>
        </row>
        <row r="20">
          <cell r="C20" t="str">
            <v>U. DEL MAR</v>
          </cell>
          <cell r="D20" t="str">
            <v>UDM</v>
          </cell>
          <cell r="E20" t="str">
            <v>U. Privada</v>
          </cell>
          <cell r="F20">
            <v>0.5</v>
          </cell>
          <cell r="G20">
            <v>5.079545454545455</v>
          </cell>
          <cell r="H20">
            <v>0.31818181818181818</v>
          </cell>
          <cell r="I20">
            <v>19.31818181818182</v>
          </cell>
          <cell r="J20">
            <v>0.30529411764705883</v>
          </cell>
        </row>
        <row r="21">
          <cell r="C21" t="str">
            <v>U.  UCINF</v>
          </cell>
          <cell r="D21" t="str">
            <v>UCI</v>
          </cell>
          <cell r="E21" t="str">
            <v>U. Privada</v>
          </cell>
          <cell r="F21">
            <v>4.0231818181818184</v>
          </cell>
          <cell r="G21">
            <v>44.038409090909113</v>
          </cell>
          <cell r="H21">
            <v>0</v>
          </cell>
          <cell r="I21">
            <v>111.2611363636364</v>
          </cell>
          <cell r="J21">
            <v>0.43197105907682382</v>
          </cell>
        </row>
        <row r="22">
          <cell r="C22" t="str">
            <v>U. AUTÓNOMA DE CHILE</v>
          </cell>
          <cell r="D22" t="str">
            <v>UAU</v>
          </cell>
          <cell r="E22" t="str">
            <v>U. Privada</v>
          </cell>
          <cell r="F22">
            <v>99.499999999999972</v>
          </cell>
          <cell r="G22">
            <v>387.47727272727303</v>
          </cell>
          <cell r="H22">
            <v>34.931818181818194</v>
          </cell>
          <cell r="I22">
            <v>839.02272727272816</v>
          </cell>
          <cell r="J22">
            <v>0.6220440447490313</v>
          </cell>
        </row>
        <row r="23">
          <cell r="C23" t="str">
            <v>U. DE LOS ANDES</v>
          </cell>
          <cell r="D23" t="str">
            <v>UAN</v>
          </cell>
          <cell r="E23" t="str">
            <v>U. Privada</v>
          </cell>
          <cell r="F23">
            <v>130.31818181818181</v>
          </cell>
          <cell r="G23">
            <v>139.74999999999983</v>
          </cell>
          <cell r="H23">
            <v>191.11363636363635</v>
          </cell>
          <cell r="I23">
            <v>609.20454545454515</v>
          </cell>
          <cell r="J23">
            <v>0.75702294348069399</v>
          </cell>
        </row>
        <row r="24">
          <cell r="C24" t="str">
            <v>U. ADVENTISTA</v>
          </cell>
          <cell r="D24" t="str">
            <v>UAC</v>
          </cell>
          <cell r="E24" t="str">
            <v>U. Privada</v>
          </cell>
          <cell r="F24">
            <v>11.863636363636365</v>
          </cell>
          <cell r="G24">
            <v>55.363636363636353</v>
          </cell>
          <cell r="H24">
            <v>0</v>
          </cell>
          <cell r="I24">
            <v>115.63636363636363</v>
          </cell>
          <cell r="J24">
            <v>0.58136792452830188</v>
          </cell>
        </row>
        <row r="25">
          <cell r="C25" t="str">
            <v>U. SAN SEBASTIÁN</v>
          </cell>
          <cell r="D25" t="str">
            <v>USS</v>
          </cell>
          <cell r="E25" t="str">
            <v>U. Privada</v>
          </cell>
          <cell r="F25">
            <v>77.625454545454545</v>
          </cell>
          <cell r="G25">
            <v>508.87931818181573</v>
          </cell>
          <cell r="H25">
            <v>170.51977272727282</v>
          </cell>
          <cell r="I25">
            <v>1620.7704545454551</v>
          </cell>
          <cell r="J25">
            <v>0.46707696536018767</v>
          </cell>
        </row>
        <row r="26">
          <cell r="C26" t="str">
            <v>U. DE ARTES Y CS. SOCIALES ARCIS</v>
          </cell>
          <cell r="D26" t="str">
            <v>UAR</v>
          </cell>
          <cell r="E26" t="str">
            <v>U. Privada</v>
          </cell>
          <cell r="F26">
            <v>1.4843181818181819</v>
          </cell>
          <cell r="G26">
            <v>8.6368181818181853</v>
          </cell>
          <cell r="H26">
            <v>0</v>
          </cell>
          <cell r="I26">
            <v>43.763863636363602</v>
          </cell>
          <cell r="J26">
            <v>0.23126697514034539</v>
          </cell>
        </row>
        <row r="27">
          <cell r="C27" t="str">
            <v>U. C. SILVA HENRÍQUEZ</v>
          </cell>
          <cell r="D27" t="str">
            <v>UCS</v>
          </cell>
          <cell r="E27" t="str">
            <v>U. Privada</v>
          </cell>
          <cell r="F27">
            <v>36.590909090909086</v>
          </cell>
          <cell r="G27">
            <v>119.68181818181844</v>
          </cell>
          <cell r="H27">
            <v>0</v>
          </cell>
          <cell r="I27">
            <v>230.21590909090938</v>
          </cell>
          <cell r="J27">
            <v>0.67880941803642858</v>
          </cell>
        </row>
        <row r="28">
          <cell r="C28" t="str">
            <v>U. DEL DESARROLLO</v>
          </cell>
          <cell r="D28" t="str">
            <v>UDD</v>
          </cell>
          <cell r="E28" t="str">
            <v>U. Privada</v>
          </cell>
          <cell r="F28">
            <v>99.886363636363853</v>
          </cell>
          <cell r="G28">
            <v>360.65909090909088</v>
          </cell>
          <cell r="H28">
            <v>158.90909090909037</v>
          </cell>
          <cell r="I28">
            <v>886.77272727272816</v>
          </cell>
          <cell r="J28">
            <v>0.69854938746219575</v>
          </cell>
        </row>
        <row r="29">
          <cell r="C29" t="str">
            <v>U. DE ACONCAGUA</v>
          </cell>
          <cell r="D29" t="e">
            <v>#N/A</v>
          </cell>
          <cell r="E29" t="str">
            <v>U. Privada</v>
          </cell>
          <cell r="F29">
            <v>7.0227272727272725</v>
          </cell>
          <cell r="G29">
            <v>34.420454545454554</v>
          </cell>
          <cell r="H29">
            <v>0</v>
          </cell>
          <cell r="I29">
            <v>249.41477272727394</v>
          </cell>
          <cell r="J29">
            <v>0.16616169669909028</v>
          </cell>
        </row>
        <row r="30">
          <cell r="C30" t="str">
            <v>U. DEL PACÍFICO</v>
          </cell>
          <cell r="D30" t="str">
            <v>UPO</v>
          </cell>
          <cell r="E30" t="str">
            <v>U. Privada</v>
          </cell>
          <cell r="F30">
            <v>9.6931818181818201</v>
          </cell>
          <cell r="G30">
            <v>81.817500000000109</v>
          </cell>
          <cell r="H30">
            <v>0</v>
          </cell>
          <cell r="I30">
            <v>149.71886363636375</v>
          </cell>
          <cell r="J30">
            <v>0.61121678054171247</v>
          </cell>
        </row>
        <row r="31">
          <cell r="C31" t="str">
            <v>U. LOS LEONES</v>
          </cell>
          <cell r="D31" t="e">
            <v>#N/A</v>
          </cell>
          <cell r="E31" t="str">
            <v>U. Privada</v>
          </cell>
          <cell r="F31">
            <v>0</v>
          </cell>
          <cell r="G31">
            <v>18.71590909090909</v>
          </cell>
          <cell r="H31">
            <v>0</v>
          </cell>
          <cell r="I31">
            <v>52.636363636363633</v>
          </cell>
          <cell r="J31">
            <v>0.35556994818652848</v>
          </cell>
        </row>
        <row r="32">
          <cell r="C32" t="str">
            <v>U. BERNARDO O'HIGGINS</v>
          </cell>
          <cell r="D32" t="str">
            <v>UBO</v>
          </cell>
          <cell r="E32" t="str">
            <v>U. Privada</v>
          </cell>
          <cell r="F32">
            <v>38.045454545454554</v>
          </cell>
          <cell r="G32">
            <v>109.31818181818187</v>
          </cell>
          <cell r="H32">
            <v>0</v>
          </cell>
          <cell r="I32">
            <v>211.13636363636371</v>
          </cell>
          <cell r="J32">
            <v>0.69795479009687844</v>
          </cell>
        </row>
        <row r="33">
          <cell r="C33" t="str">
            <v>U. TECNOLOGICA INACAP</v>
          </cell>
          <cell r="D33" t="str">
            <v>UTC</v>
          </cell>
          <cell r="E33" t="str">
            <v>U. Privada</v>
          </cell>
          <cell r="F33">
            <v>7.5681818181818166</v>
          </cell>
          <cell r="G33">
            <v>263.15909090909054</v>
          </cell>
          <cell r="H33">
            <v>0</v>
          </cell>
          <cell r="I33">
            <v>1317.4545454545409</v>
          </cell>
          <cell r="J33">
            <v>0.20549268561965264</v>
          </cell>
        </row>
        <row r="34">
          <cell r="C34" t="str">
            <v>U. MIGUEL DE CERVANTES</v>
          </cell>
          <cell r="D34" t="e">
            <v>#N/A</v>
          </cell>
          <cell r="E34" t="str">
            <v>U. Privada</v>
          </cell>
          <cell r="F34">
            <v>1.3181818181818183</v>
          </cell>
          <cell r="G34">
            <v>28.477272727272737</v>
          </cell>
          <cell r="H34">
            <v>0</v>
          </cell>
          <cell r="I34">
            <v>42.409090909090921</v>
          </cell>
          <cell r="J34">
            <v>0.702572347266881</v>
          </cell>
        </row>
        <row r="35">
          <cell r="C35" t="str">
            <v>U. ALBERTO HURTADO</v>
          </cell>
          <cell r="D35" t="str">
            <v>UAH</v>
          </cell>
          <cell r="E35" t="str">
            <v>U. Privada</v>
          </cell>
          <cell r="F35">
            <v>97.556818181818059</v>
          </cell>
          <cell r="G35">
            <v>66.704545454545396</v>
          </cell>
          <cell r="H35">
            <v>3.4090909090909088E-2</v>
          </cell>
          <cell r="I35">
            <v>197.79545454545439</v>
          </cell>
          <cell r="J35">
            <v>0.83063311501780968</v>
          </cell>
        </row>
        <row r="36">
          <cell r="C36" t="str">
            <v>U. DE CHILE</v>
          </cell>
          <cell r="D36" t="str">
            <v>UCH</v>
          </cell>
          <cell r="E36" t="str">
            <v>CRUCH Est.</v>
          </cell>
          <cell r="F36">
            <v>1069.7840909090892</v>
          </cell>
          <cell r="G36">
            <v>434.19318181818016</v>
          </cell>
          <cell r="H36">
            <v>123.8636363636364</v>
          </cell>
          <cell r="I36">
            <v>2159.8636363636306</v>
          </cell>
          <cell r="J36">
            <v>0.75367763116358411</v>
          </cell>
        </row>
        <row r="37">
          <cell r="C37" t="str">
            <v>U. DE SANTIAGO</v>
          </cell>
          <cell r="D37" t="str">
            <v>USA</v>
          </cell>
          <cell r="E37" t="str">
            <v>CRUCH Est.</v>
          </cell>
          <cell r="F37">
            <v>417.27272727272748</v>
          </cell>
          <cell r="G37">
            <v>285.06818181818403</v>
          </cell>
          <cell r="H37">
            <v>8.5227272727272734</v>
          </cell>
          <cell r="I37">
            <v>1012.1818181818237</v>
          </cell>
          <cell r="J37">
            <v>0.70230824501526712</v>
          </cell>
        </row>
        <row r="38">
          <cell r="C38" t="str">
            <v>U. DE VALPARAÍSO</v>
          </cell>
          <cell r="D38" t="str">
            <v>UVA</v>
          </cell>
          <cell r="E38" t="str">
            <v>CRUCH Est.</v>
          </cell>
          <cell r="F38">
            <v>202.7795454545456</v>
          </cell>
          <cell r="G38">
            <v>305.25681818181829</v>
          </cell>
          <cell r="H38">
            <v>73.647727272727266</v>
          </cell>
          <cell r="I38">
            <v>879.63409090909204</v>
          </cell>
          <cell r="J38">
            <v>0.66127961264885393</v>
          </cell>
        </row>
        <row r="39">
          <cell r="C39" t="str">
            <v>U. DE ANTOFAGASTA</v>
          </cell>
          <cell r="D39" t="str">
            <v>ANT</v>
          </cell>
          <cell r="E39" t="str">
            <v>CRUCH Est.</v>
          </cell>
          <cell r="F39">
            <v>131.23295454545459</v>
          </cell>
          <cell r="G39">
            <v>111.57954545454545</v>
          </cell>
          <cell r="H39">
            <v>19.49431818181818</v>
          </cell>
          <cell r="I39">
            <v>395.66204545454542</v>
          </cell>
          <cell r="J39">
            <v>0.66295673591960103</v>
          </cell>
        </row>
        <row r="40">
          <cell r="C40" t="str">
            <v>U. DE LA SERENA</v>
          </cell>
          <cell r="D40" t="str">
            <v>ULS</v>
          </cell>
          <cell r="E40" t="str">
            <v>CRUCH Est.</v>
          </cell>
          <cell r="F40">
            <v>98.272727272727252</v>
          </cell>
          <cell r="G40">
            <v>82.545454545454447</v>
          </cell>
          <cell r="H40">
            <v>2.8181818181818183</v>
          </cell>
          <cell r="I40">
            <v>342.09090909090861</v>
          </cell>
          <cell r="J40">
            <v>0.5368057401009837</v>
          </cell>
        </row>
        <row r="41">
          <cell r="C41" t="str">
            <v>U. DEL BÍO-BÍO</v>
          </cell>
          <cell r="D41" t="str">
            <v>UBB</v>
          </cell>
          <cell r="E41" t="str">
            <v>CRUCH Est.</v>
          </cell>
          <cell r="F41">
            <v>205.04545454545453</v>
          </cell>
          <cell r="G41">
            <v>221.79545454545459</v>
          </cell>
          <cell r="H41">
            <v>0</v>
          </cell>
          <cell r="I41">
            <v>509.56818181818181</v>
          </cell>
          <cell r="J41">
            <v>0.83765220106150495</v>
          </cell>
        </row>
        <row r="42">
          <cell r="C42" t="str">
            <v>U. DE LA FRONTERA</v>
          </cell>
          <cell r="D42" t="str">
            <v>FRO</v>
          </cell>
          <cell r="E42" t="str">
            <v>CRUCH Est.</v>
          </cell>
          <cell r="F42">
            <v>181.11363636363637</v>
          </cell>
          <cell r="G42">
            <v>99.204545454545396</v>
          </cell>
          <cell r="H42">
            <v>11.363636363636362</v>
          </cell>
          <cell r="I42">
            <v>370.95454545454538</v>
          </cell>
          <cell r="J42">
            <v>0.78630069844381822</v>
          </cell>
        </row>
        <row r="43">
          <cell r="C43" t="str">
            <v>U. DE MAGALLANES</v>
          </cell>
          <cell r="D43" t="str">
            <v>MAG</v>
          </cell>
          <cell r="E43" t="str">
            <v>CRUCH Est.</v>
          </cell>
          <cell r="F43">
            <v>56.11363636363636</v>
          </cell>
          <cell r="G43">
            <v>62.340909090909051</v>
          </cell>
          <cell r="H43">
            <v>0.75</v>
          </cell>
          <cell r="I43">
            <v>269.36363636363654</v>
          </cell>
          <cell r="J43">
            <v>0.44254134323320915</v>
          </cell>
        </row>
        <row r="44">
          <cell r="C44" t="str">
            <v>U. DE TALCA</v>
          </cell>
          <cell r="D44" t="str">
            <v>TAL</v>
          </cell>
          <cell r="E44" t="str">
            <v>CRUCH Est.</v>
          </cell>
          <cell r="F44">
            <v>209.68181818181824</v>
          </cell>
          <cell r="G44">
            <v>185.95454545454555</v>
          </cell>
          <cell r="H44">
            <v>14.84090909090909</v>
          </cell>
          <cell r="I44">
            <v>427.72727272727286</v>
          </cell>
          <cell r="J44">
            <v>0.95967056323060573</v>
          </cell>
        </row>
        <row r="45">
          <cell r="C45" t="str">
            <v>U. DE ATACAMA</v>
          </cell>
          <cell r="D45" t="str">
            <v>ATA</v>
          </cell>
          <cell r="E45" t="str">
            <v>CRUCH Est.</v>
          </cell>
          <cell r="F45">
            <v>40.5</v>
          </cell>
          <cell r="G45">
            <v>41.295454545454554</v>
          </cell>
          <cell r="H45">
            <v>0</v>
          </cell>
          <cell r="I45">
            <v>247.93181818181804</v>
          </cell>
          <cell r="J45">
            <v>0.32991108259235519</v>
          </cell>
        </row>
        <row r="46">
          <cell r="C46" t="str">
            <v>U. DE TARAPACÁ</v>
          </cell>
          <cell r="D46" t="str">
            <v>UTA</v>
          </cell>
          <cell r="E46" t="str">
            <v>CRUCH Est.</v>
          </cell>
          <cell r="F46">
            <v>112.5</v>
          </cell>
          <cell r="G46">
            <v>182.20454545454552</v>
          </cell>
          <cell r="H46">
            <v>0.56818181818181812</v>
          </cell>
          <cell r="I46">
            <v>358.79545454545456</v>
          </cell>
          <cell r="J46">
            <v>0.82295559637676574</v>
          </cell>
        </row>
        <row r="47">
          <cell r="C47" t="str">
            <v>U. ARTURO PRAT</v>
          </cell>
          <cell r="D47" t="str">
            <v>UAP</v>
          </cell>
          <cell r="E47" t="str">
            <v>CRUCH Est.</v>
          </cell>
          <cell r="F47">
            <v>56.454545454545453</v>
          </cell>
          <cell r="G47">
            <v>144.18931818181829</v>
          </cell>
          <cell r="H47">
            <v>0</v>
          </cell>
          <cell r="I47">
            <v>378.36181818181802</v>
          </cell>
          <cell r="J47">
            <v>0.53029627725265427</v>
          </cell>
        </row>
        <row r="48">
          <cell r="C48" t="str">
            <v>U. METROPOLITANA DE CS. DE LA ED.</v>
          </cell>
          <cell r="D48" t="str">
            <v>UMC</v>
          </cell>
          <cell r="E48" t="str">
            <v>CRUCH Est.</v>
          </cell>
          <cell r="F48">
            <v>64.272727272727266</v>
          </cell>
          <cell r="G48">
            <v>142.86363636363637</v>
          </cell>
          <cell r="H48">
            <v>0.13636363636363635</v>
          </cell>
          <cell r="I48">
            <v>323.43181818181807</v>
          </cell>
          <cell r="J48">
            <v>0.6408544726301737</v>
          </cell>
        </row>
        <row r="49">
          <cell r="C49" t="str">
            <v>U. DE PLAYA ANCHA DE CS. DE LA ED.</v>
          </cell>
          <cell r="D49" t="str">
            <v>UPA</v>
          </cell>
          <cell r="E49" t="str">
            <v>CRUCH Est.</v>
          </cell>
          <cell r="F49">
            <v>98.884090909090787</v>
          </cell>
          <cell r="G49">
            <v>196.81818181818213</v>
          </cell>
          <cell r="H49">
            <v>0.40909090909090906</v>
          </cell>
          <cell r="I49">
            <v>391.1431818181818</v>
          </cell>
          <cell r="J49">
            <v>0.75704084182146791</v>
          </cell>
        </row>
        <row r="50">
          <cell r="C50" t="str">
            <v>U. DE LOS LAGOS</v>
          </cell>
          <cell r="D50" t="str">
            <v>ULA</v>
          </cell>
          <cell r="E50" t="str">
            <v>CRUCH Est.</v>
          </cell>
          <cell r="F50">
            <v>69.545454545454547</v>
          </cell>
          <cell r="G50">
            <v>141.14772727272737</v>
          </cell>
          <cell r="H50">
            <v>0</v>
          </cell>
          <cell r="I50">
            <v>365.53863636363604</v>
          </cell>
          <cell r="J50">
            <v>0.57639100455740988</v>
          </cell>
        </row>
        <row r="51">
          <cell r="C51" t="str">
            <v>U. TECNOLÓGICA METROPOLITANA</v>
          </cell>
          <cell r="D51" t="str">
            <v>UTM</v>
          </cell>
          <cell r="E51" t="str">
            <v>CRUCH Est.</v>
          </cell>
          <cell r="F51">
            <v>57.159090909090878</v>
          </cell>
          <cell r="G51">
            <v>127.18181818181819</v>
          </cell>
          <cell r="H51">
            <v>0</v>
          </cell>
          <cell r="I51">
            <v>302.34090909090895</v>
          </cell>
          <cell r="J51">
            <v>0.60971209501616197</v>
          </cell>
        </row>
        <row r="52">
          <cell r="C52" t="str">
            <v>P. U. C. DE CHILE</v>
          </cell>
          <cell r="D52" t="str">
            <v>PUC</v>
          </cell>
          <cell r="E52" t="str">
            <v>CRUCH Priv.</v>
          </cell>
          <cell r="F52">
            <v>942.86363636363592</v>
          </cell>
          <cell r="G52">
            <v>471.91590909090894</v>
          </cell>
          <cell r="H52">
            <v>386.15909090909076</v>
          </cell>
          <cell r="I52">
            <v>2081.8409090909081</v>
          </cell>
          <cell r="J52">
            <v>0.86507025032477813</v>
          </cell>
        </row>
        <row r="53">
          <cell r="C53" t="str">
            <v>U. DE CONCEPCIÓN</v>
          </cell>
          <cell r="D53" t="str">
            <v>UCO</v>
          </cell>
          <cell r="E53" t="str">
            <v>CRUCH Priv.</v>
          </cell>
          <cell r="F53">
            <v>685.4318181818179</v>
          </cell>
          <cell r="G53">
            <v>389.20454545454527</v>
          </cell>
          <cell r="H53">
            <v>115.11363636363636</v>
          </cell>
          <cell r="I53">
            <v>1397.8409090909086</v>
          </cell>
          <cell r="J53">
            <v>0.85113405414193954</v>
          </cell>
        </row>
        <row r="54">
          <cell r="C54" t="str">
            <v>U. TÉCNICA FEDERICO STA. MARÍA</v>
          </cell>
          <cell r="D54" t="str">
            <v>FSM</v>
          </cell>
          <cell r="E54" t="str">
            <v>CRUCH Priv.</v>
          </cell>
          <cell r="F54">
            <v>230.84227272727284</v>
          </cell>
          <cell r="G54">
            <v>167.9997727272727</v>
          </cell>
          <cell r="H54">
            <v>0</v>
          </cell>
          <cell r="I54">
            <v>635.52568181818174</v>
          </cell>
          <cell r="J54">
            <v>0.62757817168535879</v>
          </cell>
        </row>
        <row r="55">
          <cell r="C55" t="str">
            <v>P. U. C. DE VALPARAISO</v>
          </cell>
          <cell r="D55" t="str">
            <v>UCV</v>
          </cell>
          <cell r="E55" t="str">
            <v>CRUCH Priv.</v>
          </cell>
          <cell r="F55">
            <v>343.44886363636357</v>
          </cell>
          <cell r="G55">
            <v>154.81249999999986</v>
          </cell>
          <cell r="H55">
            <v>0.95454545454545459</v>
          </cell>
          <cell r="I55">
            <v>647.05113636363581</v>
          </cell>
          <cell r="J55">
            <v>0.77152466170827472</v>
          </cell>
        </row>
        <row r="56">
          <cell r="C56" t="str">
            <v>U. AUSTRAL DE CHILE</v>
          </cell>
          <cell r="D56" t="str">
            <v>AUS</v>
          </cell>
          <cell r="E56" t="str">
            <v>CRUCH Priv.</v>
          </cell>
          <cell r="F56">
            <v>354.13636363636368</v>
          </cell>
          <cell r="G56">
            <v>218.40909090909111</v>
          </cell>
          <cell r="H56">
            <v>64.409090909090935</v>
          </cell>
          <cell r="I56">
            <v>934.90909090909156</v>
          </cell>
          <cell r="J56">
            <v>0.68130105017502895</v>
          </cell>
        </row>
        <row r="57">
          <cell r="C57" t="str">
            <v>U. C. DEL NORTE</v>
          </cell>
          <cell r="D57" t="str">
            <v>UCN</v>
          </cell>
          <cell r="E57" t="str">
            <v>CRUCH Priv.</v>
          </cell>
          <cell r="F57">
            <v>197.59318181818185</v>
          </cell>
          <cell r="G57">
            <v>157.10681818181826</v>
          </cell>
          <cell r="H57">
            <v>20.5</v>
          </cell>
          <cell r="I57">
            <v>553.11363636363626</v>
          </cell>
          <cell r="J57">
            <v>0.67834161975592755</v>
          </cell>
        </row>
        <row r="58">
          <cell r="C58" t="str">
            <v>U. C. DEL MAULE</v>
          </cell>
          <cell r="D58" t="str">
            <v>UCM</v>
          </cell>
          <cell r="E58" t="str">
            <v>CRUCH Priv.</v>
          </cell>
          <cell r="F58">
            <v>109.24999999999999</v>
          </cell>
          <cell r="G58">
            <v>150.75000000000009</v>
          </cell>
          <cell r="H58">
            <v>31.363636363636367</v>
          </cell>
          <cell r="I58">
            <v>378.59090909090918</v>
          </cell>
          <cell r="J58">
            <v>0.76960019209989194</v>
          </cell>
        </row>
        <row r="59">
          <cell r="C59" t="str">
            <v>U. C. DE LA STMA. CONCEPCIÓN</v>
          </cell>
          <cell r="D59" t="str">
            <v>USC</v>
          </cell>
          <cell r="E59" t="str">
            <v>CRUCH Priv.</v>
          </cell>
          <cell r="F59">
            <v>117.6818181818182</v>
          </cell>
          <cell r="G59">
            <v>154.3181818181819</v>
          </cell>
          <cell r="H59">
            <v>24.886363636363637</v>
          </cell>
          <cell r="I59">
            <v>446.2045454545451</v>
          </cell>
          <cell r="J59">
            <v>0.66535934396169794</v>
          </cell>
        </row>
        <row r="60">
          <cell r="C60" t="str">
            <v>U. C. DE TEMUCO</v>
          </cell>
          <cell r="D60" t="str">
            <v>UCT</v>
          </cell>
          <cell r="E60" t="str">
            <v>CRUCH Priv.</v>
          </cell>
          <cell r="F60">
            <v>121.20522727272726</v>
          </cell>
          <cell r="G60">
            <v>165.03295454545449</v>
          </cell>
          <cell r="H60">
            <v>0.13636363636363635</v>
          </cell>
          <cell r="I60">
            <v>429.141818181818</v>
          </cell>
          <cell r="J60">
            <v>0.66731913162845091</v>
          </cell>
        </row>
        <row r="61">
          <cell r="C61" t="str">
            <v>U. CHILENO BRITÁNICA DE CULTURA</v>
          </cell>
          <cell r="D61" t="e">
            <v>#N/A</v>
          </cell>
          <cell r="E61" t="str">
            <v>U. Privada</v>
          </cell>
          <cell r="F61">
            <v>1.4545454545454546</v>
          </cell>
          <cell r="G61">
            <v>11.159090909090908</v>
          </cell>
          <cell r="H61">
            <v>0</v>
          </cell>
          <cell r="I61">
            <v>18.204545454545453</v>
          </cell>
          <cell r="J61">
            <v>0.69288389513108617</v>
          </cell>
        </row>
        <row r="62">
          <cell r="C62" t="str">
            <v>U. LA ARAUCANA</v>
          </cell>
          <cell r="D62" t="e">
            <v>#N/A</v>
          </cell>
          <cell r="E62" t="str">
            <v>U. Privada</v>
          </cell>
          <cell r="F62">
            <v>0.47727272727272724</v>
          </cell>
          <cell r="G62">
            <v>8.5</v>
          </cell>
          <cell r="H62">
            <v>0</v>
          </cell>
          <cell r="I62">
            <v>10.75</v>
          </cell>
          <cell r="J62">
            <v>0.83509513742071872</v>
          </cell>
        </row>
      </sheetData>
      <sheetData sheetId="4">
        <row r="3">
          <cell r="C3" t="str">
            <v>U. GABRIELA MISTRAL</v>
          </cell>
        </row>
      </sheetData>
      <sheetData sheetId="5">
        <row r="8">
          <cell r="E8" t="str">
            <v>P. U. C. DE CHILE</v>
          </cell>
          <cell r="F8" t="str">
            <v>PUC</v>
          </cell>
          <cell r="G8" t="str">
            <v>CRUCH Priv.</v>
          </cell>
          <cell r="H8">
            <v>0.20474837662337661</v>
          </cell>
          <cell r="I8">
            <v>0.24707462113945905</v>
          </cell>
          <cell r="J8">
            <v>0.25753792971000578</v>
          </cell>
          <cell r="K8">
            <v>0.23735555976510703</v>
          </cell>
          <cell r="L8">
            <v>4928</v>
          </cell>
          <cell r="M8">
            <v>5213</v>
          </cell>
          <cell r="N8">
            <v>5207</v>
          </cell>
          <cell r="O8">
            <v>5279</v>
          </cell>
          <cell r="P8">
            <v>1009</v>
          </cell>
          <cell r="Q8">
            <v>1288</v>
          </cell>
          <cell r="R8">
            <v>1341</v>
          </cell>
          <cell r="S8">
            <v>1253</v>
          </cell>
        </row>
        <row r="9">
          <cell r="E9" t="str">
            <v>P. U. C. DE VALPARAISO</v>
          </cell>
          <cell r="F9" t="str">
            <v>UCV</v>
          </cell>
          <cell r="G9" t="str">
            <v>CRUCH Priv.</v>
          </cell>
          <cell r="H9">
            <v>0.55459098497495829</v>
          </cell>
          <cell r="I9">
            <v>0.58203368683718026</v>
          </cell>
          <cell r="J9">
            <v>0.5748987854251012</v>
          </cell>
          <cell r="K9">
            <v>0.57042896257986009</v>
          </cell>
          <cell r="L9">
            <v>2995</v>
          </cell>
          <cell r="M9">
            <v>3206</v>
          </cell>
          <cell r="N9">
            <v>3211</v>
          </cell>
          <cell r="O9">
            <v>3287</v>
          </cell>
          <cell r="P9">
            <v>1661</v>
          </cell>
          <cell r="Q9">
            <v>1866</v>
          </cell>
          <cell r="R9">
            <v>1846</v>
          </cell>
          <cell r="S9">
            <v>1875</v>
          </cell>
        </row>
        <row r="10">
          <cell r="E10" t="str">
            <v>U. ARTURO PRAT</v>
          </cell>
          <cell r="F10" t="str">
            <v>UAP</v>
          </cell>
          <cell r="G10" t="str">
            <v>CRUCH Est.</v>
          </cell>
          <cell r="H10">
            <v>0.52252252252252251</v>
          </cell>
          <cell r="I10">
            <v>0.57024793388429751</v>
          </cell>
          <cell r="J10">
            <v>0.63697967086156826</v>
          </cell>
          <cell r="K10">
            <v>0.64012738853503182</v>
          </cell>
          <cell r="L10">
            <v>999</v>
          </cell>
          <cell r="M10">
            <v>968</v>
          </cell>
          <cell r="N10">
            <v>1033</v>
          </cell>
          <cell r="O10">
            <v>942</v>
          </cell>
          <cell r="P10">
            <v>522</v>
          </cell>
          <cell r="Q10">
            <v>552</v>
          </cell>
          <cell r="R10">
            <v>658</v>
          </cell>
          <cell r="S10">
            <v>603</v>
          </cell>
        </row>
        <row r="11">
          <cell r="E11" t="str">
            <v>U. AUSTRAL DE CHILE</v>
          </cell>
          <cell r="F11" t="str">
            <v>AUS</v>
          </cell>
          <cell r="G11" t="str">
            <v>CRUCH Priv.</v>
          </cell>
          <cell r="H11">
            <v>0.62584175084175087</v>
          </cell>
          <cell r="I11">
            <v>0.63309885227693452</v>
          </cell>
          <cell r="J11">
            <v>0.64667393675027263</v>
          </cell>
          <cell r="K11">
            <v>0.61967994552264216</v>
          </cell>
          <cell r="L11">
            <v>2376</v>
          </cell>
          <cell r="M11">
            <v>2701</v>
          </cell>
          <cell r="N11">
            <v>2751</v>
          </cell>
          <cell r="O11">
            <v>2937</v>
          </cell>
          <cell r="P11">
            <v>1487</v>
          </cell>
          <cell r="Q11">
            <v>1710</v>
          </cell>
          <cell r="R11">
            <v>1779</v>
          </cell>
          <cell r="S11">
            <v>1820</v>
          </cell>
        </row>
        <row r="12">
          <cell r="E12" t="str">
            <v>U. C. DE LA STMA. CONCEPCIÓN</v>
          </cell>
          <cell r="F12" t="str">
            <v>USC</v>
          </cell>
          <cell r="G12" t="str">
            <v>CRUCH Priv.</v>
          </cell>
          <cell r="H12">
            <v>0.75</v>
          </cell>
          <cell r="I12">
            <v>0.79628400796284005</v>
          </cell>
          <cell r="J12">
            <v>0.83381924198250734</v>
          </cell>
          <cell r="K12">
            <v>0.77976523197316938</v>
          </cell>
          <cell r="L12">
            <v>1876</v>
          </cell>
          <cell r="M12">
            <v>1507</v>
          </cell>
          <cell r="N12">
            <v>1715</v>
          </cell>
          <cell r="O12">
            <v>1789</v>
          </cell>
          <cell r="P12">
            <v>1407</v>
          </cell>
          <cell r="Q12">
            <v>1200</v>
          </cell>
          <cell r="R12">
            <v>1430</v>
          </cell>
          <cell r="S12">
            <v>1395</v>
          </cell>
        </row>
        <row r="13">
          <cell r="E13" t="str">
            <v>U. C. DE TEMUCO</v>
          </cell>
          <cell r="F13" t="str">
            <v>UCT</v>
          </cell>
          <cell r="G13" t="str">
            <v>CRUCH Priv.</v>
          </cell>
          <cell r="H13">
            <v>0.76699029126213591</v>
          </cell>
          <cell r="I13">
            <v>0.79551667577911422</v>
          </cell>
          <cell r="J13">
            <v>0.80553918680023573</v>
          </cell>
          <cell r="K13">
            <v>0.7954309449636553</v>
          </cell>
          <cell r="L13">
            <v>1648</v>
          </cell>
          <cell r="M13">
            <v>1829</v>
          </cell>
          <cell r="N13">
            <v>1697</v>
          </cell>
          <cell r="O13">
            <v>1926</v>
          </cell>
          <cell r="P13">
            <v>1264</v>
          </cell>
          <cell r="Q13">
            <v>1455</v>
          </cell>
          <cell r="R13">
            <v>1367</v>
          </cell>
          <cell r="S13">
            <v>1532</v>
          </cell>
        </row>
        <row r="14">
          <cell r="E14" t="str">
            <v>U. C. DEL MAULE</v>
          </cell>
          <cell r="F14" t="str">
            <v>UCM</v>
          </cell>
          <cell r="G14" t="str">
            <v>CRUCH Priv.</v>
          </cell>
          <cell r="H14">
            <v>0.75</v>
          </cell>
          <cell r="I14">
            <v>0.765474552957359</v>
          </cell>
          <cell r="J14">
            <v>0.79557195571955719</v>
          </cell>
          <cell r="K14">
            <v>0.77298444130127297</v>
          </cell>
          <cell r="L14">
            <v>1308</v>
          </cell>
          <cell r="M14">
            <v>1454</v>
          </cell>
          <cell r="N14">
            <v>1355</v>
          </cell>
          <cell r="O14">
            <v>1414</v>
          </cell>
          <cell r="P14">
            <v>981</v>
          </cell>
          <cell r="Q14">
            <v>1113</v>
          </cell>
          <cell r="R14">
            <v>1078</v>
          </cell>
          <cell r="S14">
            <v>1093</v>
          </cell>
        </row>
        <row r="15">
          <cell r="E15" t="str">
            <v>U. C. DEL NORTE</v>
          </cell>
          <cell r="F15" t="str">
            <v>UCN</v>
          </cell>
          <cell r="G15" t="str">
            <v>CRUCH Priv.</v>
          </cell>
          <cell r="H15">
            <v>0.43885714285714283</v>
          </cell>
          <cell r="I15">
            <v>0.45280082987551867</v>
          </cell>
          <cell r="J15">
            <v>0.4891015417331207</v>
          </cell>
          <cell r="K15">
            <v>0.46512820512820513</v>
          </cell>
          <cell r="L15">
            <v>1750</v>
          </cell>
          <cell r="M15">
            <v>1928</v>
          </cell>
          <cell r="N15">
            <v>1881</v>
          </cell>
          <cell r="O15">
            <v>1950</v>
          </cell>
          <cell r="P15">
            <v>768</v>
          </cell>
          <cell r="Q15">
            <v>873</v>
          </cell>
          <cell r="R15">
            <v>920</v>
          </cell>
          <cell r="S15">
            <v>907</v>
          </cell>
        </row>
        <row r="16">
          <cell r="E16" t="str">
            <v>U. DE ANTOFAGASTA</v>
          </cell>
          <cell r="F16" t="str">
            <v>ANT</v>
          </cell>
          <cell r="G16" t="str">
            <v>CRUCH Est.</v>
          </cell>
          <cell r="H16">
            <v>0.37237237237237236</v>
          </cell>
          <cell r="I16">
            <v>0.41467889908256883</v>
          </cell>
          <cell r="J16">
            <v>0.42173913043478262</v>
          </cell>
          <cell r="K16">
            <v>0.38935810810810811</v>
          </cell>
          <cell r="L16">
            <v>999</v>
          </cell>
          <cell r="M16">
            <v>1090</v>
          </cell>
          <cell r="N16">
            <v>1150</v>
          </cell>
          <cell r="O16">
            <v>1184</v>
          </cell>
          <cell r="P16">
            <v>372</v>
          </cell>
          <cell r="Q16">
            <v>452</v>
          </cell>
          <cell r="R16">
            <v>485</v>
          </cell>
          <cell r="S16">
            <v>461</v>
          </cell>
        </row>
        <row r="17">
          <cell r="E17" t="str">
            <v>U. DE ATACAMA</v>
          </cell>
          <cell r="F17" t="str">
            <v>ATA</v>
          </cell>
          <cell r="G17" t="str">
            <v>CRUCH Est.</v>
          </cell>
          <cell r="H17">
            <v>0.56559766763848396</v>
          </cell>
          <cell r="I17">
            <v>0.54754754754754753</v>
          </cell>
          <cell r="J17">
            <v>0.56735496558505405</v>
          </cell>
          <cell r="K17">
            <v>0.56243854473942967</v>
          </cell>
          <cell r="L17">
            <v>686</v>
          </cell>
          <cell r="M17">
            <v>999</v>
          </cell>
          <cell r="N17">
            <v>1017</v>
          </cell>
          <cell r="O17">
            <v>1017</v>
          </cell>
          <cell r="P17">
            <v>388</v>
          </cell>
          <cell r="Q17">
            <v>547</v>
          </cell>
          <cell r="R17">
            <v>577</v>
          </cell>
          <cell r="S17">
            <v>572</v>
          </cell>
        </row>
        <row r="18">
          <cell r="E18" t="str">
            <v>U. DE CHILE</v>
          </cell>
          <cell r="F18" t="str">
            <v>UCH</v>
          </cell>
          <cell r="G18" t="str">
            <v>CRUCH Est.</v>
          </cell>
          <cell r="H18">
            <v>0.41156530408773678</v>
          </cell>
          <cell r="I18">
            <v>0.44507683551508254</v>
          </cell>
          <cell r="J18">
            <v>0.45997140814867765</v>
          </cell>
          <cell r="K18">
            <v>0.45439659407237598</v>
          </cell>
          <cell r="L18">
            <v>5015</v>
          </cell>
          <cell r="M18">
            <v>5271</v>
          </cell>
          <cell r="N18">
            <v>5596</v>
          </cell>
          <cell r="O18">
            <v>6107</v>
          </cell>
          <cell r="P18">
            <v>2064</v>
          </cell>
          <cell r="Q18">
            <v>2346</v>
          </cell>
          <cell r="R18">
            <v>2574</v>
          </cell>
          <cell r="S18">
            <v>2775</v>
          </cell>
        </row>
        <row r="19">
          <cell r="E19" t="str">
            <v>U. DE CONCEPCIÓN</v>
          </cell>
          <cell r="F19" t="str">
            <v>UCO</v>
          </cell>
          <cell r="G19" t="str">
            <v>CRUCH Priv.</v>
          </cell>
          <cell r="H19">
            <v>0.68837209302325586</v>
          </cell>
          <cell r="I19">
            <v>0.6852334201562813</v>
          </cell>
          <cell r="J19">
            <v>0.70620748299319724</v>
          </cell>
          <cell r="K19">
            <v>0.67432321575061527</v>
          </cell>
          <cell r="L19">
            <v>4730</v>
          </cell>
          <cell r="M19">
            <v>4991</v>
          </cell>
          <cell r="N19">
            <v>4704</v>
          </cell>
          <cell r="O19">
            <v>4876</v>
          </cell>
          <cell r="P19">
            <v>3256</v>
          </cell>
          <cell r="Q19">
            <v>3420</v>
          </cell>
          <cell r="R19">
            <v>3322</v>
          </cell>
          <cell r="S19">
            <v>3288</v>
          </cell>
        </row>
        <row r="20">
          <cell r="E20" t="str">
            <v>U. DE LA FRONTERA</v>
          </cell>
          <cell r="F20" t="str">
            <v>FRO</v>
          </cell>
          <cell r="G20" t="str">
            <v>CRUCH Est.</v>
          </cell>
          <cell r="H20">
            <v>0.66393022062596208</v>
          </cell>
          <cell r="I20">
            <v>0.67006629270780216</v>
          </cell>
          <cell r="J20">
            <v>0.73853452820242493</v>
          </cell>
          <cell r="K20">
            <v>0.70067372473532241</v>
          </cell>
          <cell r="L20">
            <v>1949</v>
          </cell>
          <cell r="M20">
            <v>1961</v>
          </cell>
          <cell r="N20">
            <v>1897</v>
          </cell>
          <cell r="O20">
            <v>2078</v>
          </cell>
          <cell r="P20">
            <v>1294</v>
          </cell>
          <cell r="Q20">
            <v>1314</v>
          </cell>
          <cell r="R20">
            <v>1401</v>
          </cell>
          <cell r="S20">
            <v>1456</v>
          </cell>
        </row>
        <row r="21">
          <cell r="E21" t="str">
            <v>U. DE LA SERENA</v>
          </cell>
          <cell r="F21" t="str">
            <v>ULS</v>
          </cell>
          <cell r="G21" t="str">
            <v>CRUCH Est.</v>
          </cell>
          <cell r="H21">
            <v>0.62411347517730498</v>
          </cell>
          <cell r="I21">
            <v>0.63164400494437578</v>
          </cell>
          <cell r="J21">
            <v>0.66666666666666663</v>
          </cell>
          <cell r="K21">
            <v>0.64916615194564542</v>
          </cell>
          <cell r="L21">
            <v>1551</v>
          </cell>
          <cell r="M21">
            <v>1618</v>
          </cell>
          <cell r="N21">
            <v>1548</v>
          </cell>
          <cell r="O21">
            <v>1619</v>
          </cell>
          <cell r="P21">
            <v>968</v>
          </cell>
          <cell r="Q21">
            <v>1022</v>
          </cell>
          <cell r="R21">
            <v>1032</v>
          </cell>
          <cell r="S21">
            <v>1051</v>
          </cell>
        </row>
        <row r="22">
          <cell r="E22" t="str">
            <v>U. DE LOS LAGOS</v>
          </cell>
          <cell r="F22" t="str">
            <v>ULA</v>
          </cell>
          <cell r="G22" t="str">
            <v>CRUCH Est.</v>
          </cell>
          <cell r="H22">
            <v>0.77881619937694702</v>
          </cell>
          <cell r="I22">
            <v>0.79407806191117092</v>
          </cell>
          <cell r="J22">
            <v>0.81355932203389836</v>
          </cell>
          <cell r="K22">
            <v>0.81936245572609212</v>
          </cell>
          <cell r="L22">
            <v>642</v>
          </cell>
          <cell r="M22">
            <v>743</v>
          </cell>
          <cell r="N22">
            <v>885</v>
          </cell>
          <cell r="O22">
            <v>847</v>
          </cell>
          <cell r="P22">
            <v>500</v>
          </cell>
          <cell r="Q22">
            <v>590</v>
          </cell>
          <cell r="R22">
            <v>720</v>
          </cell>
          <cell r="S22">
            <v>694</v>
          </cell>
        </row>
        <row r="23">
          <cell r="E23" t="str">
            <v>U. DE MAGALLANES</v>
          </cell>
          <cell r="F23" t="str">
            <v>MAG</v>
          </cell>
          <cell r="G23" t="str">
            <v>CRUCH Est.</v>
          </cell>
          <cell r="H23">
            <v>0.4375</v>
          </cell>
          <cell r="I23">
            <v>0.48929159802306427</v>
          </cell>
          <cell r="J23">
            <v>0.51520572450805013</v>
          </cell>
          <cell r="K23">
            <v>0.48652694610778441</v>
          </cell>
          <cell r="L23">
            <v>448</v>
          </cell>
          <cell r="M23">
            <v>607</v>
          </cell>
          <cell r="N23">
            <v>559</v>
          </cell>
          <cell r="O23">
            <v>668</v>
          </cell>
          <cell r="P23">
            <v>196</v>
          </cell>
          <cell r="Q23">
            <v>297</v>
          </cell>
          <cell r="R23">
            <v>288</v>
          </cell>
          <cell r="S23">
            <v>325</v>
          </cell>
        </row>
        <row r="24">
          <cell r="E24" t="str">
            <v>U. DE PLAYA ANCHA DE CS. DE LA ED.</v>
          </cell>
          <cell r="F24" t="str">
            <v>UPA</v>
          </cell>
          <cell r="G24" t="str">
            <v>CRUCH Est.</v>
          </cell>
          <cell r="H24">
            <v>0.73523421588594706</v>
          </cell>
          <cell r="I24">
            <v>0.75209497206703912</v>
          </cell>
          <cell r="J24">
            <v>0.74582172701949856</v>
          </cell>
          <cell r="K24">
            <v>0.71997690531177827</v>
          </cell>
          <cell r="L24">
            <v>1473</v>
          </cell>
          <cell r="M24">
            <v>1432</v>
          </cell>
          <cell r="N24">
            <v>1436</v>
          </cell>
          <cell r="O24">
            <v>1732</v>
          </cell>
          <cell r="P24">
            <v>1083</v>
          </cell>
          <cell r="Q24">
            <v>1077</v>
          </cell>
          <cell r="R24">
            <v>1071</v>
          </cell>
          <cell r="S24">
            <v>1247</v>
          </cell>
        </row>
        <row r="25">
          <cell r="E25" t="str">
            <v>U. DE SANTIAGO</v>
          </cell>
          <cell r="F25" t="str">
            <v>USA</v>
          </cell>
          <cell r="G25" t="str">
            <v>CRUCH Est.</v>
          </cell>
          <cell r="H25">
            <v>0.59645351961311122</v>
          </cell>
          <cell r="I25">
            <v>0.65202598206000617</v>
          </cell>
          <cell r="J25">
            <v>0.70588235294117652</v>
          </cell>
          <cell r="K25">
            <v>0.65954346770276828</v>
          </cell>
          <cell r="L25">
            <v>3722</v>
          </cell>
          <cell r="M25">
            <v>3233</v>
          </cell>
          <cell r="N25">
            <v>3791</v>
          </cell>
          <cell r="O25">
            <v>4118</v>
          </cell>
          <cell r="P25">
            <v>2220</v>
          </cell>
          <cell r="Q25">
            <v>2108</v>
          </cell>
          <cell r="R25">
            <v>2676</v>
          </cell>
          <cell r="S25">
            <v>2716</v>
          </cell>
        </row>
        <row r="26">
          <cell r="E26" t="str">
            <v>U. DE TALCA</v>
          </cell>
          <cell r="F26" t="str">
            <v>TAL</v>
          </cell>
          <cell r="G26" t="str">
            <v>CRUCH Est.</v>
          </cell>
          <cell r="H26">
            <v>0.71533258173618941</v>
          </cell>
          <cell r="I26">
            <v>0.73406694176983034</v>
          </cell>
          <cell r="J26">
            <v>0.73735632183908051</v>
          </cell>
          <cell r="K26">
            <v>0.70734341252699784</v>
          </cell>
          <cell r="L26">
            <v>1774</v>
          </cell>
          <cell r="M26">
            <v>2181</v>
          </cell>
          <cell r="N26">
            <v>1740</v>
          </cell>
          <cell r="O26">
            <v>1852</v>
          </cell>
          <cell r="P26">
            <v>1269</v>
          </cell>
          <cell r="Q26">
            <v>1601</v>
          </cell>
          <cell r="R26">
            <v>1283</v>
          </cell>
          <cell r="S26">
            <v>1310</v>
          </cell>
        </row>
        <row r="27">
          <cell r="E27" t="str">
            <v>U. DE TARAPACÁ</v>
          </cell>
          <cell r="F27" t="str">
            <v>UTA</v>
          </cell>
          <cell r="G27" t="str">
            <v>CRUCH Est.</v>
          </cell>
          <cell r="H27">
            <v>0.67118644067796607</v>
          </cell>
          <cell r="I27">
            <v>0.66928618205631962</v>
          </cell>
          <cell r="J27">
            <v>0.6847405112316034</v>
          </cell>
          <cell r="K27">
            <v>0.66709928617780667</v>
          </cell>
          <cell r="L27">
            <v>1475</v>
          </cell>
          <cell r="M27">
            <v>1527</v>
          </cell>
          <cell r="N27">
            <v>1291</v>
          </cell>
          <cell r="O27">
            <v>1541</v>
          </cell>
          <cell r="P27">
            <v>990</v>
          </cell>
          <cell r="Q27">
            <v>1022</v>
          </cell>
          <cell r="R27">
            <v>884</v>
          </cell>
          <cell r="S27">
            <v>1028</v>
          </cell>
        </row>
        <row r="28">
          <cell r="E28" t="str">
            <v>U. DE VALPARAÍSO</v>
          </cell>
          <cell r="F28" t="str">
            <v>UVA</v>
          </cell>
          <cell r="G28" t="str">
            <v>CRUCH Est.</v>
          </cell>
          <cell r="H28">
            <v>0.62751065124771754</v>
          </cell>
          <cell r="I28">
            <v>0.64366290643662905</v>
          </cell>
          <cell r="J28">
            <v>0.64736842105263159</v>
          </cell>
          <cell r="K28">
            <v>0.60130718954248363</v>
          </cell>
          <cell r="L28">
            <v>3286</v>
          </cell>
          <cell r="M28">
            <v>3014</v>
          </cell>
          <cell r="N28">
            <v>2850</v>
          </cell>
          <cell r="O28">
            <v>3060</v>
          </cell>
          <cell r="P28">
            <v>2062</v>
          </cell>
          <cell r="Q28">
            <v>1940</v>
          </cell>
          <cell r="R28">
            <v>1845</v>
          </cell>
          <cell r="S28">
            <v>1840</v>
          </cell>
        </row>
        <row r="29">
          <cell r="E29" t="str">
            <v>U. DEL BÍO-BÍO</v>
          </cell>
          <cell r="F29" t="str">
            <v>UBB</v>
          </cell>
          <cell r="G29" t="str">
            <v>CRUCH Est.</v>
          </cell>
          <cell r="H29">
            <v>0.79146919431279616</v>
          </cell>
          <cell r="I29">
            <v>0.82854617764030047</v>
          </cell>
          <cell r="J29">
            <v>0.84066193853427895</v>
          </cell>
          <cell r="K29">
            <v>0.79973935708079935</v>
          </cell>
          <cell r="L29">
            <v>2110</v>
          </cell>
          <cell r="M29">
            <v>2263</v>
          </cell>
          <cell r="N29">
            <v>2115</v>
          </cell>
          <cell r="O29">
            <v>2302</v>
          </cell>
          <cell r="P29">
            <v>1670</v>
          </cell>
          <cell r="Q29">
            <v>1875</v>
          </cell>
          <cell r="R29">
            <v>1778</v>
          </cell>
          <cell r="S29">
            <v>1841</v>
          </cell>
        </row>
        <row r="30">
          <cell r="E30" t="str">
            <v>U. METROPOLITANA DE CS. DE LA ED.</v>
          </cell>
          <cell r="F30" t="str">
            <v>UMC</v>
          </cell>
          <cell r="G30" t="str">
            <v>CRUCH Est.</v>
          </cell>
          <cell r="H30">
            <v>0.65916069600818838</v>
          </cell>
          <cell r="I30">
            <v>0.67375231053604434</v>
          </cell>
          <cell r="J30">
            <v>0.64559386973180077</v>
          </cell>
          <cell r="K30">
            <v>0.65847457627118644</v>
          </cell>
          <cell r="L30">
            <v>977</v>
          </cell>
          <cell r="M30">
            <v>1082</v>
          </cell>
          <cell r="N30">
            <v>1044</v>
          </cell>
          <cell r="O30">
            <v>1180</v>
          </cell>
          <cell r="P30">
            <v>644</v>
          </cell>
          <cell r="Q30">
            <v>729</v>
          </cell>
          <cell r="R30">
            <v>674</v>
          </cell>
          <cell r="S30">
            <v>777</v>
          </cell>
        </row>
        <row r="31">
          <cell r="E31" t="str">
            <v>U. TÉCNICA FEDERICO STA. MARÍA</v>
          </cell>
          <cell r="F31" t="str">
            <v>FSM</v>
          </cell>
          <cell r="G31" t="str">
            <v>CRUCH Priv.</v>
          </cell>
          <cell r="H31">
            <v>0.47096774193548385</v>
          </cell>
          <cell r="I31">
            <v>0.49862863411958308</v>
          </cell>
          <cell r="J31">
            <v>0.51072961373390557</v>
          </cell>
          <cell r="K31">
            <v>0.49270664505672607</v>
          </cell>
          <cell r="L31">
            <v>2170</v>
          </cell>
          <cell r="M31">
            <v>1823</v>
          </cell>
          <cell r="N31">
            <v>1864</v>
          </cell>
          <cell r="O31">
            <v>1851</v>
          </cell>
          <cell r="P31">
            <v>1022</v>
          </cell>
          <cell r="Q31">
            <v>909</v>
          </cell>
          <cell r="R31">
            <v>952</v>
          </cell>
          <cell r="S31">
            <v>912</v>
          </cell>
        </row>
        <row r="32">
          <cell r="E32" t="str">
            <v>U. TECNOLÓGICA METROPOLITANA</v>
          </cell>
          <cell r="F32" t="str">
            <v>UTM</v>
          </cell>
          <cell r="G32" t="str">
            <v>CRUCH Est.</v>
          </cell>
          <cell r="H32">
            <v>0.72512755102040816</v>
          </cell>
          <cell r="I32">
            <v>0.75057208237986273</v>
          </cell>
          <cell r="J32">
            <v>0.75785482123510295</v>
          </cell>
          <cell r="K32">
            <v>0.74829600778967864</v>
          </cell>
          <cell r="L32">
            <v>1568</v>
          </cell>
          <cell r="M32">
            <v>1748</v>
          </cell>
          <cell r="N32">
            <v>1846</v>
          </cell>
          <cell r="O32">
            <v>2054</v>
          </cell>
          <cell r="P32">
            <v>1137</v>
          </cell>
          <cell r="Q32">
            <v>1312</v>
          </cell>
          <cell r="R32">
            <v>1399</v>
          </cell>
          <cell r="S32">
            <v>1537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0.57637975407492137</v>
          </cell>
          <cell r="I33">
            <v>0.59971685451102241</v>
          </cell>
          <cell r="J33">
            <v>0.61606038794455831</v>
          </cell>
          <cell r="K33">
            <v>0.59552161083145283</v>
          </cell>
          <cell r="L33">
            <v>52455</v>
          </cell>
          <cell r="M33">
            <v>54389</v>
          </cell>
          <cell r="N33">
            <v>54183</v>
          </cell>
          <cell r="O33">
            <v>57610</v>
          </cell>
          <cell r="P33">
            <v>30234</v>
          </cell>
          <cell r="Q33">
            <v>32618</v>
          </cell>
          <cell r="R33">
            <v>33380</v>
          </cell>
          <cell r="S33">
            <v>34308</v>
          </cell>
        </row>
        <row r="34">
          <cell r="E34" t="str">
            <v>U. ACADEMIA HUMANISMO CRISTIANO</v>
          </cell>
          <cell r="F34" t="str">
            <v>AHC</v>
          </cell>
          <cell r="G34" t="str">
            <v>U. Privada</v>
          </cell>
          <cell r="H34">
            <v>0.60610687022900767</v>
          </cell>
          <cell r="I34">
            <v>0.59277504105090317</v>
          </cell>
          <cell r="J34">
            <v>0.57954545454545459</v>
          </cell>
          <cell r="K34">
            <v>0.53125</v>
          </cell>
          <cell r="L34">
            <v>655</v>
          </cell>
          <cell r="M34">
            <v>609</v>
          </cell>
          <cell r="N34">
            <v>616</v>
          </cell>
          <cell r="O34">
            <v>768</v>
          </cell>
          <cell r="P34">
            <v>397</v>
          </cell>
          <cell r="Q34">
            <v>361</v>
          </cell>
          <cell r="R34">
            <v>357</v>
          </cell>
          <cell r="S34">
            <v>408</v>
          </cell>
        </row>
        <row r="35">
          <cell r="E35" t="str">
            <v>U. ADOLFO IBAÑEZ</v>
          </cell>
          <cell r="F35" t="str">
            <v>UAI</v>
          </cell>
          <cell r="G35" t="str">
            <v>U. Privada</v>
          </cell>
          <cell r="H35">
            <v>7.758186397984887E-2</v>
          </cell>
          <cell r="I35">
            <v>0.11235059760956176</v>
          </cell>
          <cell r="J35">
            <v>0.11445279866332497</v>
          </cell>
          <cell r="K35">
            <v>0.1</v>
          </cell>
          <cell r="L35">
            <v>1985</v>
          </cell>
          <cell r="M35">
            <v>1255</v>
          </cell>
          <cell r="N35">
            <v>1197</v>
          </cell>
          <cell r="O35">
            <v>1220</v>
          </cell>
          <cell r="P35">
            <v>154</v>
          </cell>
          <cell r="Q35">
            <v>141</v>
          </cell>
          <cell r="R35">
            <v>137</v>
          </cell>
          <cell r="S35">
            <v>122</v>
          </cell>
        </row>
        <row r="36">
          <cell r="E36" t="str">
            <v>U. ADVENTISTA</v>
          </cell>
          <cell r="F36" t="str">
            <v>UAC</v>
          </cell>
          <cell r="G36" t="str">
            <v>U. Privada</v>
          </cell>
          <cell r="H36">
            <v>0.55631399317406138</v>
          </cell>
          <cell r="I36">
            <v>0.65957446808510634</v>
          </cell>
          <cell r="J36">
            <v>0.73421052631578942</v>
          </cell>
          <cell r="K36">
            <v>0.73087818696883855</v>
          </cell>
          <cell r="L36">
            <v>293</v>
          </cell>
          <cell r="M36">
            <v>376</v>
          </cell>
          <cell r="N36">
            <v>380</v>
          </cell>
          <cell r="O36">
            <v>353</v>
          </cell>
          <cell r="P36">
            <v>163</v>
          </cell>
          <cell r="Q36">
            <v>248</v>
          </cell>
          <cell r="R36">
            <v>279</v>
          </cell>
          <cell r="S36">
            <v>258</v>
          </cell>
        </row>
        <row r="37">
          <cell r="E37" t="str">
            <v>U. ALBERTO HURTADO</v>
          </cell>
          <cell r="F37" t="str">
            <v>UAH</v>
          </cell>
          <cell r="G37" t="str">
            <v>U. Privada</v>
          </cell>
          <cell r="H37">
            <v>0.52495697074010328</v>
          </cell>
          <cell r="I37">
            <v>0.54051863857374394</v>
          </cell>
          <cell r="J37">
            <v>0.54968454258675081</v>
          </cell>
          <cell r="K37">
            <v>0.5496598639455782</v>
          </cell>
          <cell r="L37">
            <v>1162</v>
          </cell>
          <cell r="M37">
            <v>1234</v>
          </cell>
          <cell r="N37">
            <v>1268</v>
          </cell>
          <cell r="O37">
            <v>1470</v>
          </cell>
          <cell r="P37">
            <v>610</v>
          </cell>
          <cell r="Q37">
            <v>667</v>
          </cell>
          <cell r="R37">
            <v>697</v>
          </cell>
          <cell r="S37">
            <v>808</v>
          </cell>
        </row>
        <row r="38">
          <cell r="E38" t="str">
            <v>U. ANDRÉS BELLO</v>
          </cell>
          <cell r="F38" t="str">
            <v>UAB</v>
          </cell>
          <cell r="G38" t="str">
            <v>U. Privada</v>
          </cell>
          <cell r="H38">
            <v>0.43491799875441145</v>
          </cell>
          <cell r="I38">
            <v>0.50858263854830799</v>
          </cell>
          <cell r="J38">
            <v>0.52253866465484722</v>
          </cell>
          <cell r="K38">
            <v>0.52252151559181848</v>
          </cell>
          <cell r="L38">
            <v>9634</v>
          </cell>
          <cell r="M38">
            <v>10195</v>
          </cell>
          <cell r="N38">
            <v>10604</v>
          </cell>
          <cell r="O38">
            <v>8947</v>
          </cell>
          <cell r="P38">
            <v>4190</v>
          </cell>
          <cell r="Q38">
            <v>5185</v>
          </cell>
          <cell r="R38">
            <v>5541</v>
          </cell>
          <cell r="S38">
            <v>4675</v>
          </cell>
        </row>
        <row r="39">
          <cell r="E39" t="str">
            <v>U. AUTÓNOMA DE CHILE</v>
          </cell>
          <cell r="F39" t="str">
            <v>UAU</v>
          </cell>
          <cell r="G39" t="str">
            <v>U. Privada</v>
          </cell>
          <cell r="H39">
            <v>0.70137795275590553</v>
          </cell>
          <cell r="I39">
            <v>0.71059954464963315</v>
          </cell>
          <cell r="J39">
            <v>0.69373988127361041</v>
          </cell>
          <cell r="K39">
            <v>0.66383701188455013</v>
          </cell>
          <cell r="L39">
            <v>5080</v>
          </cell>
          <cell r="M39">
            <v>3953</v>
          </cell>
          <cell r="N39">
            <v>3706</v>
          </cell>
          <cell r="O39">
            <v>4123</v>
          </cell>
          <cell r="P39">
            <v>3563</v>
          </cell>
          <cell r="Q39">
            <v>2809</v>
          </cell>
          <cell r="R39">
            <v>2571</v>
          </cell>
          <cell r="S39">
            <v>2737</v>
          </cell>
        </row>
        <row r="40">
          <cell r="E40" t="str">
            <v>U. BERNARDO O'HIGGINS</v>
          </cell>
          <cell r="F40" t="str">
            <v>UBO</v>
          </cell>
          <cell r="G40" t="str">
            <v>U. Privada</v>
          </cell>
          <cell r="H40">
            <v>0.53852596314907875</v>
          </cell>
          <cell r="I40">
            <v>0.37</v>
          </cell>
          <cell r="J40">
            <v>0.52112676056338025</v>
          </cell>
          <cell r="K40">
            <v>0.57673667205169632</v>
          </cell>
          <cell r="L40">
            <v>1194</v>
          </cell>
          <cell r="M40">
            <v>400</v>
          </cell>
          <cell r="N40">
            <v>1278</v>
          </cell>
          <cell r="O40">
            <v>1238</v>
          </cell>
          <cell r="P40">
            <v>643</v>
          </cell>
          <cell r="Q40">
            <v>148</v>
          </cell>
          <cell r="R40">
            <v>666</v>
          </cell>
          <cell r="S40">
            <v>714</v>
          </cell>
        </row>
        <row r="41">
          <cell r="E41" t="str">
            <v>U. BOLIVARIANA</v>
          </cell>
          <cell r="F41" t="str">
            <v>UBL</v>
          </cell>
          <cell r="G41" t="str">
            <v>U. Privada</v>
          </cell>
          <cell r="H41">
            <v>0.17765042979942694</v>
          </cell>
          <cell r="I41">
            <v>0.2058252427184466</v>
          </cell>
          <cell r="J41">
            <v>0.17391304347826086</v>
          </cell>
          <cell r="K41">
            <v>0.23798076923076922</v>
          </cell>
          <cell r="L41">
            <v>349</v>
          </cell>
          <cell r="M41">
            <v>1030</v>
          </cell>
          <cell r="N41">
            <v>460</v>
          </cell>
          <cell r="O41">
            <v>416</v>
          </cell>
          <cell r="P41">
            <v>62</v>
          </cell>
          <cell r="Q41">
            <v>212</v>
          </cell>
          <cell r="R41">
            <v>80</v>
          </cell>
          <cell r="S41">
            <v>99</v>
          </cell>
        </row>
        <row r="42">
          <cell r="E42" t="str">
            <v>U. C. SILVA HENRÍQUEZ</v>
          </cell>
          <cell r="F42" t="str">
            <v>UCS</v>
          </cell>
          <cell r="G42" t="str">
            <v>U. Privada</v>
          </cell>
          <cell r="H42">
            <v>0.44831223628691985</v>
          </cell>
          <cell r="I42">
            <v>0.55592105263157898</v>
          </cell>
          <cell r="J42">
            <v>0.54957507082152979</v>
          </cell>
          <cell r="K42">
            <v>0.58289241622574961</v>
          </cell>
          <cell r="L42">
            <v>948</v>
          </cell>
          <cell r="M42">
            <v>912</v>
          </cell>
          <cell r="N42">
            <v>1059</v>
          </cell>
          <cell r="O42">
            <v>1134</v>
          </cell>
          <cell r="P42">
            <v>425</v>
          </cell>
          <cell r="Q42">
            <v>507</v>
          </cell>
          <cell r="R42">
            <v>582</v>
          </cell>
          <cell r="S42">
            <v>661</v>
          </cell>
        </row>
        <row r="43">
          <cell r="E43" t="str">
            <v>U. CENTRAL</v>
          </cell>
          <cell r="F43" t="str">
            <v>UCE</v>
          </cell>
          <cell r="G43" t="str">
            <v>U. Privada</v>
          </cell>
          <cell r="H43">
            <v>0.54289166331051153</v>
          </cell>
          <cell r="I43">
            <v>0.5735115431348724</v>
          </cell>
          <cell r="J43">
            <v>0.59445337620578775</v>
          </cell>
          <cell r="K43">
            <v>0.53638344226579515</v>
          </cell>
          <cell r="L43">
            <v>2483</v>
          </cell>
          <cell r="M43">
            <v>2469</v>
          </cell>
          <cell r="N43">
            <v>2488</v>
          </cell>
          <cell r="O43">
            <v>2295</v>
          </cell>
          <cell r="P43">
            <v>1348</v>
          </cell>
          <cell r="Q43">
            <v>1416</v>
          </cell>
          <cell r="R43">
            <v>1479</v>
          </cell>
          <cell r="S43">
            <v>1231</v>
          </cell>
        </row>
        <row r="44">
          <cell r="E44" t="str">
            <v>U. CHILENO BRITÁNICA DE CULTURA</v>
          </cell>
          <cell r="F44" t="e">
            <v>#N/A</v>
          </cell>
          <cell r="G44" t="str">
            <v>U. Privada</v>
          </cell>
          <cell r="H44">
            <v>0.10752688172043011</v>
          </cell>
          <cell r="I44">
            <v>0.12380952380952381</v>
          </cell>
          <cell r="J44">
            <v>0.20143884892086331</v>
          </cell>
          <cell r="K44">
            <v>0.18939393939393939</v>
          </cell>
          <cell r="L44">
            <v>93</v>
          </cell>
          <cell r="M44">
            <v>105</v>
          </cell>
          <cell r="N44">
            <v>139</v>
          </cell>
          <cell r="O44">
            <v>132</v>
          </cell>
          <cell r="P44">
            <v>10</v>
          </cell>
          <cell r="Q44">
            <v>13</v>
          </cell>
          <cell r="R44">
            <v>28</v>
          </cell>
          <cell r="S44">
            <v>25</v>
          </cell>
        </row>
        <row r="45">
          <cell r="E45" t="str">
            <v>U. DE ACONCAGUA</v>
          </cell>
          <cell r="F45" t="e">
            <v>#N/A</v>
          </cell>
          <cell r="G45" t="str">
            <v>U. Privada</v>
          </cell>
          <cell r="H45">
            <v>0.18237082066869301</v>
          </cell>
          <cell r="I45">
            <v>0.18704379562043796</v>
          </cell>
          <cell r="J45">
            <v>0.25979680696661828</v>
          </cell>
          <cell r="K45">
            <v>0.30434782608695654</v>
          </cell>
          <cell r="L45">
            <v>1316</v>
          </cell>
          <cell r="M45">
            <v>1096</v>
          </cell>
          <cell r="N45">
            <v>689</v>
          </cell>
          <cell r="O45">
            <v>1081</v>
          </cell>
          <cell r="P45">
            <v>240</v>
          </cell>
          <cell r="Q45">
            <v>205</v>
          </cell>
          <cell r="R45">
            <v>179</v>
          </cell>
          <cell r="S45">
            <v>329</v>
          </cell>
        </row>
        <row r="46">
          <cell r="E46" t="str">
            <v>U. DE ARTES Y CS. SOCIALES ARCIS</v>
          </cell>
          <cell r="F46" t="str">
            <v>UAR</v>
          </cell>
          <cell r="G46" t="str">
            <v>U. Privada</v>
          </cell>
          <cell r="H46">
            <v>0.417940876656473</v>
          </cell>
          <cell r="I46">
            <v>0.46642246642246643</v>
          </cell>
          <cell r="J46">
            <v>0.4796854521625164</v>
          </cell>
          <cell r="K46">
            <v>0</v>
          </cell>
          <cell r="L46">
            <v>981</v>
          </cell>
          <cell r="M46">
            <v>819</v>
          </cell>
          <cell r="N46">
            <v>763</v>
          </cell>
          <cell r="O46">
            <v>0</v>
          </cell>
          <cell r="P46">
            <v>410</v>
          </cell>
          <cell r="Q46">
            <v>382</v>
          </cell>
          <cell r="R46">
            <v>366</v>
          </cell>
          <cell r="S46">
            <v>0</v>
          </cell>
        </row>
        <row r="47">
          <cell r="E47" t="str">
            <v>U. DE ARTES, CS. Y COMUNICACIÓN UNIACC</v>
          </cell>
          <cell r="F47" t="str">
            <v>UCC</v>
          </cell>
          <cell r="G47" t="str">
            <v>U. Privada</v>
          </cell>
          <cell r="H47">
            <v>0.11253196930946291</v>
          </cell>
          <cell r="I47">
            <v>0.14606741573033707</v>
          </cell>
          <cell r="J47">
            <v>0.20357142857142857</v>
          </cell>
          <cell r="K47">
            <v>0.22479564032697547</v>
          </cell>
          <cell r="L47">
            <v>782</v>
          </cell>
          <cell r="M47">
            <v>534</v>
          </cell>
          <cell r="N47">
            <v>560</v>
          </cell>
          <cell r="O47">
            <v>734</v>
          </cell>
          <cell r="P47">
            <v>88</v>
          </cell>
          <cell r="Q47">
            <v>78</v>
          </cell>
          <cell r="R47">
            <v>114</v>
          </cell>
          <cell r="S47">
            <v>165</v>
          </cell>
        </row>
        <row r="48">
          <cell r="E48" t="str">
            <v>U. DE LAS AMÉRICAS</v>
          </cell>
          <cell r="F48" t="str">
            <v>UAM</v>
          </cell>
          <cell r="G48" t="str">
            <v>U. Privada</v>
          </cell>
          <cell r="H48">
            <v>0.45065838141736941</v>
          </cell>
          <cell r="I48">
            <v>0.48454070201643018</v>
          </cell>
          <cell r="J48">
            <v>0.3836967808930426</v>
          </cell>
          <cell r="K48">
            <v>0.39352226720647776</v>
          </cell>
          <cell r="L48">
            <v>6759</v>
          </cell>
          <cell r="M48">
            <v>6695</v>
          </cell>
          <cell r="N48">
            <v>3852</v>
          </cell>
          <cell r="O48">
            <v>3705</v>
          </cell>
          <cell r="P48">
            <v>3046</v>
          </cell>
          <cell r="Q48">
            <v>3244</v>
          </cell>
          <cell r="R48">
            <v>1478</v>
          </cell>
          <cell r="S48">
            <v>1458</v>
          </cell>
        </row>
        <row r="49">
          <cell r="E49" t="str">
            <v>U. DE LOS ANDES</v>
          </cell>
          <cell r="F49" t="str">
            <v>UAN</v>
          </cell>
          <cell r="G49" t="str">
            <v>U. Privada</v>
          </cell>
          <cell r="H49">
            <v>0.10035419126328217</v>
          </cell>
          <cell r="I49">
            <v>9.9911582670203364E-2</v>
          </cell>
          <cell r="J49">
            <v>9.3648208469055375E-2</v>
          </cell>
          <cell r="K49">
            <v>9.5973154362416102E-2</v>
          </cell>
          <cell r="L49">
            <v>847</v>
          </cell>
          <cell r="M49">
            <v>1131</v>
          </cell>
          <cell r="N49">
            <v>1228</v>
          </cell>
          <cell r="O49">
            <v>1490</v>
          </cell>
          <cell r="P49">
            <v>85</v>
          </cell>
          <cell r="Q49">
            <v>113</v>
          </cell>
          <cell r="R49">
            <v>115</v>
          </cell>
          <cell r="S49">
            <v>143</v>
          </cell>
        </row>
        <row r="50">
          <cell r="E50" t="str">
            <v>U. DE VIÑA DEL MAR</v>
          </cell>
          <cell r="F50" t="str">
            <v>UVM</v>
          </cell>
          <cell r="G50" t="str">
            <v>U. Privada</v>
          </cell>
          <cell r="H50">
            <v>0.48609625668449197</v>
          </cell>
          <cell r="I50">
            <v>0.54300168634064083</v>
          </cell>
          <cell r="J50">
            <v>0.56441717791411039</v>
          </cell>
          <cell r="K50">
            <v>0.56050955414012738</v>
          </cell>
          <cell r="L50">
            <v>1870</v>
          </cell>
          <cell r="M50">
            <v>1186</v>
          </cell>
          <cell r="N50">
            <v>1956</v>
          </cell>
          <cell r="O50">
            <v>1884</v>
          </cell>
          <cell r="P50">
            <v>909</v>
          </cell>
          <cell r="Q50">
            <v>644</v>
          </cell>
          <cell r="R50">
            <v>1104</v>
          </cell>
          <cell r="S50">
            <v>1056</v>
          </cell>
        </row>
        <row r="51">
          <cell r="E51" t="str">
            <v>U. DEL DESARROLLO</v>
          </cell>
          <cell r="F51" t="str">
            <v>UDD</v>
          </cell>
          <cell r="G51" t="str">
            <v>U. Privada</v>
          </cell>
          <cell r="H51">
            <v>0.17700112739571588</v>
          </cell>
          <cell r="I51">
            <v>0.17885532591414943</v>
          </cell>
          <cell r="J51">
            <v>0.19187898089171976</v>
          </cell>
          <cell r="K51">
            <v>0.19924953095684803</v>
          </cell>
          <cell r="L51">
            <v>2661</v>
          </cell>
          <cell r="M51">
            <v>2516</v>
          </cell>
          <cell r="N51">
            <v>2512</v>
          </cell>
          <cell r="O51">
            <v>2665</v>
          </cell>
          <cell r="P51">
            <v>471</v>
          </cell>
          <cell r="Q51">
            <v>450</v>
          </cell>
          <cell r="R51">
            <v>482</v>
          </cell>
          <cell r="S51">
            <v>531</v>
          </cell>
        </row>
        <row r="52">
          <cell r="E52" t="str">
            <v>U. DEL MAR</v>
          </cell>
          <cell r="F52" t="str">
            <v>UDM</v>
          </cell>
          <cell r="G52" t="str">
            <v>U. Privada</v>
          </cell>
          <cell r="H52">
            <v>0.38678387390118218</v>
          </cell>
          <cell r="I52">
            <v>0</v>
          </cell>
          <cell r="J52">
            <v>0</v>
          </cell>
          <cell r="K52">
            <v>0</v>
          </cell>
          <cell r="L52">
            <v>3299</v>
          </cell>
          <cell r="M52">
            <v>0</v>
          </cell>
          <cell r="N52">
            <v>0</v>
          </cell>
          <cell r="O52">
            <v>0</v>
          </cell>
          <cell r="P52">
            <v>1276</v>
          </cell>
          <cell r="Q52">
            <v>0</v>
          </cell>
          <cell r="R52">
            <v>0</v>
          </cell>
          <cell r="S52">
            <v>0</v>
          </cell>
        </row>
        <row r="53">
          <cell r="E53" t="str">
            <v>U. DEL PACÍFICO</v>
          </cell>
          <cell r="F53" t="str">
            <v>UPO</v>
          </cell>
          <cell r="G53" t="str">
            <v>U. Privada</v>
          </cell>
          <cell r="H53">
            <v>0.35604395604395606</v>
          </cell>
          <cell r="I53">
            <v>0.36319018404907977</v>
          </cell>
          <cell r="J53">
            <v>0.36484687083888151</v>
          </cell>
          <cell r="K53">
            <v>0.30078125</v>
          </cell>
          <cell r="L53">
            <v>910</v>
          </cell>
          <cell r="M53">
            <v>815</v>
          </cell>
          <cell r="N53">
            <v>751</v>
          </cell>
          <cell r="O53">
            <v>512</v>
          </cell>
          <cell r="P53">
            <v>324</v>
          </cell>
          <cell r="Q53">
            <v>296</v>
          </cell>
          <cell r="R53">
            <v>274</v>
          </cell>
          <cell r="S53">
            <v>154</v>
          </cell>
        </row>
        <row r="54">
          <cell r="E54" t="str">
            <v>U. DIEGO PORTALES</v>
          </cell>
          <cell r="F54" t="str">
            <v>UDP</v>
          </cell>
          <cell r="G54" t="str">
            <v>U. Privada</v>
          </cell>
          <cell r="H54">
            <v>0.29138276553106213</v>
          </cell>
          <cell r="I54">
            <v>0.36324479540559945</v>
          </cell>
          <cell r="J54">
            <v>0.39039887045534771</v>
          </cell>
          <cell r="K54">
            <v>0.36712425202393523</v>
          </cell>
          <cell r="L54">
            <v>2495</v>
          </cell>
          <cell r="M54">
            <v>2786</v>
          </cell>
          <cell r="N54">
            <v>2833</v>
          </cell>
          <cell r="O54">
            <v>2841</v>
          </cell>
          <cell r="P54">
            <v>727</v>
          </cell>
          <cell r="Q54">
            <v>1012</v>
          </cell>
          <cell r="R54">
            <v>1106</v>
          </cell>
          <cell r="S54">
            <v>1043</v>
          </cell>
        </row>
        <row r="55">
          <cell r="E55" t="str">
            <v>U. FINIS TERRAE</v>
          </cell>
          <cell r="F55" t="str">
            <v>UFT</v>
          </cell>
          <cell r="G55" t="str">
            <v>U. Privada</v>
          </cell>
          <cell r="H55">
            <v>0.26178010471204188</v>
          </cell>
          <cell r="I55">
            <v>0.32300884955752213</v>
          </cell>
          <cell r="J55">
            <v>0.3080851063829787</v>
          </cell>
          <cell r="K55">
            <v>0.32340425531914896</v>
          </cell>
          <cell r="L55">
            <v>1146</v>
          </cell>
          <cell r="M55">
            <v>1130</v>
          </cell>
          <cell r="N55">
            <v>1175</v>
          </cell>
          <cell r="O55">
            <v>1410</v>
          </cell>
          <cell r="P55">
            <v>300</v>
          </cell>
          <cell r="Q55">
            <v>365</v>
          </cell>
          <cell r="R55">
            <v>362</v>
          </cell>
          <cell r="S55">
            <v>456</v>
          </cell>
        </row>
        <row r="56">
          <cell r="E56" t="str">
            <v>U. GABRIELA MISTRAL</v>
          </cell>
          <cell r="F56" t="str">
            <v>UGM</v>
          </cell>
          <cell r="G56" t="str">
            <v>U. Privada</v>
          </cell>
          <cell r="H56">
            <v>0</v>
          </cell>
          <cell r="I56">
            <v>0.20512820512820512</v>
          </cell>
          <cell r="J56">
            <v>0.21052631578947367</v>
          </cell>
          <cell r="K56">
            <v>7.3170731707317069E-2</v>
          </cell>
          <cell r="L56">
            <v>0</v>
          </cell>
          <cell r="M56">
            <v>195</v>
          </cell>
          <cell r="N56">
            <v>114</v>
          </cell>
          <cell r="O56">
            <v>41</v>
          </cell>
          <cell r="P56">
            <v>0</v>
          </cell>
          <cell r="Q56">
            <v>40</v>
          </cell>
          <cell r="R56">
            <v>24</v>
          </cell>
          <cell r="S56">
            <v>3</v>
          </cell>
        </row>
        <row r="57">
          <cell r="E57" t="str">
            <v>U. IBEROAMERICANA DE CS. Y TECNOLOGÍA UNICYT</v>
          </cell>
          <cell r="F57" t="str">
            <v>UIB</v>
          </cell>
          <cell r="G57" t="str">
            <v>U. Privada</v>
          </cell>
          <cell r="H57">
            <v>0.55159474671669795</v>
          </cell>
          <cell r="I57">
            <v>0.58664546899841019</v>
          </cell>
          <cell r="J57">
            <v>0.38738738738738737</v>
          </cell>
          <cell r="K57">
            <v>0.39884393063583817</v>
          </cell>
          <cell r="L57">
            <v>533</v>
          </cell>
          <cell r="M57">
            <v>629</v>
          </cell>
          <cell r="N57">
            <v>333</v>
          </cell>
          <cell r="O57">
            <v>346</v>
          </cell>
          <cell r="P57">
            <v>294</v>
          </cell>
          <cell r="Q57">
            <v>369</v>
          </cell>
          <cell r="R57">
            <v>129</v>
          </cell>
          <cell r="S57">
            <v>138</v>
          </cell>
        </row>
        <row r="58">
          <cell r="E58" t="str">
            <v>U. LA ARAUCANA</v>
          </cell>
          <cell r="F58" t="e">
            <v>#N/A</v>
          </cell>
          <cell r="G58" t="str">
            <v>U. Privada</v>
          </cell>
          <cell r="H58">
            <v>0.20618556701030927</v>
          </cell>
          <cell r="I58">
            <v>0.13223140495867769</v>
          </cell>
          <cell r="J58">
            <v>0.28455284552845528</v>
          </cell>
          <cell r="K58">
            <v>0.20346320346320346</v>
          </cell>
          <cell r="L58">
            <v>97</v>
          </cell>
          <cell r="M58">
            <v>121</v>
          </cell>
          <cell r="N58">
            <v>123</v>
          </cell>
          <cell r="O58">
            <v>231</v>
          </cell>
          <cell r="P58">
            <v>20</v>
          </cell>
          <cell r="Q58">
            <v>16</v>
          </cell>
          <cell r="R58">
            <v>35</v>
          </cell>
          <cell r="S58">
            <v>47</v>
          </cell>
        </row>
        <row r="59">
          <cell r="E59" t="str">
            <v>U. LA REPÚBLICA</v>
          </cell>
          <cell r="F59" t="str">
            <v>ULR</v>
          </cell>
          <cell r="G59" t="str">
            <v>U. Privada</v>
          </cell>
          <cell r="H59">
            <v>0.1943231441048035</v>
          </cell>
          <cell r="I59">
            <v>0.21848739495798319</v>
          </cell>
          <cell r="J59">
            <v>0.22165474974463739</v>
          </cell>
          <cell r="K59">
            <v>0.31965442764578833</v>
          </cell>
          <cell r="L59">
            <v>458</v>
          </cell>
          <cell r="M59">
            <v>595</v>
          </cell>
          <cell r="N59">
            <v>979</v>
          </cell>
          <cell r="O59">
            <v>926</v>
          </cell>
          <cell r="P59">
            <v>89</v>
          </cell>
          <cell r="Q59">
            <v>130</v>
          </cell>
          <cell r="R59">
            <v>217</v>
          </cell>
          <cell r="S59">
            <v>296</v>
          </cell>
        </row>
        <row r="60">
          <cell r="E60" t="str">
            <v>U. LOS LEONES</v>
          </cell>
          <cell r="F60" t="e">
            <v>#N/A</v>
          </cell>
          <cell r="G60" t="str">
            <v>U. Privada</v>
          </cell>
          <cell r="H60">
            <v>0.25794032723772858</v>
          </cell>
          <cell r="I60">
            <v>0.24035874439461882</v>
          </cell>
          <cell r="J60">
            <v>0.29014989293361887</v>
          </cell>
          <cell r="K60">
            <v>0.33858998144712432</v>
          </cell>
          <cell r="L60">
            <v>1039</v>
          </cell>
          <cell r="M60">
            <v>1115</v>
          </cell>
          <cell r="N60">
            <v>934</v>
          </cell>
          <cell r="O60">
            <v>1078</v>
          </cell>
          <cell r="P60">
            <v>268</v>
          </cell>
          <cell r="Q60">
            <v>268</v>
          </cell>
          <cell r="R60">
            <v>271</v>
          </cell>
          <cell r="S60">
            <v>365</v>
          </cell>
        </row>
        <row r="61">
          <cell r="E61" t="str">
            <v>U. MAYOR</v>
          </cell>
          <cell r="F61" t="str">
            <v>UMA</v>
          </cell>
          <cell r="G61" t="str">
            <v>U. Privada</v>
          </cell>
          <cell r="H61">
            <v>0.3845496009122007</v>
          </cell>
          <cell r="I61">
            <v>0.37844217151848936</v>
          </cell>
          <cell r="J61">
            <v>0.38699261992619927</v>
          </cell>
          <cell r="K61">
            <v>0.38349630336274743</v>
          </cell>
          <cell r="L61">
            <v>3508</v>
          </cell>
          <cell r="M61">
            <v>3813</v>
          </cell>
          <cell r="N61">
            <v>4336</v>
          </cell>
          <cell r="O61">
            <v>4193</v>
          </cell>
          <cell r="P61">
            <v>1349</v>
          </cell>
          <cell r="Q61">
            <v>1443</v>
          </cell>
          <cell r="R61">
            <v>1678</v>
          </cell>
          <cell r="S61">
            <v>1608</v>
          </cell>
        </row>
        <row r="62">
          <cell r="E62" t="str">
            <v>U. MIGUEL DE CERVANTES</v>
          </cell>
          <cell r="F62" t="e">
            <v>#N/A</v>
          </cell>
          <cell r="G62" t="str">
            <v>U. Privada</v>
          </cell>
          <cell r="H62">
            <v>0.11661807580174927</v>
          </cell>
          <cell r="I62">
            <v>9.4972067039106142E-2</v>
          </cell>
          <cell r="J62">
            <v>0.15294117647058825</v>
          </cell>
          <cell r="K62">
            <v>0.22764227642276422</v>
          </cell>
          <cell r="L62">
            <v>343</v>
          </cell>
          <cell r="M62">
            <v>179</v>
          </cell>
          <cell r="N62">
            <v>170</v>
          </cell>
          <cell r="O62">
            <v>246</v>
          </cell>
          <cell r="P62">
            <v>40</v>
          </cell>
          <cell r="Q62">
            <v>17</v>
          </cell>
          <cell r="R62">
            <v>26</v>
          </cell>
          <cell r="S62">
            <v>56</v>
          </cell>
        </row>
        <row r="63">
          <cell r="E63" t="str">
            <v>U. PEDRO DE VALDIVIA</v>
          </cell>
          <cell r="F63" t="str">
            <v>UPV</v>
          </cell>
          <cell r="G63" t="str">
            <v>U. Privada</v>
          </cell>
          <cell r="H63">
            <v>0.47987535705011686</v>
          </cell>
          <cell r="I63">
            <v>0.22071307300509338</v>
          </cell>
          <cell r="J63">
            <v>0.31983385254413293</v>
          </cell>
          <cell r="K63">
            <v>0.37717391304347825</v>
          </cell>
          <cell r="L63">
            <v>3851</v>
          </cell>
          <cell r="M63">
            <v>589</v>
          </cell>
          <cell r="N63">
            <v>963</v>
          </cell>
          <cell r="O63">
            <v>920</v>
          </cell>
          <cell r="P63">
            <v>1848</v>
          </cell>
          <cell r="Q63">
            <v>130</v>
          </cell>
          <cell r="R63">
            <v>308</v>
          </cell>
          <cell r="S63">
            <v>347</v>
          </cell>
        </row>
        <row r="64">
          <cell r="E64" t="str">
            <v>U. SAN SEBASTIÁN</v>
          </cell>
          <cell r="F64" t="str">
            <v>USS</v>
          </cell>
          <cell r="G64" t="str">
            <v>U. Privada</v>
          </cell>
          <cell r="H64">
            <v>0.61389578163771708</v>
          </cell>
          <cell r="I64">
            <v>0.63889397546236948</v>
          </cell>
          <cell r="J64">
            <v>0.65178397348410999</v>
          </cell>
          <cell r="K64">
            <v>0.64411314984709478</v>
          </cell>
          <cell r="L64">
            <v>6045</v>
          </cell>
          <cell r="M64">
            <v>5461</v>
          </cell>
          <cell r="N64">
            <v>5129</v>
          </cell>
          <cell r="O64">
            <v>5232</v>
          </cell>
          <cell r="P64">
            <v>3711</v>
          </cell>
          <cell r="Q64">
            <v>3489</v>
          </cell>
          <cell r="R64">
            <v>3343</v>
          </cell>
          <cell r="S64">
            <v>3370</v>
          </cell>
        </row>
        <row r="65">
          <cell r="E65" t="str">
            <v>U. SANTO TOMÁS</v>
          </cell>
          <cell r="F65" t="str">
            <v>UST</v>
          </cell>
          <cell r="G65" t="str">
            <v>U. Privada</v>
          </cell>
          <cell r="H65">
            <v>0.64249764076753701</v>
          </cell>
          <cell r="I65">
            <v>0.66124960555380241</v>
          </cell>
          <cell r="J65">
            <v>0.64146906756997679</v>
          </cell>
          <cell r="K65">
            <v>0.65513913463085094</v>
          </cell>
          <cell r="L65">
            <v>6358</v>
          </cell>
          <cell r="M65">
            <v>6338</v>
          </cell>
          <cell r="N65">
            <v>5609</v>
          </cell>
          <cell r="O65">
            <v>6217</v>
          </cell>
          <cell r="P65">
            <v>4085</v>
          </cell>
          <cell r="Q65">
            <v>4191</v>
          </cell>
          <cell r="R65">
            <v>3598</v>
          </cell>
          <cell r="S65">
            <v>4073</v>
          </cell>
        </row>
        <row r="66">
          <cell r="E66" t="str">
            <v>U. INTERNACIONAL SEK</v>
          </cell>
          <cell r="F66" t="str">
            <v>USK</v>
          </cell>
          <cell r="G66" t="str">
            <v>U. Privada</v>
          </cell>
          <cell r="H66">
            <v>0.39640883977900554</v>
          </cell>
          <cell r="I66">
            <v>0.44926108374384238</v>
          </cell>
          <cell r="J66">
            <v>0.3472972972972973</v>
          </cell>
          <cell r="K66">
            <v>0.33698030634573306</v>
          </cell>
          <cell r="L66">
            <v>1448</v>
          </cell>
          <cell r="M66">
            <v>1015</v>
          </cell>
          <cell r="N66">
            <v>740</v>
          </cell>
          <cell r="O66">
            <v>457</v>
          </cell>
          <cell r="P66">
            <v>574</v>
          </cell>
          <cell r="Q66">
            <v>456</v>
          </cell>
          <cell r="R66">
            <v>257</v>
          </cell>
          <cell r="S66">
            <v>154</v>
          </cell>
        </row>
        <row r="67">
          <cell r="E67" t="str">
            <v>U. TECNOLOGICA INACAP</v>
          </cell>
          <cell r="F67" t="str">
            <v>UTC</v>
          </cell>
          <cell r="G67" t="str">
            <v>U. Privada</v>
          </cell>
          <cell r="H67">
            <v>0.45969259723964867</v>
          </cell>
          <cell r="I67">
            <v>0.47794011283089832</v>
          </cell>
          <cell r="J67">
            <v>0.53134040501446478</v>
          </cell>
          <cell r="K67">
            <v>0.54752008866722079</v>
          </cell>
          <cell r="L67">
            <v>6376</v>
          </cell>
          <cell r="M67">
            <v>6913</v>
          </cell>
          <cell r="N67">
            <v>7259</v>
          </cell>
          <cell r="O67">
            <v>7218</v>
          </cell>
          <cell r="P67">
            <v>2931</v>
          </cell>
          <cell r="Q67">
            <v>3304</v>
          </cell>
          <cell r="R67">
            <v>3857</v>
          </cell>
          <cell r="S67">
            <v>3952</v>
          </cell>
        </row>
        <row r="68">
          <cell r="E68" t="str">
            <v>U.  UCINF</v>
          </cell>
          <cell r="F68" t="str">
            <v>UCI</v>
          </cell>
          <cell r="G68" t="str">
            <v>U. Privada</v>
          </cell>
          <cell r="H68">
            <v>0.56909643128321941</v>
          </cell>
          <cell r="I68">
            <v>0.2805872756933116</v>
          </cell>
          <cell r="J68">
            <v>0.29616724738675959</v>
          </cell>
          <cell r="K68">
            <v>0.354014598540146</v>
          </cell>
          <cell r="L68">
            <v>2634</v>
          </cell>
          <cell r="M68">
            <v>613</v>
          </cell>
          <cell r="N68">
            <v>287</v>
          </cell>
          <cell r="O68">
            <v>274</v>
          </cell>
          <cell r="P68">
            <v>1499</v>
          </cell>
          <cell r="Q68">
            <v>172</v>
          </cell>
          <cell r="R68">
            <v>85</v>
          </cell>
          <cell r="S68">
            <v>97</v>
          </cell>
        </row>
      </sheetData>
      <sheetData sheetId="6">
        <row r="10">
          <cell r="D10" t="str">
            <v>P. U. C. DE CHILE</v>
          </cell>
          <cell r="E10" t="str">
            <v>PUC</v>
          </cell>
          <cell r="F10" t="str">
            <v>CRUCH Priv.</v>
          </cell>
          <cell r="G10">
            <v>0.89298626174981921</v>
          </cell>
          <cell r="H10">
            <v>0.85682372055239642</v>
          </cell>
          <cell r="I10">
            <v>0.86888078325974272</v>
          </cell>
          <cell r="J10">
            <v>0.89136704479907714</v>
          </cell>
          <cell r="K10">
            <v>4149</v>
          </cell>
          <cell r="L10">
            <v>4924</v>
          </cell>
          <cell r="M10">
            <v>5209</v>
          </cell>
          <cell r="N10">
            <v>5201</v>
          </cell>
          <cell r="O10">
            <v>3705</v>
          </cell>
          <cell r="P10">
            <v>4219</v>
          </cell>
          <cell r="Q10">
            <v>4526</v>
          </cell>
          <cell r="R10">
            <v>4636</v>
          </cell>
        </row>
        <row r="11">
          <cell r="D11" t="str">
            <v>P. U. C. DE VALPARAISO</v>
          </cell>
          <cell r="E11" t="str">
            <v>UCV</v>
          </cell>
          <cell r="F11" t="str">
            <v>CRUCH Priv.</v>
          </cell>
          <cell r="G11">
            <v>0.75047558655675328</v>
          </cell>
          <cell r="H11">
            <v>0.75885103540414167</v>
          </cell>
          <cell r="I11">
            <v>0.75530586766541818</v>
          </cell>
          <cell r="J11">
            <v>0.79987492182614128</v>
          </cell>
          <cell r="K11">
            <v>3154</v>
          </cell>
          <cell r="L11">
            <v>2994</v>
          </cell>
          <cell r="M11">
            <v>3204</v>
          </cell>
          <cell r="N11">
            <v>3198</v>
          </cell>
          <cell r="O11">
            <v>2367</v>
          </cell>
          <cell r="P11">
            <v>2272</v>
          </cell>
          <cell r="Q11">
            <v>2420</v>
          </cell>
          <cell r="R11">
            <v>2558</v>
          </cell>
        </row>
        <row r="12">
          <cell r="D12" t="str">
            <v>U. ARTURO PRAT</v>
          </cell>
          <cell r="E12" t="str">
            <v>UAP</v>
          </cell>
          <cell r="F12" t="str">
            <v>CRUCH Est.</v>
          </cell>
          <cell r="G12">
            <v>0.59238095238095234</v>
          </cell>
          <cell r="H12">
            <v>0.75375375375375375</v>
          </cell>
          <cell r="I12">
            <v>0.69700103412616343</v>
          </cell>
          <cell r="J12">
            <v>0.74806201550387597</v>
          </cell>
          <cell r="K12">
            <v>1050</v>
          </cell>
          <cell r="L12">
            <v>999</v>
          </cell>
          <cell r="M12">
            <v>967</v>
          </cell>
          <cell r="N12">
            <v>1032</v>
          </cell>
          <cell r="O12">
            <v>622</v>
          </cell>
          <cell r="P12">
            <v>753</v>
          </cell>
          <cell r="Q12">
            <v>674</v>
          </cell>
          <cell r="R12">
            <v>772</v>
          </cell>
        </row>
        <row r="13">
          <cell r="D13" t="str">
            <v>U. AUSTRAL DE CHILE</v>
          </cell>
          <cell r="E13" t="str">
            <v>AUS</v>
          </cell>
          <cell r="F13" t="str">
            <v>CRUCH Priv.</v>
          </cell>
          <cell r="G13">
            <v>0.80495477782147073</v>
          </cell>
          <cell r="H13">
            <v>0.82813816343723679</v>
          </cell>
          <cell r="I13">
            <v>0.82636060718252502</v>
          </cell>
          <cell r="J13">
            <v>0.82806252271901126</v>
          </cell>
          <cell r="K13">
            <v>2543</v>
          </cell>
          <cell r="L13">
            <v>2374</v>
          </cell>
          <cell r="M13">
            <v>2701</v>
          </cell>
          <cell r="N13">
            <v>2751</v>
          </cell>
          <cell r="O13">
            <v>2047</v>
          </cell>
          <cell r="P13">
            <v>1966</v>
          </cell>
          <cell r="Q13">
            <v>2232</v>
          </cell>
          <cell r="R13">
            <v>2278</v>
          </cell>
        </row>
        <row r="14">
          <cell r="D14" t="str">
            <v>U. C. DE LA STMA. CONCEPCIÓN</v>
          </cell>
          <cell r="E14" t="str">
            <v>USC</v>
          </cell>
          <cell r="F14" t="str">
            <v>CRUCH Priv.</v>
          </cell>
          <cell r="G14">
            <v>0.81583287520615722</v>
          </cell>
          <cell r="H14">
            <v>0.8288912579957356</v>
          </cell>
          <cell r="I14">
            <v>0.83742534837425353</v>
          </cell>
          <cell r="J14">
            <v>0.85072886297376094</v>
          </cell>
          <cell r="K14">
            <v>1819</v>
          </cell>
          <cell r="L14">
            <v>1876</v>
          </cell>
          <cell r="M14">
            <v>1507</v>
          </cell>
          <cell r="N14">
            <v>1715</v>
          </cell>
          <cell r="O14">
            <v>1484</v>
          </cell>
          <cell r="P14">
            <v>1555</v>
          </cell>
          <cell r="Q14">
            <v>1262</v>
          </cell>
          <cell r="R14">
            <v>1459</v>
          </cell>
        </row>
        <row r="15">
          <cell r="D15" t="str">
            <v>U. C. DE TEMUCO</v>
          </cell>
          <cell r="E15" t="str">
            <v>UCT</v>
          </cell>
          <cell r="F15" t="str">
            <v>CRUCH Priv.</v>
          </cell>
          <cell r="G15">
            <v>0.75808457711442789</v>
          </cell>
          <cell r="H15">
            <v>0.80024286581663628</v>
          </cell>
          <cell r="I15">
            <v>0.82510964912280704</v>
          </cell>
          <cell r="J15">
            <v>0.84678845020624627</v>
          </cell>
          <cell r="K15">
            <v>1608</v>
          </cell>
          <cell r="L15">
            <v>1647</v>
          </cell>
          <cell r="M15">
            <v>1824</v>
          </cell>
          <cell r="N15">
            <v>1697</v>
          </cell>
          <cell r="O15">
            <v>1219</v>
          </cell>
          <cell r="P15">
            <v>1318</v>
          </cell>
          <cell r="Q15">
            <v>1505</v>
          </cell>
          <cell r="R15">
            <v>1437</v>
          </cell>
        </row>
        <row r="16">
          <cell r="D16" t="str">
            <v>U. C. DEL MAULE</v>
          </cell>
          <cell r="E16" t="str">
            <v>UCM</v>
          </cell>
          <cell r="F16" t="str">
            <v>CRUCH Priv.</v>
          </cell>
          <cell r="G16">
            <v>0.83007047768206732</v>
          </cell>
          <cell r="H16">
            <v>0.90519877675840976</v>
          </cell>
          <cell r="I16">
            <v>0.86107290233837686</v>
          </cell>
          <cell r="J16">
            <v>0.85092250922509227</v>
          </cell>
          <cell r="K16">
            <v>1277</v>
          </cell>
          <cell r="L16">
            <v>1308</v>
          </cell>
          <cell r="M16">
            <v>1454</v>
          </cell>
          <cell r="N16">
            <v>1355</v>
          </cell>
          <cell r="O16">
            <v>1060</v>
          </cell>
          <cell r="P16">
            <v>1184</v>
          </cell>
          <cell r="Q16">
            <v>1252</v>
          </cell>
          <cell r="R16">
            <v>1153</v>
          </cell>
        </row>
        <row r="17">
          <cell r="D17" t="str">
            <v>U. C. DEL NORTE</v>
          </cell>
          <cell r="E17" t="str">
            <v>UCN</v>
          </cell>
          <cell r="F17" t="str">
            <v>CRUCH Priv.</v>
          </cell>
          <cell r="G17">
            <v>0.74725877192982459</v>
          </cell>
          <cell r="H17">
            <v>0.79702687249857063</v>
          </cell>
          <cell r="I17">
            <v>0.82404997397188962</v>
          </cell>
          <cell r="J17">
            <v>0.80914407230196705</v>
          </cell>
          <cell r="K17">
            <v>1824</v>
          </cell>
          <cell r="L17">
            <v>1749</v>
          </cell>
          <cell r="M17">
            <v>1921</v>
          </cell>
          <cell r="N17">
            <v>1881</v>
          </cell>
          <cell r="O17">
            <v>1363</v>
          </cell>
          <cell r="P17">
            <v>1394</v>
          </cell>
          <cell r="Q17">
            <v>1583</v>
          </cell>
          <cell r="R17">
            <v>1522</v>
          </cell>
        </row>
        <row r="18">
          <cell r="D18" t="str">
            <v>U. DE ANTOFAGASTA</v>
          </cell>
          <cell r="E18" t="str">
            <v>ANT</v>
          </cell>
          <cell r="F18" t="str">
            <v>CRUCH Est.</v>
          </cell>
          <cell r="G18">
            <v>0.76744186046511631</v>
          </cell>
          <cell r="H18">
            <v>0.84669338677354711</v>
          </cell>
          <cell r="I18">
            <v>0.81341911764705888</v>
          </cell>
          <cell r="J18">
            <v>0.8433420365535248</v>
          </cell>
          <cell r="K18">
            <v>817</v>
          </cell>
          <cell r="L18">
            <v>998</v>
          </cell>
          <cell r="M18">
            <v>1088</v>
          </cell>
          <cell r="N18">
            <v>1149</v>
          </cell>
          <cell r="O18">
            <v>627</v>
          </cell>
          <cell r="P18">
            <v>845</v>
          </cell>
          <cell r="Q18">
            <v>885</v>
          </cell>
          <cell r="R18">
            <v>969</v>
          </cell>
        </row>
        <row r="19">
          <cell r="D19" t="str">
            <v>U. DE ATACAMA</v>
          </cell>
          <cell r="E19" t="str">
            <v>ATA</v>
          </cell>
          <cell r="F19" t="str">
            <v>CRUCH Est.</v>
          </cell>
          <cell r="G19">
            <v>0.67192429022082023</v>
          </cell>
          <cell r="H19">
            <v>0.74014598540145982</v>
          </cell>
          <cell r="I19">
            <v>0.80804020100502516</v>
          </cell>
          <cell r="J19">
            <v>0.70819304152637486</v>
          </cell>
          <cell r="K19">
            <v>634</v>
          </cell>
          <cell r="L19">
            <v>685</v>
          </cell>
          <cell r="M19">
            <v>995</v>
          </cell>
          <cell r="N19">
            <v>891</v>
          </cell>
          <cell r="O19">
            <v>426</v>
          </cell>
          <cell r="P19">
            <v>507</v>
          </cell>
          <cell r="Q19">
            <v>804</v>
          </cell>
          <cell r="R19">
            <v>631</v>
          </cell>
        </row>
        <row r="20">
          <cell r="D20" t="str">
            <v>U. DE CHILE</v>
          </cell>
          <cell r="E20" t="str">
            <v>UCH</v>
          </cell>
          <cell r="F20" t="str">
            <v>CRUCH Est.</v>
          </cell>
          <cell r="G20">
            <v>0.8391969787318625</v>
          </cell>
          <cell r="H20">
            <v>0.84856344772545889</v>
          </cell>
          <cell r="I20">
            <v>0.82985187998480825</v>
          </cell>
          <cell r="J20">
            <v>0.83977110157367663</v>
          </cell>
          <cell r="K20">
            <v>5031</v>
          </cell>
          <cell r="L20">
            <v>5012</v>
          </cell>
          <cell r="M20">
            <v>5266</v>
          </cell>
          <cell r="N20">
            <v>5592</v>
          </cell>
          <cell r="O20">
            <v>4222</v>
          </cell>
          <cell r="P20">
            <v>4253</v>
          </cell>
          <cell r="Q20">
            <v>4370</v>
          </cell>
          <cell r="R20">
            <v>4696</v>
          </cell>
        </row>
        <row r="21">
          <cell r="D21" t="str">
            <v>U. DE CONCEPCIÓN</v>
          </cell>
          <cell r="E21" t="str">
            <v>UCO</v>
          </cell>
          <cell r="F21" t="str">
            <v>CRUCH Priv.</v>
          </cell>
          <cell r="G21">
            <v>0.79117835073513743</v>
          </cell>
          <cell r="H21">
            <v>0.80757031084795938</v>
          </cell>
          <cell r="I21">
            <v>0.8164328657314629</v>
          </cell>
          <cell r="J21">
            <v>0.80204125026578776</v>
          </cell>
          <cell r="K21">
            <v>4693</v>
          </cell>
          <cell r="L21">
            <v>4729</v>
          </cell>
          <cell r="M21">
            <v>4990</v>
          </cell>
          <cell r="N21">
            <v>4703</v>
          </cell>
          <cell r="O21">
            <v>3713</v>
          </cell>
          <cell r="P21">
            <v>3819</v>
          </cell>
          <cell r="Q21">
            <v>4074</v>
          </cell>
          <cell r="R21">
            <v>3772</v>
          </cell>
        </row>
        <row r="22">
          <cell r="D22" t="str">
            <v>U. DE LA FRONTERA</v>
          </cell>
          <cell r="E22" t="str">
            <v>FRO</v>
          </cell>
          <cell r="F22" t="str">
            <v>CRUCH Est.</v>
          </cell>
          <cell r="G22">
            <v>0.82997762863534674</v>
          </cell>
          <cell r="H22">
            <v>0.85479733196511032</v>
          </cell>
          <cell r="I22">
            <v>0.83732789393166751</v>
          </cell>
          <cell r="J22">
            <v>0.84185556141275697</v>
          </cell>
          <cell r="K22">
            <v>1788</v>
          </cell>
          <cell r="L22">
            <v>1949</v>
          </cell>
          <cell r="M22">
            <v>1961</v>
          </cell>
          <cell r="N22">
            <v>1897</v>
          </cell>
          <cell r="O22">
            <v>1484</v>
          </cell>
          <cell r="P22">
            <v>1666</v>
          </cell>
          <cell r="Q22">
            <v>1642</v>
          </cell>
          <cell r="R22">
            <v>1597</v>
          </cell>
        </row>
        <row r="23">
          <cell r="D23" t="str">
            <v>U. DE LA SERENA</v>
          </cell>
          <cell r="E23" t="str">
            <v>ULS</v>
          </cell>
          <cell r="F23" t="str">
            <v>CRUCH Est.</v>
          </cell>
          <cell r="G23">
            <v>0.78412911903160731</v>
          </cell>
          <cell r="H23">
            <v>0.8282763072950291</v>
          </cell>
          <cell r="I23">
            <v>0.78045763760049469</v>
          </cell>
          <cell r="J23">
            <v>0.79430789133247093</v>
          </cell>
          <cell r="K23">
            <v>1487</v>
          </cell>
          <cell r="L23">
            <v>1549</v>
          </cell>
          <cell r="M23">
            <v>1617</v>
          </cell>
          <cell r="N23">
            <v>1546</v>
          </cell>
          <cell r="O23">
            <v>1166</v>
          </cell>
          <cell r="P23">
            <v>1283</v>
          </cell>
          <cell r="Q23">
            <v>1262</v>
          </cell>
          <cell r="R23">
            <v>1228</v>
          </cell>
        </row>
        <row r="24">
          <cell r="D24" t="str">
            <v>U. DE LOS LAGOS</v>
          </cell>
          <cell r="E24" t="str">
            <v>ULA</v>
          </cell>
          <cell r="F24" t="str">
            <v>CRUCH Est.</v>
          </cell>
          <cell r="G24">
            <v>0.77974683544303802</v>
          </cell>
          <cell r="H24">
            <v>0.85825545171339568</v>
          </cell>
          <cell r="I24">
            <v>0.78331090174966356</v>
          </cell>
          <cell r="J24">
            <v>0.80564971751412429</v>
          </cell>
          <cell r="K24">
            <v>790</v>
          </cell>
          <cell r="L24">
            <v>642</v>
          </cell>
          <cell r="M24">
            <v>743</v>
          </cell>
          <cell r="N24">
            <v>885</v>
          </cell>
          <cell r="O24">
            <v>616</v>
          </cell>
          <cell r="P24">
            <v>551</v>
          </cell>
          <cell r="Q24">
            <v>582</v>
          </cell>
          <cell r="R24">
            <v>713</v>
          </cell>
        </row>
        <row r="25">
          <cell r="D25" t="str">
            <v>U. DE MAGALLANES</v>
          </cell>
          <cell r="E25" t="str">
            <v>MAG</v>
          </cell>
          <cell r="F25" t="str">
            <v>CRUCH Est.</v>
          </cell>
          <cell r="G25">
            <v>0.80842105263157893</v>
          </cell>
          <cell r="H25">
            <v>0.80090497737556565</v>
          </cell>
          <cell r="I25">
            <v>0.80991735537190079</v>
          </cell>
          <cell r="J25">
            <v>0.83542039355992848</v>
          </cell>
          <cell r="K25">
            <v>475</v>
          </cell>
          <cell r="L25">
            <v>442</v>
          </cell>
          <cell r="M25">
            <v>605</v>
          </cell>
          <cell r="N25">
            <v>559</v>
          </cell>
          <cell r="O25">
            <v>384</v>
          </cell>
          <cell r="P25">
            <v>354</v>
          </cell>
          <cell r="Q25">
            <v>490</v>
          </cell>
          <cell r="R25">
            <v>467</v>
          </cell>
        </row>
        <row r="26">
          <cell r="D26" t="str">
            <v>U. DE PLAYA ANCHA DE CS. DE LA ED.</v>
          </cell>
          <cell r="E26" t="str">
            <v>UPA</v>
          </cell>
          <cell r="F26" t="str">
            <v>CRUCH Est.</v>
          </cell>
          <cell r="G26">
            <v>0.75848416289592757</v>
          </cell>
          <cell r="H26">
            <v>0.80068027210884352</v>
          </cell>
          <cell r="I26">
            <v>0.74563242487770787</v>
          </cell>
          <cell r="J26">
            <v>0.78206026629292225</v>
          </cell>
          <cell r="K26">
            <v>1768</v>
          </cell>
          <cell r="L26">
            <v>1470</v>
          </cell>
          <cell r="M26">
            <v>1431</v>
          </cell>
          <cell r="N26">
            <v>1427</v>
          </cell>
          <cell r="O26">
            <v>1341</v>
          </cell>
          <cell r="P26">
            <v>1177</v>
          </cell>
          <cell r="Q26">
            <v>1067</v>
          </cell>
          <cell r="R26">
            <v>1116</v>
          </cell>
        </row>
        <row r="27">
          <cell r="D27" t="str">
            <v>U. DE SANTIAGO</v>
          </cell>
          <cell r="E27" t="str">
            <v>USA</v>
          </cell>
          <cell r="F27" t="str">
            <v>CRUCH Est.</v>
          </cell>
          <cell r="G27">
            <v>0.75928143712574847</v>
          </cell>
          <cell r="H27">
            <v>0.8294005966910768</v>
          </cell>
          <cell r="I27">
            <v>0.80099040544722999</v>
          </cell>
          <cell r="J27">
            <v>0.79994721562417526</v>
          </cell>
          <cell r="K27">
            <v>3340</v>
          </cell>
          <cell r="L27">
            <v>3687</v>
          </cell>
          <cell r="M27">
            <v>3231</v>
          </cell>
          <cell r="N27">
            <v>3789</v>
          </cell>
          <cell r="O27">
            <v>2536</v>
          </cell>
          <cell r="P27">
            <v>3058</v>
          </cell>
          <cell r="Q27">
            <v>2588</v>
          </cell>
          <cell r="R27">
            <v>3031</v>
          </cell>
        </row>
        <row r="28">
          <cell r="D28" t="str">
            <v>U. DE TALCA</v>
          </cell>
          <cell r="E28" t="str">
            <v>TAL</v>
          </cell>
          <cell r="F28" t="str">
            <v>CRUCH Est.</v>
          </cell>
          <cell r="G28">
            <v>0.83706563706563708</v>
          </cell>
          <cell r="H28">
            <v>0.86922209695603159</v>
          </cell>
          <cell r="I28">
            <v>0.86737035337310697</v>
          </cell>
          <cell r="J28">
            <v>0.86436781609195401</v>
          </cell>
          <cell r="K28">
            <v>1295</v>
          </cell>
          <cell r="L28">
            <v>1774</v>
          </cell>
          <cell r="M28">
            <v>2179</v>
          </cell>
          <cell r="N28">
            <v>1740</v>
          </cell>
          <cell r="O28">
            <v>1084</v>
          </cell>
          <cell r="P28">
            <v>1542</v>
          </cell>
          <cell r="Q28">
            <v>1890</v>
          </cell>
          <cell r="R28">
            <v>1504</v>
          </cell>
        </row>
        <row r="29">
          <cell r="D29" t="str">
            <v>U. DE TARAPACÁ</v>
          </cell>
          <cell r="E29" t="str">
            <v>UTA</v>
          </cell>
          <cell r="F29" t="str">
            <v>CRUCH Est.</v>
          </cell>
          <cell r="G29">
            <v>0.75819672131147542</v>
          </cell>
          <cell r="H29">
            <v>0.80529172320217102</v>
          </cell>
          <cell r="I29">
            <v>0.80484610347085794</v>
          </cell>
          <cell r="J29">
            <v>0.80867544539116964</v>
          </cell>
          <cell r="K29">
            <v>1464</v>
          </cell>
          <cell r="L29">
            <v>1474</v>
          </cell>
          <cell r="M29">
            <v>1527</v>
          </cell>
          <cell r="N29">
            <v>1291</v>
          </cell>
          <cell r="O29">
            <v>1110</v>
          </cell>
          <cell r="P29">
            <v>1187</v>
          </cell>
          <cell r="Q29">
            <v>1229</v>
          </cell>
          <cell r="R29">
            <v>1044</v>
          </cell>
        </row>
        <row r="30">
          <cell r="D30" t="str">
            <v>U. DE VALPARAÍSO</v>
          </cell>
          <cell r="E30" t="str">
            <v>UVA</v>
          </cell>
          <cell r="F30" t="str">
            <v>CRUCH Est.</v>
          </cell>
          <cell r="G30">
            <v>0.78507164278573804</v>
          </cell>
          <cell r="H30">
            <v>0.81516443361753954</v>
          </cell>
          <cell r="I30">
            <v>0.77999335327351282</v>
          </cell>
          <cell r="J30">
            <v>0.80624780624780623</v>
          </cell>
          <cell r="K30">
            <v>3001</v>
          </cell>
          <cell r="L30">
            <v>3284</v>
          </cell>
          <cell r="M30">
            <v>3009</v>
          </cell>
          <cell r="N30">
            <v>2849</v>
          </cell>
          <cell r="O30">
            <v>2356</v>
          </cell>
          <cell r="P30">
            <v>2677</v>
          </cell>
          <cell r="Q30">
            <v>2347</v>
          </cell>
          <cell r="R30">
            <v>2297</v>
          </cell>
        </row>
        <row r="31">
          <cell r="D31" t="str">
            <v>U. DEL BÍO-BÍO</v>
          </cell>
          <cell r="E31" t="str">
            <v>UBB</v>
          </cell>
          <cell r="F31" t="str">
            <v>CRUCH Est.</v>
          </cell>
          <cell r="G31">
            <v>0.8360352014821677</v>
          </cell>
          <cell r="H31">
            <v>0.88483412322274879</v>
          </cell>
          <cell r="I31">
            <v>0.86964206805125943</v>
          </cell>
          <cell r="J31">
            <v>0.85059101654846336</v>
          </cell>
          <cell r="K31">
            <v>2159</v>
          </cell>
          <cell r="L31">
            <v>2110</v>
          </cell>
          <cell r="M31">
            <v>2263</v>
          </cell>
          <cell r="N31">
            <v>2115</v>
          </cell>
          <cell r="O31">
            <v>1805</v>
          </cell>
          <cell r="P31">
            <v>1867</v>
          </cell>
          <cell r="Q31">
            <v>1968</v>
          </cell>
          <cell r="R31">
            <v>1799</v>
          </cell>
        </row>
        <row r="32">
          <cell r="D32" t="str">
            <v>U. METROPOLITANA DE CS. DE LA ED.</v>
          </cell>
          <cell r="E32" t="str">
            <v>UMC</v>
          </cell>
          <cell r="F32" t="str">
            <v>CRUCH Est.</v>
          </cell>
          <cell r="G32">
            <v>0.83911368015414256</v>
          </cell>
          <cell r="H32">
            <v>0.82190378710337764</v>
          </cell>
          <cell r="I32">
            <v>0.80499075785582253</v>
          </cell>
          <cell r="J32">
            <v>0.83524904214559392</v>
          </cell>
          <cell r="K32">
            <v>1038</v>
          </cell>
          <cell r="L32">
            <v>977</v>
          </cell>
          <cell r="M32">
            <v>1082</v>
          </cell>
          <cell r="N32">
            <v>1044</v>
          </cell>
          <cell r="O32">
            <v>871</v>
          </cell>
          <cell r="P32">
            <v>803</v>
          </cell>
          <cell r="Q32">
            <v>871</v>
          </cell>
          <cell r="R32">
            <v>872</v>
          </cell>
        </row>
        <row r="33">
          <cell r="D33" t="str">
            <v>U. TÉCNICA FEDERICO STA. MARÍA</v>
          </cell>
          <cell r="E33" t="str">
            <v>FSM</v>
          </cell>
          <cell r="F33" t="str">
            <v>CRUCH Priv.</v>
          </cell>
          <cell r="G33">
            <v>0.83163571000599157</v>
          </cell>
          <cell r="H33">
            <v>0.81988636363636369</v>
          </cell>
          <cell r="I33">
            <v>0.80307185957213389</v>
          </cell>
          <cell r="J33">
            <v>0.80010746910263297</v>
          </cell>
          <cell r="K33">
            <v>1669</v>
          </cell>
          <cell r="L33">
            <v>1760</v>
          </cell>
          <cell r="M33">
            <v>1823</v>
          </cell>
          <cell r="N33">
            <v>1861</v>
          </cell>
          <cell r="O33">
            <v>1388</v>
          </cell>
          <cell r="P33">
            <v>1443</v>
          </cell>
          <cell r="Q33">
            <v>1464</v>
          </cell>
          <cell r="R33">
            <v>1489</v>
          </cell>
        </row>
        <row r="34">
          <cell r="D34" t="str">
            <v>U. TECNOLÓGICA METROPOLITANA</v>
          </cell>
          <cell r="E34" t="str">
            <v>UTM</v>
          </cell>
          <cell r="F34" t="str">
            <v>CRUCH Est.</v>
          </cell>
          <cell r="G34">
            <v>0.75558099599313111</v>
          </cell>
          <cell r="H34">
            <v>0.70790816326530615</v>
          </cell>
          <cell r="I34">
            <v>0.73997709049255445</v>
          </cell>
          <cell r="J34">
            <v>0.80552546045503792</v>
          </cell>
          <cell r="K34">
            <v>1747</v>
          </cell>
          <cell r="L34">
            <v>1568</v>
          </cell>
          <cell r="M34">
            <v>1746</v>
          </cell>
          <cell r="N34">
            <v>1846</v>
          </cell>
          <cell r="O34">
            <v>1320</v>
          </cell>
          <cell r="P34">
            <v>1110</v>
          </cell>
          <cell r="Q34">
            <v>1292</v>
          </cell>
          <cell r="R34">
            <v>1487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0.79644409324377718</v>
          </cell>
          <cell r="H35">
            <v>0.82343548604297723</v>
          </cell>
          <cell r="I35">
            <v>0.81480595476878348</v>
          </cell>
          <cell r="J35">
            <v>0.82436035102010585</v>
          </cell>
          <cell r="K35">
            <v>50620</v>
          </cell>
          <cell r="L35">
            <v>51981</v>
          </cell>
          <cell r="M35">
            <v>54343</v>
          </cell>
          <cell r="N35">
            <v>54014</v>
          </cell>
          <cell r="O35">
            <v>40316</v>
          </cell>
          <cell r="P35">
            <v>42803</v>
          </cell>
          <cell r="Q35">
            <v>44279</v>
          </cell>
          <cell r="R35">
            <v>44527</v>
          </cell>
        </row>
        <row r="36">
          <cell r="D36" t="str">
            <v>U. ACADEMIA HUMANISMO CRISTIANO</v>
          </cell>
          <cell r="E36" t="str">
            <v>AHC</v>
          </cell>
          <cell r="F36" t="str">
            <v>U. Privada</v>
          </cell>
          <cell r="G36">
            <v>0.69273743016759781</v>
          </cell>
          <cell r="H36">
            <v>0.69923664122137408</v>
          </cell>
          <cell r="I36">
            <v>0.68976897689768979</v>
          </cell>
          <cell r="J36">
            <v>0.74188311688311692</v>
          </cell>
          <cell r="K36">
            <v>716</v>
          </cell>
          <cell r="L36">
            <v>655</v>
          </cell>
          <cell r="M36">
            <v>606</v>
          </cell>
          <cell r="N36">
            <v>616</v>
          </cell>
          <cell r="O36">
            <v>496</v>
          </cell>
          <cell r="P36">
            <v>458</v>
          </cell>
          <cell r="Q36">
            <v>418</v>
          </cell>
          <cell r="R36">
            <v>457</v>
          </cell>
        </row>
        <row r="37">
          <cell r="D37" t="str">
            <v>U. ADOLFO IBAÑEZ</v>
          </cell>
          <cell r="E37" t="str">
            <v>UAI</v>
          </cell>
          <cell r="F37" t="str">
            <v>U. Privada</v>
          </cell>
          <cell r="G37">
            <v>0.77836973894512518</v>
          </cell>
          <cell r="H37">
            <v>0.84471421345472941</v>
          </cell>
          <cell r="I37">
            <v>0.84223107569721112</v>
          </cell>
          <cell r="J37">
            <v>0.86883876357560563</v>
          </cell>
          <cell r="K37">
            <v>1877</v>
          </cell>
          <cell r="L37">
            <v>1977</v>
          </cell>
          <cell r="M37">
            <v>1255</v>
          </cell>
          <cell r="N37">
            <v>1197</v>
          </cell>
          <cell r="O37">
            <v>1461</v>
          </cell>
          <cell r="P37">
            <v>1670</v>
          </cell>
          <cell r="Q37">
            <v>1057</v>
          </cell>
          <cell r="R37">
            <v>1040</v>
          </cell>
        </row>
        <row r="38">
          <cell r="D38" t="str">
            <v>U. ADVENTISTA</v>
          </cell>
          <cell r="E38" t="str">
            <v>UAC</v>
          </cell>
          <cell r="F38" t="str">
            <v>U. Privada</v>
          </cell>
          <cell r="G38">
            <v>0.82745098039215681</v>
          </cell>
          <cell r="H38">
            <v>0.81569965870307171</v>
          </cell>
          <cell r="I38">
            <v>0.8271276595744681</v>
          </cell>
          <cell r="J38">
            <v>0.83377308707124009</v>
          </cell>
          <cell r="K38">
            <v>255</v>
          </cell>
          <cell r="L38">
            <v>293</v>
          </cell>
          <cell r="M38">
            <v>376</v>
          </cell>
          <cell r="N38">
            <v>379</v>
          </cell>
          <cell r="O38">
            <v>211</v>
          </cell>
          <cell r="P38">
            <v>239</v>
          </cell>
          <cell r="Q38">
            <v>311</v>
          </cell>
          <cell r="R38">
            <v>316</v>
          </cell>
        </row>
        <row r="39">
          <cell r="D39" t="str">
            <v>U. ALBERTO HURTADO</v>
          </cell>
          <cell r="E39" t="str">
            <v>UAH</v>
          </cell>
          <cell r="F39" t="str">
            <v>U. Privada</v>
          </cell>
          <cell r="G39">
            <v>0.78167420814479638</v>
          </cell>
          <cell r="H39">
            <v>0.78764142732811138</v>
          </cell>
          <cell r="I39">
            <v>0.77390599675850891</v>
          </cell>
          <cell r="J39">
            <v>0.76006314127861085</v>
          </cell>
          <cell r="K39">
            <v>884</v>
          </cell>
          <cell r="L39">
            <v>1149</v>
          </cell>
          <cell r="M39">
            <v>1234</v>
          </cell>
          <cell r="N39">
            <v>1267</v>
          </cell>
          <cell r="O39">
            <v>691</v>
          </cell>
          <cell r="P39">
            <v>905</v>
          </cell>
          <cell r="Q39">
            <v>955</v>
          </cell>
          <cell r="R39">
            <v>963</v>
          </cell>
        </row>
        <row r="40">
          <cell r="D40" t="str">
            <v>U. ANDRÉS BELLO</v>
          </cell>
          <cell r="E40" t="str">
            <v>UAB</v>
          </cell>
          <cell r="F40" t="str">
            <v>U. Privada</v>
          </cell>
          <cell r="G40">
            <v>0.74413043478260865</v>
          </cell>
          <cell r="H40">
            <v>0.75265238194299977</v>
          </cell>
          <cell r="I40">
            <v>0.75412087912087911</v>
          </cell>
          <cell r="J40">
            <v>0.74348810872027182</v>
          </cell>
          <cell r="K40">
            <v>9200</v>
          </cell>
          <cell r="L40">
            <v>9614</v>
          </cell>
          <cell r="M40">
            <v>10192</v>
          </cell>
          <cell r="N40">
            <v>10596</v>
          </cell>
          <cell r="O40">
            <v>6846</v>
          </cell>
          <cell r="P40">
            <v>7236</v>
          </cell>
          <cell r="Q40">
            <v>7686</v>
          </cell>
          <cell r="R40">
            <v>7878</v>
          </cell>
        </row>
        <row r="41">
          <cell r="D41" t="str">
            <v>U. AUTÓNOMA DE CHILE</v>
          </cell>
          <cell r="E41" t="str">
            <v>UAU</v>
          </cell>
          <cell r="F41" t="str">
            <v>U. Privada</v>
          </cell>
          <cell r="G41">
            <v>0.82857142857142863</v>
          </cell>
          <cell r="H41">
            <v>0.80708661417322836</v>
          </cell>
          <cell r="I41">
            <v>0.79670468948035489</v>
          </cell>
          <cell r="J41">
            <v>0.82105263157894737</v>
          </cell>
          <cell r="K41">
            <v>4655</v>
          </cell>
          <cell r="L41">
            <v>5080</v>
          </cell>
          <cell r="M41">
            <v>3945</v>
          </cell>
          <cell r="N41">
            <v>3705</v>
          </cell>
          <cell r="O41">
            <v>3857</v>
          </cell>
          <cell r="P41">
            <v>4100</v>
          </cell>
          <cell r="Q41">
            <v>3143</v>
          </cell>
          <cell r="R41">
            <v>3042</v>
          </cell>
        </row>
        <row r="42">
          <cell r="D42" t="str">
            <v>U. BERNARDO O'HIGGINS</v>
          </cell>
          <cell r="E42" t="str">
            <v>UBO</v>
          </cell>
          <cell r="F42" t="str">
            <v>U. Privada</v>
          </cell>
          <cell r="G42">
            <v>0.79890023566378632</v>
          </cell>
          <cell r="H42">
            <v>0.66247906197654938</v>
          </cell>
          <cell r="I42">
            <v>0.6825</v>
          </cell>
          <cell r="J42">
            <v>0.82550860719874808</v>
          </cell>
          <cell r="K42">
            <v>1273</v>
          </cell>
          <cell r="L42">
            <v>1194</v>
          </cell>
          <cell r="M42">
            <v>400</v>
          </cell>
          <cell r="N42">
            <v>1278</v>
          </cell>
          <cell r="O42">
            <v>1017</v>
          </cell>
          <cell r="P42">
            <v>791</v>
          </cell>
          <cell r="Q42">
            <v>273</v>
          </cell>
          <cell r="R42">
            <v>1055</v>
          </cell>
        </row>
        <row r="43">
          <cell r="D43" t="str">
            <v>U. BOLIVARIANA</v>
          </cell>
          <cell r="E43" t="str">
            <v>UBL</v>
          </cell>
          <cell r="F43" t="str">
            <v>U. Privada</v>
          </cell>
          <cell r="G43">
            <v>0.58557284299858559</v>
          </cell>
          <cell r="H43">
            <v>0.56321839080459768</v>
          </cell>
          <cell r="I43">
            <v>0.56219392752203723</v>
          </cell>
          <cell r="J43">
            <v>0.5290178571428571</v>
          </cell>
          <cell r="K43">
            <v>707</v>
          </cell>
          <cell r="L43">
            <v>348</v>
          </cell>
          <cell r="M43">
            <v>1021</v>
          </cell>
          <cell r="N43">
            <v>448</v>
          </cell>
          <cell r="O43">
            <v>414</v>
          </cell>
          <cell r="P43">
            <v>196</v>
          </cell>
          <cell r="Q43">
            <v>574</v>
          </cell>
          <cell r="R43">
            <v>237</v>
          </cell>
        </row>
        <row r="44">
          <cell r="D44" t="str">
            <v>U. C. SILVA HENRÍQUEZ</v>
          </cell>
          <cell r="E44" t="str">
            <v>UCS</v>
          </cell>
          <cell r="F44" t="str">
            <v>U. Privada</v>
          </cell>
          <cell r="G44">
            <v>0.75690115761353516</v>
          </cell>
          <cell r="H44">
            <v>0.77109704641350207</v>
          </cell>
          <cell r="I44">
            <v>0.79057017543859653</v>
          </cell>
          <cell r="J44">
            <v>0.8101983002832861</v>
          </cell>
          <cell r="K44">
            <v>1123</v>
          </cell>
          <cell r="L44">
            <v>948</v>
          </cell>
          <cell r="M44">
            <v>912</v>
          </cell>
          <cell r="N44">
            <v>1059</v>
          </cell>
          <cell r="O44">
            <v>850</v>
          </cell>
          <cell r="P44">
            <v>731</v>
          </cell>
          <cell r="Q44">
            <v>721</v>
          </cell>
          <cell r="R44">
            <v>858</v>
          </cell>
        </row>
        <row r="45">
          <cell r="D45" t="str">
            <v>U. CENTRAL</v>
          </cell>
          <cell r="E45" t="str">
            <v>UCE</v>
          </cell>
          <cell r="F45" t="str">
            <v>U. Privada</v>
          </cell>
          <cell r="G45">
            <v>0.76762896355892096</v>
          </cell>
          <cell r="H45">
            <v>0.7711624139327663</v>
          </cell>
          <cell r="I45">
            <v>0.77665180381029586</v>
          </cell>
          <cell r="J45">
            <v>0.8086816720257235</v>
          </cell>
          <cell r="K45">
            <v>2113</v>
          </cell>
          <cell r="L45">
            <v>2469</v>
          </cell>
          <cell r="M45">
            <v>2467</v>
          </cell>
          <cell r="N45">
            <v>2488</v>
          </cell>
          <cell r="O45">
            <v>1622</v>
          </cell>
          <cell r="P45">
            <v>1904</v>
          </cell>
          <cell r="Q45">
            <v>1916</v>
          </cell>
          <cell r="R45">
            <v>2012</v>
          </cell>
        </row>
        <row r="46">
          <cell r="D46" t="str">
            <v>U. CHILENO BRITÁNICA DE CULTURA</v>
          </cell>
          <cell r="E46" t="e">
            <v>#N/A</v>
          </cell>
          <cell r="F46" t="str">
            <v>U. Privada</v>
          </cell>
          <cell r="G46">
            <v>0.67708333333333337</v>
          </cell>
          <cell r="H46">
            <v>0.70967741935483875</v>
          </cell>
          <cell r="I46">
            <v>0.82857142857142863</v>
          </cell>
          <cell r="J46">
            <v>0.70503597122302153</v>
          </cell>
          <cell r="K46">
            <v>96</v>
          </cell>
          <cell r="L46">
            <v>93</v>
          </cell>
          <cell r="M46">
            <v>105</v>
          </cell>
          <cell r="N46">
            <v>139</v>
          </cell>
          <cell r="O46">
            <v>65</v>
          </cell>
          <cell r="P46">
            <v>66</v>
          </cell>
          <cell r="Q46">
            <v>87</v>
          </cell>
          <cell r="R46">
            <v>98</v>
          </cell>
        </row>
        <row r="47">
          <cell r="D47" t="str">
            <v>U. DE ACONCAGUA</v>
          </cell>
          <cell r="E47" t="e">
            <v>#N/A</v>
          </cell>
          <cell r="F47" t="str">
            <v>U. Privada</v>
          </cell>
          <cell r="G47">
            <v>0.66044508255563528</v>
          </cell>
          <cell r="H47">
            <v>0.66563706563706559</v>
          </cell>
          <cell r="I47">
            <v>0.70720299345182414</v>
          </cell>
          <cell r="J47">
            <v>0.64389534883720934</v>
          </cell>
          <cell r="K47">
            <v>1393</v>
          </cell>
          <cell r="L47">
            <v>1295</v>
          </cell>
          <cell r="M47">
            <v>1069</v>
          </cell>
          <cell r="N47">
            <v>688</v>
          </cell>
          <cell r="O47">
            <v>920</v>
          </cell>
          <cell r="P47">
            <v>862</v>
          </cell>
          <cell r="Q47">
            <v>756</v>
          </cell>
          <cell r="R47">
            <v>443</v>
          </cell>
        </row>
        <row r="48">
          <cell r="D48" t="str">
            <v>U. DE ARTES Y CS. SOCIALES ARCIS</v>
          </cell>
          <cell r="E48" t="str">
            <v>UAR</v>
          </cell>
          <cell r="F48" t="str">
            <v>U. Privada</v>
          </cell>
          <cell r="G48">
            <v>0.69329073482428116</v>
          </cell>
          <cell r="H48">
            <v>0.69765066394279873</v>
          </cell>
          <cell r="I48">
            <v>0.68053855569155441</v>
          </cell>
          <cell r="J48">
            <v>0.25950196592398428</v>
          </cell>
          <cell r="K48">
            <v>939</v>
          </cell>
          <cell r="L48">
            <v>979</v>
          </cell>
          <cell r="M48">
            <v>817</v>
          </cell>
          <cell r="N48">
            <v>763</v>
          </cell>
          <cell r="O48">
            <v>651</v>
          </cell>
          <cell r="P48">
            <v>683</v>
          </cell>
          <cell r="Q48">
            <v>556</v>
          </cell>
          <cell r="R48">
            <v>198</v>
          </cell>
        </row>
        <row r="49">
          <cell r="D49" t="str">
            <v>U. DE ARTES, CS. Y COMUNICACIÓN UNIACC</v>
          </cell>
          <cell r="E49" t="str">
            <v>UCC</v>
          </cell>
          <cell r="F49" t="str">
            <v>U. Privada</v>
          </cell>
          <cell r="G49">
            <v>0.68487394957983194</v>
          </cell>
          <cell r="H49">
            <v>0.6035805626598465</v>
          </cell>
          <cell r="I49">
            <v>0.6278195488721805</v>
          </cell>
          <cell r="J49">
            <v>0.6265709156193896</v>
          </cell>
          <cell r="K49">
            <v>1190</v>
          </cell>
          <cell r="L49">
            <v>782</v>
          </cell>
          <cell r="M49">
            <v>532</v>
          </cell>
          <cell r="N49">
            <v>557</v>
          </cell>
          <cell r="O49">
            <v>815</v>
          </cell>
          <cell r="P49">
            <v>472</v>
          </cell>
          <cell r="Q49">
            <v>334</v>
          </cell>
          <cell r="R49">
            <v>349</v>
          </cell>
        </row>
        <row r="50">
          <cell r="D50" t="str">
            <v>U. DE LAS AMÉRICAS</v>
          </cell>
          <cell r="E50" t="str">
            <v>UAM</v>
          </cell>
          <cell r="F50" t="str">
            <v>U. Privada</v>
          </cell>
          <cell r="G50">
            <v>0.72618872368614751</v>
          </cell>
          <cell r="H50">
            <v>0.72848466893793518</v>
          </cell>
          <cell r="I50">
            <v>0.57221807318894702</v>
          </cell>
          <cell r="J50">
            <v>0.61095100864553309</v>
          </cell>
          <cell r="K50">
            <v>6793</v>
          </cell>
          <cell r="L50">
            <v>6751</v>
          </cell>
          <cell r="M50">
            <v>6695</v>
          </cell>
          <cell r="N50">
            <v>3817</v>
          </cell>
          <cell r="O50">
            <v>4933</v>
          </cell>
          <cell r="P50">
            <v>4918</v>
          </cell>
          <cell r="Q50">
            <v>3831</v>
          </cell>
          <cell r="R50">
            <v>2332</v>
          </cell>
        </row>
        <row r="51">
          <cell r="D51" t="str">
            <v>U. DE LOS ANDES</v>
          </cell>
          <cell r="E51" t="str">
            <v>UAN</v>
          </cell>
          <cell r="F51" t="str">
            <v>U. Privada</v>
          </cell>
          <cell r="G51">
            <v>0.87804878048780488</v>
          </cell>
          <cell r="H51">
            <v>0.89834515366430256</v>
          </cell>
          <cell r="I51">
            <v>0.9247787610619469</v>
          </cell>
          <cell r="J51">
            <v>0.89250814332247552</v>
          </cell>
          <cell r="K51">
            <v>902</v>
          </cell>
          <cell r="L51">
            <v>846</v>
          </cell>
          <cell r="M51">
            <v>1130</v>
          </cell>
          <cell r="N51">
            <v>1228</v>
          </cell>
          <cell r="O51">
            <v>792</v>
          </cell>
          <cell r="P51">
            <v>760</v>
          </cell>
          <cell r="Q51">
            <v>1045</v>
          </cell>
          <cell r="R51">
            <v>1096</v>
          </cell>
        </row>
        <row r="52">
          <cell r="D52" t="str">
            <v>U. DE VIÑA DEL MAR</v>
          </cell>
          <cell r="E52" t="str">
            <v>UVM</v>
          </cell>
          <cell r="F52" t="str">
            <v>U. Privada</v>
          </cell>
          <cell r="G52">
            <v>0.70570264765784119</v>
          </cell>
          <cell r="H52">
            <v>0.75013376136971643</v>
          </cell>
          <cell r="I52">
            <v>0.74767932489451472</v>
          </cell>
          <cell r="J52">
            <v>0.79038854805725967</v>
          </cell>
          <cell r="K52">
            <v>1964</v>
          </cell>
          <cell r="L52">
            <v>1869</v>
          </cell>
          <cell r="M52">
            <v>1185</v>
          </cell>
          <cell r="N52">
            <v>1956</v>
          </cell>
          <cell r="O52">
            <v>1386</v>
          </cell>
          <cell r="P52">
            <v>1402</v>
          </cell>
          <cell r="Q52">
            <v>886</v>
          </cell>
          <cell r="R52">
            <v>1546</v>
          </cell>
        </row>
        <row r="53">
          <cell r="D53" t="str">
            <v>U. DEL DESARROLLO</v>
          </cell>
          <cell r="E53" t="str">
            <v>UDD</v>
          </cell>
          <cell r="F53" t="str">
            <v>U. Privada</v>
          </cell>
          <cell r="G53">
            <v>0.85015989036089534</v>
          </cell>
          <cell r="H53">
            <v>0.85520872508461832</v>
          </cell>
          <cell r="I53">
            <v>0.85844930417495025</v>
          </cell>
          <cell r="J53">
            <v>0.79769016328156117</v>
          </cell>
          <cell r="K53">
            <v>2189</v>
          </cell>
          <cell r="L53">
            <v>2659</v>
          </cell>
          <cell r="M53">
            <v>2515</v>
          </cell>
          <cell r="N53">
            <v>2511</v>
          </cell>
          <cell r="O53">
            <v>1861</v>
          </cell>
          <cell r="P53">
            <v>2274</v>
          </cell>
          <cell r="Q53">
            <v>2159</v>
          </cell>
          <cell r="R53">
            <v>2003</v>
          </cell>
        </row>
        <row r="54">
          <cell r="D54" t="str">
            <v>U. DEL MAR</v>
          </cell>
          <cell r="E54" t="str">
            <v>UDM</v>
          </cell>
          <cell r="F54" t="str">
            <v>U. Privada</v>
          </cell>
          <cell r="G54">
            <v>0.67755856966707773</v>
          </cell>
          <cell r="H54">
            <v>7.8207109737248842E-2</v>
          </cell>
          <cell r="K54">
            <v>4866</v>
          </cell>
          <cell r="L54">
            <v>3235</v>
          </cell>
          <cell r="M54">
            <v>0</v>
          </cell>
          <cell r="N54">
            <v>0</v>
          </cell>
          <cell r="O54">
            <v>3297</v>
          </cell>
          <cell r="P54">
            <v>253</v>
          </cell>
          <cell r="Q54">
            <v>0</v>
          </cell>
          <cell r="R54">
            <v>0</v>
          </cell>
        </row>
        <row r="55">
          <cell r="D55" t="str">
            <v>U. DEL PACÍFICO</v>
          </cell>
          <cell r="E55" t="str">
            <v>UPO</v>
          </cell>
          <cell r="F55" t="str">
            <v>U. Privada</v>
          </cell>
          <cell r="G55">
            <v>0.76320422535211263</v>
          </cell>
          <cell r="H55">
            <v>0.78246392896781358</v>
          </cell>
          <cell r="I55">
            <v>0.75525339925834367</v>
          </cell>
          <cell r="J55">
            <v>0.77108433734939763</v>
          </cell>
          <cell r="K55">
            <v>1136</v>
          </cell>
          <cell r="L55">
            <v>901</v>
          </cell>
          <cell r="M55">
            <v>809</v>
          </cell>
          <cell r="N55">
            <v>747</v>
          </cell>
          <cell r="O55">
            <v>867</v>
          </cell>
          <cell r="P55">
            <v>705</v>
          </cell>
          <cell r="Q55">
            <v>611</v>
          </cell>
          <cell r="R55">
            <v>576</v>
          </cell>
        </row>
        <row r="56">
          <cell r="D56" t="str">
            <v>U. DIEGO PORTALES</v>
          </cell>
          <cell r="E56" t="str">
            <v>UDP</v>
          </cell>
          <cell r="F56" t="str">
            <v>U. Privada</v>
          </cell>
          <cell r="G56">
            <v>0.83614931237721024</v>
          </cell>
          <cell r="H56">
            <v>0.84929859719438883</v>
          </cell>
          <cell r="I56">
            <v>0.83919597989949746</v>
          </cell>
          <cell r="J56">
            <v>0.83892617449664431</v>
          </cell>
          <cell r="K56">
            <v>2545</v>
          </cell>
          <cell r="L56">
            <v>2495</v>
          </cell>
          <cell r="M56">
            <v>2786</v>
          </cell>
          <cell r="N56">
            <v>2831</v>
          </cell>
          <cell r="O56">
            <v>2128</v>
          </cell>
          <cell r="P56">
            <v>2119</v>
          </cell>
          <cell r="Q56">
            <v>2338</v>
          </cell>
          <cell r="R56">
            <v>2375</v>
          </cell>
        </row>
        <row r="57">
          <cell r="D57" t="str">
            <v>U. FINIS TERRAE</v>
          </cell>
          <cell r="E57" t="str">
            <v>UFT</v>
          </cell>
          <cell r="F57" t="str">
            <v>U. Privada</v>
          </cell>
          <cell r="G57">
            <v>0.79572446555819476</v>
          </cell>
          <cell r="H57">
            <v>0.80802792321116923</v>
          </cell>
          <cell r="I57">
            <v>0.81681415929203538</v>
          </cell>
          <cell r="J57">
            <v>0.84595744680851059</v>
          </cell>
          <cell r="K57">
            <v>842</v>
          </cell>
          <cell r="L57">
            <v>1146</v>
          </cell>
          <cell r="M57">
            <v>1130</v>
          </cell>
          <cell r="N57">
            <v>1175</v>
          </cell>
          <cell r="O57">
            <v>670</v>
          </cell>
          <cell r="P57">
            <v>926</v>
          </cell>
          <cell r="Q57">
            <v>923</v>
          </cell>
          <cell r="R57">
            <v>994</v>
          </cell>
        </row>
        <row r="58">
          <cell r="D58" t="str">
            <v>U. GABRIELA MISTRAL</v>
          </cell>
          <cell r="E58" t="str">
            <v>UGM</v>
          </cell>
          <cell r="F58" t="str">
            <v>U. Privada</v>
          </cell>
          <cell r="I58">
            <v>0.70769230769230773</v>
          </cell>
          <cell r="J58">
            <v>0.6228070175438597</v>
          </cell>
          <cell r="K58">
            <v>0</v>
          </cell>
          <cell r="L58">
            <v>0</v>
          </cell>
          <cell r="M58">
            <v>195</v>
          </cell>
          <cell r="N58">
            <v>114</v>
          </cell>
          <cell r="O58">
            <v>0</v>
          </cell>
          <cell r="P58">
            <v>0</v>
          </cell>
          <cell r="Q58">
            <v>138</v>
          </cell>
          <cell r="R58">
            <v>71</v>
          </cell>
        </row>
        <row r="59">
          <cell r="D59" t="str">
            <v>U. IBEROAMERICANA DE CS. Y TECNOLOGÍA UNICYT</v>
          </cell>
          <cell r="E59" t="str">
            <v>UIB</v>
          </cell>
          <cell r="F59" t="str">
            <v>U. Privada</v>
          </cell>
          <cell r="G59">
            <v>0.38173817381738173</v>
          </cell>
          <cell r="H59">
            <v>0.41538461538461541</v>
          </cell>
          <cell r="I59">
            <v>0.62644628099173549</v>
          </cell>
          <cell r="J59">
            <v>0.57530120481927716</v>
          </cell>
          <cell r="K59">
            <v>909</v>
          </cell>
          <cell r="L59">
            <v>260</v>
          </cell>
          <cell r="M59">
            <v>605</v>
          </cell>
          <cell r="N59">
            <v>332</v>
          </cell>
          <cell r="O59">
            <v>347</v>
          </cell>
          <cell r="P59">
            <v>108</v>
          </cell>
          <cell r="Q59">
            <v>379</v>
          </cell>
          <cell r="R59">
            <v>191</v>
          </cell>
        </row>
        <row r="60">
          <cell r="D60" t="str">
            <v>U. LA ARAUCANA</v>
          </cell>
          <cell r="E60" t="e">
            <v>#N/A</v>
          </cell>
          <cell r="F60" t="str">
            <v>U. Privada</v>
          </cell>
          <cell r="H60">
            <v>0.44329896907216493</v>
          </cell>
          <cell r="I60">
            <v>0.51260504201680668</v>
          </cell>
          <cell r="J60">
            <v>0.58536585365853655</v>
          </cell>
          <cell r="K60">
            <v>0</v>
          </cell>
          <cell r="L60">
            <v>97</v>
          </cell>
          <cell r="M60">
            <v>119</v>
          </cell>
          <cell r="N60">
            <v>123</v>
          </cell>
          <cell r="O60">
            <v>0</v>
          </cell>
          <cell r="P60">
            <v>43</v>
          </cell>
          <cell r="Q60">
            <v>61</v>
          </cell>
          <cell r="R60">
            <v>72</v>
          </cell>
        </row>
        <row r="61">
          <cell r="D61" t="str">
            <v>U. LA REPÚBLICA</v>
          </cell>
          <cell r="E61" t="str">
            <v>ULR</v>
          </cell>
          <cell r="F61" t="str">
            <v>U. Privada</v>
          </cell>
          <cell r="G61">
            <v>0.51506849315068493</v>
          </cell>
          <cell r="H61">
            <v>0.74444444444444446</v>
          </cell>
          <cell r="I61">
            <v>0.63543441226575814</v>
          </cell>
          <cell r="J61">
            <v>0.60766045548654246</v>
          </cell>
          <cell r="K61">
            <v>365</v>
          </cell>
          <cell r="L61">
            <v>450</v>
          </cell>
          <cell r="M61">
            <v>587</v>
          </cell>
          <cell r="N61">
            <v>966</v>
          </cell>
          <cell r="O61">
            <v>188</v>
          </cell>
          <cell r="P61">
            <v>335</v>
          </cell>
          <cell r="Q61">
            <v>373</v>
          </cell>
          <cell r="R61">
            <v>587</v>
          </cell>
        </row>
        <row r="62">
          <cell r="D62" t="str">
            <v>U. LOS LEONES</v>
          </cell>
          <cell r="E62" t="e">
            <v>#N/A</v>
          </cell>
          <cell r="F62" t="str">
            <v>U. Privada</v>
          </cell>
          <cell r="G62">
            <v>0.35097001763668428</v>
          </cell>
          <cell r="H62">
            <v>0.43695861405197306</v>
          </cell>
          <cell r="I62">
            <v>0.4116591928251121</v>
          </cell>
          <cell r="J62">
            <v>0.39013933547695606</v>
          </cell>
          <cell r="K62">
            <v>567</v>
          </cell>
          <cell r="L62">
            <v>1039</v>
          </cell>
          <cell r="M62">
            <v>1115</v>
          </cell>
          <cell r="N62">
            <v>933</v>
          </cell>
          <cell r="O62">
            <v>199</v>
          </cell>
          <cell r="P62">
            <v>454</v>
          </cell>
          <cell r="Q62">
            <v>459</v>
          </cell>
          <cell r="R62">
            <v>364</v>
          </cell>
        </row>
        <row r="63">
          <cell r="D63" t="str">
            <v>U. MAYOR</v>
          </cell>
          <cell r="E63" t="str">
            <v>UMA</v>
          </cell>
          <cell r="F63" t="str">
            <v>U. Privada</v>
          </cell>
          <cell r="G63">
            <v>0.84222661396574439</v>
          </cell>
          <cell r="H63">
            <v>0.83181299885974913</v>
          </cell>
          <cell r="I63">
            <v>0.79679705959569436</v>
          </cell>
          <cell r="J63">
            <v>0.76205861989383794</v>
          </cell>
          <cell r="K63">
            <v>3036</v>
          </cell>
          <cell r="L63">
            <v>3508</v>
          </cell>
          <cell r="M63">
            <v>3809</v>
          </cell>
          <cell r="N63">
            <v>4333</v>
          </cell>
          <cell r="O63">
            <v>2557</v>
          </cell>
          <cell r="P63">
            <v>2918</v>
          </cell>
          <cell r="Q63">
            <v>3035</v>
          </cell>
          <cell r="R63">
            <v>3302</v>
          </cell>
        </row>
        <row r="64">
          <cell r="D64" t="str">
            <v>U. MIGUEL DE CERVANTES</v>
          </cell>
          <cell r="E64" t="e">
            <v>#N/A</v>
          </cell>
          <cell r="F64" t="str">
            <v>U. Privada</v>
          </cell>
          <cell r="G64">
            <v>0.51264367816091949</v>
          </cell>
          <cell r="H64">
            <v>0.47230320699708456</v>
          </cell>
          <cell r="I64">
            <v>0.61452513966480449</v>
          </cell>
          <cell r="J64">
            <v>0.62941176470588234</v>
          </cell>
          <cell r="K64">
            <v>435</v>
          </cell>
          <cell r="L64">
            <v>343</v>
          </cell>
          <cell r="M64">
            <v>179</v>
          </cell>
          <cell r="N64">
            <v>170</v>
          </cell>
          <cell r="O64">
            <v>223</v>
          </cell>
          <cell r="P64">
            <v>162</v>
          </cell>
          <cell r="Q64">
            <v>110</v>
          </cell>
          <cell r="R64">
            <v>107</v>
          </cell>
        </row>
        <row r="65">
          <cell r="D65" t="str">
            <v>U. PEDRO DE VALDIVIA</v>
          </cell>
          <cell r="E65" t="str">
            <v>UPV</v>
          </cell>
          <cell r="F65" t="str">
            <v>U. Privada</v>
          </cell>
          <cell r="G65">
            <v>0.71563041862769383</v>
          </cell>
          <cell r="H65">
            <v>0.55723204994797082</v>
          </cell>
          <cell r="I65">
            <v>0.61969439728353137</v>
          </cell>
          <cell r="J65">
            <v>0.63343717549325029</v>
          </cell>
          <cell r="K65">
            <v>4037</v>
          </cell>
          <cell r="L65">
            <v>3844</v>
          </cell>
          <cell r="M65">
            <v>589</v>
          </cell>
          <cell r="N65">
            <v>963</v>
          </cell>
          <cell r="O65">
            <v>2889</v>
          </cell>
          <cell r="P65">
            <v>2142</v>
          </cell>
          <cell r="Q65">
            <v>365</v>
          </cell>
          <cell r="R65">
            <v>610</v>
          </cell>
        </row>
        <row r="66">
          <cell r="D66" t="str">
            <v>U. SAN SEBASTIÁN</v>
          </cell>
          <cell r="E66" t="str">
            <v>USS</v>
          </cell>
          <cell r="F66" t="str">
            <v>U. Privada</v>
          </cell>
          <cell r="G66">
            <v>0.8311988242704178</v>
          </cell>
          <cell r="H66">
            <v>0.83661971830985915</v>
          </cell>
          <cell r="I66">
            <v>0.80619161018501562</v>
          </cell>
          <cell r="J66">
            <v>0.81819964698960579</v>
          </cell>
          <cell r="K66">
            <v>4763</v>
          </cell>
          <cell r="L66">
            <v>6035</v>
          </cell>
          <cell r="M66">
            <v>5459</v>
          </cell>
          <cell r="N66">
            <v>5099</v>
          </cell>
          <cell r="O66">
            <v>3959</v>
          </cell>
          <cell r="P66">
            <v>5049</v>
          </cell>
          <cell r="Q66">
            <v>4401</v>
          </cell>
          <cell r="R66">
            <v>4172</v>
          </cell>
        </row>
        <row r="67">
          <cell r="D67" t="str">
            <v>U. SANTO TOMÁS</v>
          </cell>
          <cell r="E67" t="str">
            <v>UST</v>
          </cell>
          <cell r="F67" t="str">
            <v>U. Privada</v>
          </cell>
          <cell r="G67">
            <v>0.77339003645200488</v>
          </cell>
          <cell r="H67">
            <v>0.79504504504504503</v>
          </cell>
          <cell r="I67">
            <v>0.74124329441464187</v>
          </cell>
          <cell r="J67">
            <v>0.75681939739704052</v>
          </cell>
          <cell r="K67">
            <v>6584</v>
          </cell>
          <cell r="L67">
            <v>6216</v>
          </cell>
          <cell r="M67">
            <v>6338</v>
          </cell>
          <cell r="N67">
            <v>5609</v>
          </cell>
          <cell r="O67">
            <v>5092</v>
          </cell>
          <cell r="P67">
            <v>4942</v>
          </cell>
          <cell r="Q67">
            <v>4698</v>
          </cell>
          <cell r="R67">
            <v>4245</v>
          </cell>
        </row>
        <row r="68">
          <cell r="D68" t="str">
            <v>U. INTERNACIONAL SEK</v>
          </cell>
          <cell r="E68" t="str">
            <v>USK</v>
          </cell>
          <cell r="F68" t="str">
            <v>U. Privada</v>
          </cell>
          <cell r="G68">
            <v>0.60827586206896556</v>
          </cell>
          <cell r="H68">
            <v>0.600828729281768</v>
          </cell>
          <cell r="I68">
            <v>0.55745967741935487</v>
          </cell>
          <cell r="J68">
            <v>0.5547752808988764</v>
          </cell>
          <cell r="K68">
            <v>1450</v>
          </cell>
          <cell r="L68">
            <v>1448</v>
          </cell>
          <cell r="M68">
            <v>992</v>
          </cell>
          <cell r="N68">
            <v>712</v>
          </cell>
          <cell r="O68">
            <v>882</v>
          </cell>
          <cell r="P68">
            <v>870</v>
          </cell>
          <cell r="Q68">
            <v>553</v>
          </cell>
          <cell r="R68">
            <v>395</v>
          </cell>
        </row>
        <row r="69">
          <cell r="D69" t="str">
            <v>U. TECNOLOGICA INACAP</v>
          </cell>
          <cell r="E69" t="str">
            <v>UTC</v>
          </cell>
          <cell r="F69" t="str">
            <v>U. Privada</v>
          </cell>
          <cell r="G69">
            <v>0.69448077426105148</v>
          </cell>
          <cell r="H69">
            <v>0.70984943538268508</v>
          </cell>
          <cell r="I69">
            <v>0.68638796470418051</v>
          </cell>
          <cell r="J69">
            <v>0.69568811131009778</v>
          </cell>
          <cell r="K69">
            <v>7646</v>
          </cell>
          <cell r="L69">
            <v>6376</v>
          </cell>
          <cell r="M69">
            <v>6913</v>
          </cell>
          <cell r="N69">
            <v>7259</v>
          </cell>
          <cell r="O69">
            <v>5310</v>
          </cell>
          <cell r="P69">
            <v>4526</v>
          </cell>
          <cell r="Q69">
            <v>4745</v>
          </cell>
          <cell r="R69">
            <v>5050</v>
          </cell>
        </row>
        <row r="70">
          <cell r="D70" t="str">
            <v>U.  UCINF</v>
          </cell>
          <cell r="E70" t="str">
            <v>UCI</v>
          </cell>
          <cell r="F70" t="str">
            <v>U. Privada</v>
          </cell>
          <cell r="G70">
            <v>0.74193548387096775</v>
          </cell>
          <cell r="H70">
            <v>0.55239179954441908</v>
          </cell>
          <cell r="I70">
            <v>0.5450081833060556</v>
          </cell>
          <cell r="J70">
            <v>0.59440559440559437</v>
          </cell>
          <cell r="K70">
            <v>2232</v>
          </cell>
          <cell r="L70">
            <v>2634</v>
          </cell>
          <cell r="M70">
            <v>611</v>
          </cell>
          <cell r="N70">
            <v>286</v>
          </cell>
          <cell r="O70">
            <v>1656</v>
          </cell>
          <cell r="P70">
            <v>1455</v>
          </cell>
          <cell r="Q70">
            <v>333</v>
          </cell>
          <cell r="R70">
            <v>170</v>
          </cell>
        </row>
      </sheetData>
      <sheetData sheetId="7">
        <row r="10">
          <cell r="C10" t="str">
            <v>P. U. C. DE CHILE</v>
          </cell>
          <cell r="D10" t="str">
            <v>PUC</v>
          </cell>
          <cell r="E10" t="str">
            <v>CRUCH Priv.</v>
          </cell>
          <cell r="F10">
            <v>0.79674993936453997</v>
          </cell>
          <cell r="G10">
            <v>0.77154356060606055</v>
          </cell>
          <cell r="H10">
            <v>0.76631330977620726</v>
          </cell>
          <cell r="I10">
            <v>0.74095895977245019</v>
          </cell>
          <cell r="J10">
            <v>4123</v>
          </cell>
          <cell r="K10">
            <v>4224</v>
          </cell>
          <cell r="L10">
            <v>4245</v>
          </cell>
          <cell r="M10">
            <v>4922</v>
          </cell>
          <cell r="N10">
            <v>3285</v>
          </cell>
          <cell r="O10">
            <v>3259</v>
          </cell>
          <cell r="P10">
            <v>3253</v>
          </cell>
          <cell r="Q10">
            <v>3647</v>
          </cell>
        </row>
        <row r="11">
          <cell r="C11" t="str">
            <v>P. U. C. DE VALPARAISO</v>
          </cell>
          <cell r="D11" t="str">
            <v>UCV</v>
          </cell>
          <cell r="E11" t="str">
            <v>CRUCH Priv.</v>
          </cell>
          <cell r="F11">
            <v>0.59649122807017541</v>
          </cell>
          <cell r="G11">
            <v>0.59691998660863743</v>
          </cell>
          <cell r="H11">
            <v>0.5578813828100222</v>
          </cell>
          <cell r="I11">
            <v>0.57996661101836389</v>
          </cell>
          <cell r="J11">
            <v>2964</v>
          </cell>
          <cell r="K11">
            <v>2987</v>
          </cell>
          <cell r="L11">
            <v>3153</v>
          </cell>
          <cell r="M11">
            <v>2995</v>
          </cell>
          <cell r="N11">
            <v>1768</v>
          </cell>
          <cell r="O11">
            <v>1783</v>
          </cell>
          <cell r="P11">
            <v>1759</v>
          </cell>
          <cell r="Q11">
            <v>1737</v>
          </cell>
        </row>
        <row r="12">
          <cell r="C12" t="str">
            <v>U. ARTURO PRAT</v>
          </cell>
          <cell r="D12" t="str">
            <v>UAP</v>
          </cell>
          <cell r="E12" t="str">
            <v>CRUCH Est.</v>
          </cell>
          <cell r="F12">
            <v>0.42909625275532698</v>
          </cell>
          <cell r="G12">
            <v>0.52417061611374405</v>
          </cell>
          <cell r="H12">
            <v>0.48810656517602286</v>
          </cell>
          <cell r="I12">
            <v>0.5701402805611222</v>
          </cell>
          <cell r="J12">
            <v>1361</v>
          </cell>
          <cell r="K12">
            <v>1055</v>
          </cell>
          <cell r="L12">
            <v>1051</v>
          </cell>
          <cell r="M12">
            <v>998</v>
          </cell>
          <cell r="N12">
            <v>584</v>
          </cell>
          <cell r="O12">
            <v>553</v>
          </cell>
          <cell r="P12">
            <v>513</v>
          </cell>
          <cell r="Q12">
            <v>569</v>
          </cell>
        </row>
        <row r="13">
          <cell r="C13" t="str">
            <v>U. AUSTRAL DE CHILE</v>
          </cell>
          <cell r="D13" t="str">
            <v>AUS</v>
          </cell>
          <cell r="E13" t="str">
            <v>CRUCH Priv.</v>
          </cell>
          <cell r="F13">
            <v>0.6459459459459459</v>
          </cell>
          <cell r="G13">
            <v>0.63734076433121023</v>
          </cell>
          <cell r="H13">
            <v>0.63039253789350957</v>
          </cell>
          <cell r="I13">
            <v>0.62969211303247574</v>
          </cell>
          <cell r="J13">
            <v>2220</v>
          </cell>
          <cell r="K13">
            <v>2512</v>
          </cell>
          <cell r="L13">
            <v>2573</v>
          </cell>
          <cell r="M13">
            <v>2371</v>
          </cell>
          <cell r="N13">
            <v>1434</v>
          </cell>
          <cell r="O13">
            <v>1601</v>
          </cell>
          <cell r="P13">
            <v>1622</v>
          </cell>
          <cell r="Q13">
            <v>1493</v>
          </cell>
        </row>
        <row r="14">
          <cell r="C14" t="str">
            <v>U. C. DE LA STMA. CONCEPCIÓN</v>
          </cell>
          <cell r="D14" t="str">
            <v>USC</v>
          </cell>
          <cell r="E14" t="str">
            <v>CRUCH Priv.</v>
          </cell>
          <cell r="F14">
            <v>0.73834039975772259</v>
          </cell>
          <cell r="G14">
            <v>0.72203579418344521</v>
          </cell>
          <cell r="H14">
            <v>0.68609125893347989</v>
          </cell>
          <cell r="I14">
            <v>0.68763326226012789</v>
          </cell>
          <cell r="J14">
            <v>1651</v>
          </cell>
          <cell r="K14">
            <v>1788</v>
          </cell>
          <cell r="L14">
            <v>1819</v>
          </cell>
          <cell r="M14">
            <v>1876</v>
          </cell>
          <cell r="N14">
            <v>1219</v>
          </cell>
          <cell r="O14">
            <v>1291</v>
          </cell>
          <cell r="P14">
            <v>1248</v>
          </cell>
          <cell r="Q14">
            <v>1290</v>
          </cell>
        </row>
        <row r="15">
          <cell r="C15" t="str">
            <v>U. C. DE TEMUCO</v>
          </cell>
          <cell r="D15" t="str">
            <v>UCT</v>
          </cell>
          <cell r="E15" t="str">
            <v>CRUCH Priv.</v>
          </cell>
          <cell r="F15">
            <v>0.64031382015691007</v>
          </cell>
          <cell r="G15">
            <v>0.56772334293948123</v>
          </cell>
          <cell r="H15">
            <v>0.58519900497512434</v>
          </cell>
          <cell r="I15">
            <v>0.63934426229508201</v>
          </cell>
          <cell r="J15">
            <v>1657</v>
          </cell>
          <cell r="K15">
            <v>1735</v>
          </cell>
          <cell r="L15">
            <v>1608</v>
          </cell>
          <cell r="M15">
            <v>1647</v>
          </cell>
          <cell r="N15">
            <v>1061</v>
          </cell>
          <cell r="O15">
            <v>985</v>
          </cell>
          <cell r="P15">
            <v>941</v>
          </cell>
          <cell r="Q15">
            <v>1053</v>
          </cell>
        </row>
        <row r="16">
          <cell r="C16" t="str">
            <v>U. C. DEL MAULE</v>
          </cell>
          <cell r="D16" t="str">
            <v>UCM</v>
          </cell>
          <cell r="E16" t="str">
            <v>CRUCH Priv.</v>
          </cell>
          <cell r="F16">
            <v>0.7963496637848223</v>
          </cell>
          <cell r="G16">
            <v>0.80956678700361007</v>
          </cell>
          <cell r="H16">
            <v>0.75880971025841815</v>
          </cell>
          <cell r="I16">
            <v>0.77064220183486243</v>
          </cell>
          <cell r="J16">
            <v>1041</v>
          </cell>
          <cell r="K16">
            <v>1108</v>
          </cell>
          <cell r="L16">
            <v>1277</v>
          </cell>
          <cell r="M16">
            <v>1308</v>
          </cell>
          <cell r="N16">
            <v>829</v>
          </cell>
          <cell r="O16">
            <v>897</v>
          </cell>
          <cell r="P16">
            <v>969</v>
          </cell>
          <cell r="Q16">
            <v>1008</v>
          </cell>
        </row>
        <row r="17">
          <cell r="C17" t="str">
            <v>U. C. DEL NORTE</v>
          </cell>
          <cell r="D17" t="str">
            <v>UCN</v>
          </cell>
          <cell r="E17" t="str">
            <v>CRUCH Priv.</v>
          </cell>
          <cell r="F17">
            <v>0.58977272727272723</v>
          </cell>
          <cell r="G17">
            <v>0.64413722478238611</v>
          </cell>
          <cell r="H17">
            <v>0.58383727322704781</v>
          </cell>
          <cell r="I17">
            <v>0.64928366762177647</v>
          </cell>
          <cell r="J17">
            <v>1760</v>
          </cell>
          <cell r="K17">
            <v>1953</v>
          </cell>
          <cell r="L17">
            <v>1819</v>
          </cell>
          <cell r="M17">
            <v>1745</v>
          </cell>
          <cell r="N17">
            <v>1038</v>
          </cell>
          <cell r="O17">
            <v>1258</v>
          </cell>
          <cell r="P17">
            <v>1062</v>
          </cell>
          <cell r="Q17">
            <v>1133</v>
          </cell>
        </row>
        <row r="18">
          <cell r="C18" t="str">
            <v>U. DE ANTOFAGASTA</v>
          </cell>
          <cell r="D18" t="str">
            <v>ANT</v>
          </cell>
          <cell r="E18" t="str">
            <v>CRUCH Est.</v>
          </cell>
          <cell r="F18">
            <v>0.63561417971970324</v>
          </cell>
          <cell r="G18">
            <v>0.65701559020044542</v>
          </cell>
          <cell r="H18">
            <v>0.66585067319461444</v>
          </cell>
          <cell r="I18">
            <v>0.68436873747494986</v>
          </cell>
          <cell r="J18">
            <v>1213</v>
          </cell>
          <cell r="K18">
            <v>898</v>
          </cell>
          <cell r="L18">
            <v>817</v>
          </cell>
          <cell r="M18">
            <v>998</v>
          </cell>
          <cell r="N18">
            <v>771</v>
          </cell>
          <cell r="O18">
            <v>590</v>
          </cell>
          <cell r="P18">
            <v>544</v>
          </cell>
          <cell r="Q18">
            <v>683</v>
          </cell>
        </row>
        <row r="19">
          <cell r="C19" t="str">
            <v>U. DE ATACAMA</v>
          </cell>
          <cell r="D19" t="str">
            <v>ATA</v>
          </cell>
          <cell r="E19" t="str">
            <v>CRUCH Est.</v>
          </cell>
          <cell r="F19">
            <v>0.44983089064261556</v>
          </cell>
          <cell r="G19">
            <v>0.46313065976714102</v>
          </cell>
          <cell r="H19">
            <v>0.51892744479495267</v>
          </cell>
          <cell r="I19">
            <v>0.44314868804664725</v>
          </cell>
          <cell r="J19">
            <v>887</v>
          </cell>
          <cell r="K19">
            <v>773</v>
          </cell>
          <cell r="L19">
            <v>634</v>
          </cell>
          <cell r="M19">
            <v>686</v>
          </cell>
          <cell r="N19">
            <v>399</v>
          </cell>
          <cell r="O19">
            <v>358</v>
          </cell>
          <cell r="P19">
            <v>329</v>
          </cell>
          <cell r="Q19">
            <v>304</v>
          </cell>
        </row>
        <row r="20">
          <cell r="C20" t="str">
            <v>U. DE CHILE</v>
          </cell>
          <cell r="D20" t="str">
            <v>UCH</v>
          </cell>
          <cell r="E20" t="str">
            <v>CRUCH Est.</v>
          </cell>
          <cell r="F20">
            <v>0.77357237715803451</v>
          </cell>
          <cell r="G20">
            <v>0.68979980934223073</v>
          </cell>
          <cell r="H20">
            <v>0.70239198961616911</v>
          </cell>
          <cell r="I20">
            <v>0.71343045300339258</v>
          </cell>
          <cell r="J20">
            <v>4518</v>
          </cell>
          <cell r="K20">
            <v>5245</v>
          </cell>
          <cell r="L20">
            <v>5393</v>
          </cell>
          <cell r="M20">
            <v>5011</v>
          </cell>
          <cell r="N20">
            <v>3495</v>
          </cell>
          <cell r="O20">
            <v>3618</v>
          </cell>
          <cell r="P20">
            <v>3788</v>
          </cell>
          <cell r="Q20">
            <v>3575</v>
          </cell>
        </row>
        <row r="21">
          <cell r="C21" t="str">
            <v>U. DE CONCEPCIÓN</v>
          </cell>
          <cell r="D21" t="str">
            <v>UCO</v>
          </cell>
          <cell r="E21" t="str">
            <v>CRUCH Priv.</v>
          </cell>
          <cell r="F21">
            <v>0.65728666209105469</v>
          </cell>
          <cell r="G21">
            <v>0.65969345484672748</v>
          </cell>
          <cell r="H21">
            <v>0.65565736202855318</v>
          </cell>
          <cell r="I21">
            <v>0.65961497778718003</v>
          </cell>
          <cell r="J21">
            <v>4371</v>
          </cell>
          <cell r="K21">
            <v>4828</v>
          </cell>
          <cell r="L21">
            <v>4693</v>
          </cell>
          <cell r="M21">
            <v>4727</v>
          </cell>
          <cell r="N21">
            <v>2873</v>
          </cell>
          <cell r="O21">
            <v>3185</v>
          </cell>
          <cell r="P21">
            <v>3077</v>
          </cell>
          <cell r="Q21">
            <v>3118</v>
          </cell>
        </row>
        <row r="22">
          <cell r="C22" t="str">
            <v>U. DE LA FRONTERA</v>
          </cell>
          <cell r="D22" t="str">
            <v>FRO</v>
          </cell>
          <cell r="E22" t="str">
            <v>CRUCH Est.</v>
          </cell>
          <cell r="F22">
            <v>0.70175438596491224</v>
          </cell>
          <cell r="G22">
            <v>0.66843220338983056</v>
          </cell>
          <cell r="H22">
            <v>0.64093959731543626</v>
          </cell>
          <cell r="I22">
            <v>0.66393022062596208</v>
          </cell>
          <cell r="J22">
            <v>1710</v>
          </cell>
          <cell r="K22">
            <v>1888</v>
          </cell>
          <cell r="L22">
            <v>1788</v>
          </cell>
          <cell r="M22">
            <v>1949</v>
          </cell>
          <cell r="N22">
            <v>1200</v>
          </cell>
          <cell r="O22">
            <v>1262</v>
          </cell>
          <cell r="P22">
            <v>1146</v>
          </cell>
          <cell r="Q22">
            <v>1294</v>
          </cell>
        </row>
        <row r="23">
          <cell r="C23" t="str">
            <v>U. DE LA SERENA</v>
          </cell>
          <cell r="D23" t="str">
            <v>ULS</v>
          </cell>
          <cell r="E23" t="str">
            <v>CRUCH Est.</v>
          </cell>
          <cell r="F23">
            <v>0.64012944983818765</v>
          </cell>
          <cell r="G23">
            <v>0.61448140900195691</v>
          </cell>
          <cell r="H23">
            <v>0.58439811701412236</v>
          </cell>
          <cell r="I23">
            <v>0.61419354838709672</v>
          </cell>
          <cell r="J23">
            <v>1545</v>
          </cell>
          <cell r="K23">
            <v>1533</v>
          </cell>
          <cell r="L23">
            <v>1487</v>
          </cell>
          <cell r="M23">
            <v>1550</v>
          </cell>
          <cell r="N23">
            <v>989</v>
          </cell>
          <cell r="O23">
            <v>942</v>
          </cell>
          <cell r="P23">
            <v>869</v>
          </cell>
          <cell r="Q23">
            <v>952</v>
          </cell>
        </row>
        <row r="24">
          <cell r="C24" t="str">
            <v>U. DE LOS LAGOS</v>
          </cell>
          <cell r="D24" t="str">
            <v>ULA</v>
          </cell>
          <cell r="E24" t="str">
            <v>CRUCH Est.</v>
          </cell>
          <cell r="F24">
            <v>0.62439024390243902</v>
          </cell>
          <cell r="G24">
            <v>0.62425149700598803</v>
          </cell>
          <cell r="H24">
            <v>0.61742424242424243</v>
          </cell>
          <cell r="I24">
            <v>0.66614664586583461</v>
          </cell>
          <cell r="J24">
            <v>820</v>
          </cell>
          <cell r="K24">
            <v>668</v>
          </cell>
          <cell r="L24">
            <v>792</v>
          </cell>
          <cell r="M24">
            <v>641</v>
          </cell>
          <cell r="N24">
            <v>512</v>
          </cell>
          <cell r="O24">
            <v>417</v>
          </cell>
          <cell r="P24">
            <v>489</v>
          </cell>
          <cell r="Q24">
            <v>427</v>
          </cell>
        </row>
        <row r="25">
          <cell r="C25" t="str">
            <v>U. DE MAGALLANES</v>
          </cell>
          <cell r="D25" t="str">
            <v>MAG</v>
          </cell>
          <cell r="E25" t="str">
            <v>CRUCH Est.</v>
          </cell>
          <cell r="F25">
            <v>0.6216216216216216</v>
          </cell>
          <cell r="G25">
            <v>0.60493827160493829</v>
          </cell>
          <cell r="H25">
            <v>0.63779527559055116</v>
          </cell>
          <cell r="I25">
            <v>0.63452914798206284</v>
          </cell>
          <cell r="J25">
            <v>666</v>
          </cell>
          <cell r="K25">
            <v>648</v>
          </cell>
          <cell r="L25">
            <v>508</v>
          </cell>
          <cell r="M25">
            <v>446</v>
          </cell>
          <cell r="N25">
            <v>414</v>
          </cell>
          <cell r="O25">
            <v>392</v>
          </cell>
          <cell r="P25">
            <v>324</v>
          </cell>
          <cell r="Q25">
            <v>283</v>
          </cell>
        </row>
        <row r="26">
          <cell r="C26" t="str">
            <v>U. DE PLAYA ANCHA DE CS. DE LA ED.</v>
          </cell>
          <cell r="D26" t="str">
            <v>UPA</v>
          </cell>
          <cell r="E26" t="str">
            <v>CRUCH Est.</v>
          </cell>
          <cell r="F26">
            <v>0.63931623931623927</v>
          </cell>
          <cell r="G26">
            <v>0.64087193460490466</v>
          </cell>
          <cell r="H26">
            <v>0.59954751131221717</v>
          </cell>
          <cell r="I26">
            <v>0.59619306594153632</v>
          </cell>
          <cell r="J26">
            <v>1755</v>
          </cell>
          <cell r="K26">
            <v>1835</v>
          </cell>
          <cell r="L26">
            <v>1768</v>
          </cell>
          <cell r="M26">
            <v>1471</v>
          </cell>
          <cell r="N26">
            <v>1122</v>
          </cell>
          <cell r="O26">
            <v>1176</v>
          </cell>
          <cell r="P26">
            <v>1060</v>
          </cell>
          <cell r="Q26">
            <v>877</v>
          </cell>
        </row>
        <row r="27">
          <cell r="C27" t="str">
            <v>U. DE SANTIAGO</v>
          </cell>
          <cell r="D27" t="str">
            <v>USA</v>
          </cell>
          <cell r="E27" t="str">
            <v>CRUCH Est.</v>
          </cell>
          <cell r="F27">
            <v>0.71329365079365081</v>
          </cell>
          <cell r="G27">
            <v>0.68065573770491805</v>
          </cell>
          <cell r="H27">
            <v>0.55658682634730539</v>
          </cell>
          <cell r="I27">
            <v>0.62788823213326173</v>
          </cell>
          <cell r="J27">
            <v>3024</v>
          </cell>
          <cell r="K27">
            <v>3050</v>
          </cell>
          <cell r="L27">
            <v>3340</v>
          </cell>
          <cell r="M27">
            <v>3722</v>
          </cell>
          <cell r="N27">
            <v>2157</v>
          </cell>
          <cell r="O27">
            <v>2076</v>
          </cell>
          <cell r="P27">
            <v>1859</v>
          </cell>
          <cell r="Q27">
            <v>2337</v>
          </cell>
        </row>
        <row r="28">
          <cell r="C28" t="str">
            <v>U. DE TALCA</v>
          </cell>
          <cell r="D28" t="str">
            <v>TAL</v>
          </cell>
          <cell r="E28" t="str">
            <v>CRUCH Est.</v>
          </cell>
          <cell r="F28">
            <v>0.76491732566498927</v>
          </cell>
          <cell r="G28">
            <v>0.7556596409055425</v>
          </cell>
          <cell r="H28">
            <v>0.70656370656370659</v>
          </cell>
          <cell r="I28">
            <v>0.70518602029312294</v>
          </cell>
          <cell r="J28">
            <v>1391</v>
          </cell>
          <cell r="K28">
            <v>1281</v>
          </cell>
          <cell r="L28">
            <v>1295</v>
          </cell>
          <cell r="M28">
            <v>1774</v>
          </cell>
          <cell r="N28">
            <v>1064</v>
          </cell>
          <cell r="O28">
            <v>968</v>
          </cell>
          <cell r="P28">
            <v>915</v>
          </cell>
          <cell r="Q28">
            <v>1251</v>
          </cell>
        </row>
        <row r="29">
          <cell r="C29" t="str">
            <v>U. DE TARAPACÁ</v>
          </cell>
          <cell r="D29" t="str">
            <v>UTA</v>
          </cell>
          <cell r="E29" t="str">
            <v>CRUCH Est.</v>
          </cell>
          <cell r="F29">
            <v>0.62388724035608312</v>
          </cell>
          <cell r="G29">
            <v>0.59766963673749141</v>
          </cell>
          <cell r="H29">
            <v>0.63847203274215547</v>
          </cell>
          <cell r="I29">
            <v>0.70169491525423733</v>
          </cell>
          <cell r="J29">
            <v>1348</v>
          </cell>
          <cell r="K29">
            <v>1459</v>
          </cell>
          <cell r="L29">
            <v>1466</v>
          </cell>
          <cell r="M29">
            <v>1475</v>
          </cell>
          <cell r="N29">
            <v>841</v>
          </cell>
          <cell r="O29">
            <v>872</v>
          </cell>
          <cell r="P29">
            <v>936</v>
          </cell>
          <cell r="Q29">
            <v>1035</v>
          </cell>
        </row>
        <row r="30">
          <cell r="C30" t="str">
            <v>U. DE VALPARAÍSO</v>
          </cell>
          <cell r="D30" t="str">
            <v>UVA</v>
          </cell>
          <cell r="E30" t="str">
            <v>CRUCH Est.</v>
          </cell>
          <cell r="F30">
            <v>0.67007402185407117</v>
          </cell>
          <cell r="G30">
            <v>0.6637140145523569</v>
          </cell>
          <cell r="H30">
            <v>0.64890073284477012</v>
          </cell>
          <cell r="I30">
            <v>0.64079147640791478</v>
          </cell>
          <cell r="J30">
            <v>2837</v>
          </cell>
          <cell r="K30">
            <v>3161</v>
          </cell>
          <cell r="L30">
            <v>3002</v>
          </cell>
          <cell r="M30">
            <v>3285</v>
          </cell>
          <cell r="N30">
            <v>1901</v>
          </cell>
          <cell r="O30">
            <v>2098</v>
          </cell>
          <cell r="P30">
            <v>1948</v>
          </cell>
          <cell r="Q30">
            <v>2105</v>
          </cell>
        </row>
        <row r="31">
          <cell r="C31" t="str">
            <v>U. DEL BÍO-BÍO</v>
          </cell>
          <cell r="D31" t="str">
            <v>UBB</v>
          </cell>
          <cell r="E31" t="str">
            <v>CRUCH Est.</v>
          </cell>
          <cell r="F31">
            <v>0.71873589164785556</v>
          </cell>
          <cell r="G31">
            <v>0.76222826086956519</v>
          </cell>
          <cell r="H31">
            <v>0.72163038443723948</v>
          </cell>
          <cell r="I31">
            <v>0.7530805687203791</v>
          </cell>
          <cell r="J31">
            <v>2215</v>
          </cell>
          <cell r="K31">
            <v>2208</v>
          </cell>
          <cell r="L31">
            <v>2159</v>
          </cell>
          <cell r="M31">
            <v>2110</v>
          </cell>
          <cell r="N31">
            <v>1592</v>
          </cell>
          <cell r="O31">
            <v>1683</v>
          </cell>
          <cell r="P31">
            <v>1558</v>
          </cell>
          <cell r="Q31">
            <v>1589</v>
          </cell>
        </row>
        <row r="32">
          <cell r="C32" t="str">
            <v>U. METROPOLITANA DE CS. DE LA ED.</v>
          </cell>
          <cell r="D32" t="str">
            <v>UMC</v>
          </cell>
          <cell r="E32" t="str">
            <v>CRUCH Est.</v>
          </cell>
          <cell r="F32">
            <v>0.70460959548447788</v>
          </cell>
          <cell r="G32">
            <v>0.64579256360078274</v>
          </cell>
          <cell r="H32">
            <v>0.65895953757225434</v>
          </cell>
          <cell r="I32">
            <v>0.63561924257932445</v>
          </cell>
          <cell r="J32">
            <v>1063</v>
          </cell>
          <cell r="K32">
            <v>1022</v>
          </cell>
          <cell r="L32">
            <v>1038</v>
          </cell>
          <cell r="M32">
            <v>977</v>
          </cell>
          <cell r="N32">
            <v>749</v>
          </cell>
          <cell r="O32">
            <v>660</v>
          </cell>
          <cell r="P32">
            <v>684</v>
          </cell>
          <cell r="Q32">
            <v>621</v>
          </cell>
        </row>
        <row r="33">
          <cell r="C33" t="str">
            <v>U. TÉCNICA FEDERICO STA. MARÍA</v>
          </cell>
          <cell r="D33" t="str">
            <v>FSM</v>
          </cell>
          <cell r="E33" t="str">
            <v>CRUCH Priv.</v>
          </cell>
          <cell r="F33">
            <v>0.68058968058968061</v>
          </cell>
          <cell r="G33">
            <v>0.66422594142259417</v>
          </cell>
          <cell r="H33">
            <v>0.60167966406718654</v>
          </cell>
          <cell r="I33">
            <v>0.59113034072471604</v>
          </cell>
          <cell r="J33">
            <v>1628</v>
          </cell>
          <cell r="K33">
            <v>1912</v>
          </cell>
          <cell r="L33">
            <v>1667</v>
          </cell>
          <cell r="M33">
            <v>1849</v>
          </cell>
          <cell r="N33">
            <v>1108</v>
          </cell>
          <cell r="O33">
            <v>1270</v>
          </cell>
          <cell r="P33">
            <v>1003</v>
          </cell>
          <cell r="Q33">
            <v>1093</v>
          </cell>
        </row>
        <row r="34">
          <cell r="C34" t="str">
            <v>U. TECNOLÓGICA METROPOLITANA</v>
          </cell>
          <cell r="D34" t="str">
            <v>UTM</v>
          </cell>
          <cell r="E34" t="str">
            <v>CRUCH Est.</v>
          </cell>
          <cell r="F34">
            <v>0.52498457742134486</v>
          </cell>
          <cell r="G34">
            <v>0.52720207253886009</v>
          </cell>
          <cell r="H34">
            <v>0.51516886090440761</v>
          </cell>
          <cell r="I34">
            <v>0.49744897959183676</v>
          </cell>
          <cell r="J34">
            <v>1621</v>
          </cell>
          <cell r="K34">
            <v>1544</v>
          </cell>
          <cell r="L34">
            <v>1747</v>
          </cell>
          <cell r="M34">
            <v>1568</v>
          </cell>
          <cell r="N34">
            <v>851</v>
          </cell>
          <cell r="O34">
            <v>814</v>
          </cell>
          <cell r="P34">
            <v>900</v>
          </cell>
          <cell r="Q34">
            <v>780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0.67334831642673465</v>
          </cell>
          <cell r="G35">
            <v>0.66273019584916693</v>
          </cell>
          <cell r="H35">
            <v>0.64131093685836638</v>
          </cell>
          <cell r="I35">
            <v>0.6574537916738642</v>
          </cell>
          <cell r="J35">
            <v>49389</v>
          </cell>
          <cell r="K35">
            <v>51315</v>
          </cell>
          <cell r="L35">
            <v>51139</v>
          </cell>
          <cell r="M35">
            <v>52101</v>
          </cell>
          <cell r="N35">
            <v>33256</v>
          </cell>
          <cell r="O35">
            <v>34008</v>
          </cell>
          <cell r="P35">
            <v>32796</v>
          </cell>
          <cell r="Q35">
            <v>34254</v>
          </cell>
        </row>
        <row r="36">
          <cell r="C36" t="str">
            <v>U. ACADEMIA HUMANISMO CRISTIANO</v>
          </cell>
          <cell r="D36" t="str">
            <v>AHC</v>
          </cell>
          <cell r="E36" t="str">
            <v>U. Privada</v>
          </cell>
          <cell r="F36">
            <v>0.58789954337899542</v>
          </cell>
          <cell r="G36">
            <v>0.55204678362573101</v>
          </cell>
          <cell r="H36">
            <v>0.50977653631284914</v>
          </cell>
          <cell r="I36">
            <v>0.52519083969465652</v>
          </cell>
          <cell r="J36">
            <v>876</v>
          </cell>
          <cell r="K36">
            <v>855</v>
          </cell>
          <cell r="L36">
            <v>716</v>
          </cell>
          <cell r="M36">
            <v>655</v>
          </cell>
          <cell r="N36">
            <v>515</v>
          </cell>
          <cell r="O36">
            <v>472</v>
          </cell>
          <cell r="P36">
            <v>365</v>
          </cell>
          <cell r="Q36">
            <v>344</v>
          </cell>
        </row>
        <row r="37">
          <cell r="C37" t="str">
            <v>U. ADOLFO IBAÑEZ</v>
          </cell>
          <cell r="D37" t="str">
            <v>UAI</v>
          </cell>
          <cell r="E37" t="str">
            <v>U. Privada</v>
          </cell>
          <cell r="F37">
            <v>0.62838633686690226</v>
          </cell>
          <cell r="G37">
            <v>0.62402088772845954</v>
          </cell>
          <cell r="H37">
            <v>0.66489078316462435</v>
          </cell>
          <cell r="I37">
            <v>0.72983870967741937</v>
          </cell>
          <cell r="J37">
            <v>1698</v>
          </cell>
          <cell r="K37">
            <v>1532</v>
          </cell>
          <cell r="L37">
            <v>1877</v>
          </cell>
          <cell r="M37">
            <v>1984</v>
          </cell>
          <cell r="N37">
            <v>1067</v>
          </cell>
          <cell r="O37">
            <v>956</v>
          </cell>
          <cell r="P37">
            <v>1248</v>
          </cell>
          <cell r="Q37">
            <v>1448</v>
          </cell>
        </row>
        <row r="38">
          <cell r="C38" t="str">
            <v>U. ADVENTISTA</v>
          </cell>
          <cell r="D38" t="str">
            <v>UAC</v>
          </cell>
          <cell r="E38" t="str">
            <v>U. Privada</v>
          </cell>
          <cell r="F38">
            <v>0.65909090909090906</v>
          </cell>
          <cell r="G38">
            <v>0.59558823529411764</v>
          </cell>
          <cell r="H38">
            <v>0.67169811320754713</v>
          </cell>
          <cell r="I38">
            <v>0.68259385665529015</v>
          </cell>
          <cell r="J38">
            <v>176</v>
          </cell>
          <cell r="K38">
            <v>272</v>
          </cell>
          <cell r="L38">
            <v>265</v>
          </cell>
          <cell r="M38">
            <v>293</v>
          </cell>
          <cell r="N38">
            <v>116</v>
          </cell>
          <cell r="O38">
            <v>162</v>
          </cell>
          <cell r="P38">
            <v>178</v>
          </cell>
          <cell r="Q38">
            <v>200</v>
          </cell>
        </row>
        <row r="39">
          <cell r="C39" t="str">
            <v>U. ALBERTO HURTADO</v>
          </cell>
          <cell r="D39" t="str">
            <v>UAH</v>
          </cell>
          <cell r="E39" t="str">
            <v>U. Privada</v>
          </cell>
          <cell r="F39">
            <v>0.651685393258427</v>
          </cell>
          <cell r="G39">
            <v>0.63916391639163916</v>
          </cell>
          <cell r="H39">
            <v>0.61085972850678738</v>
          </cell>
          <cell r="I39">
            <v>0.63989637305699487</v>
          </cell>
          <cell r="J39">
            <v>801</v>
          </cell>
          <cell r="K39">
            <v>909</v>
          </cell>
          <cell r="L39">
            <v>884</v>
          </cell>
          <cell r="M39">
            <v>1158</v>
          </cell>
          <cell r="N39">
            <v>522</v>
          </cell>
          <cell r="O39">
            <v>581</v>
          </cell>
          <cell r="P39">
            <v>540</v>
          </cell>
          <cell r="Q39">
            <v>741</v>
          </cell>
        </row>
        <row r="40">
          <cell r="C40" t="str">
            <v>U. ANDRÉS BELLO</v>
          </cell>
          <cell r="D40" t="str">
            <v>UAB</v>
          </cell>
          <cell r="E40" t="str">
            <v>U. Privada</v>
          </cell>
          <cell r="F40">
            <v>0.52313640207804757</v>
          </cell>
          <cell r="G40">
            <v>0.54298693923906871</v>
          </cell>
          <cell r="H40">
            <v>0.54033041788143832</v>
          </cell>
          <cell r="I40">
            <v>0.55392768079800503</v>
          </cell>
          <cell r="J40">
            <v>8277</v>
          </cell>
          <cell r="K40">
            <v>8805</v>
          </cell>
          <cell r="L40">
            <v>9261</v>
          </cell>
          <cell r="M40">
            <v>9624</v>
          </cell>
          <cell r="N40">
            <v>4330</v>
          </cell>
          <cell r="O40">
            <v>4781</v>
          </cell>
          <cell r="P40">
            <v>5004</v>
          </cell>
          <cell r="Q40">
            <v>5331</v>
          </cell>
        </row>
        <row r="41">
          <cell r="C41" t="str">
            <v>U. AUTÓNOMA DE CHILE</v>
          </cell>
          <cell r="D41" t="str">
            <v>UAU</v>
          </cell>
          <cell r="E41" t="str">
            <v>U. Privada</v>
          </cell>
          <cell r="F41">
            <v>0.68061336254107341</v>
          </cell>
          <cell r="G41">
            <v>0.70216466950135292</v>
          </cell>
          <cell r="H41">
            <v>0.70311493018259941</v>
          </cell>
          <cell r="I41">
            <v>0.66791338582677162</v>
          </cell>
          <cell r="J41">
            <v>4565</v>
          </cell>
          <cell r="K41">
            <v>5174</v>
          </cell>
          <cell r="L41">
            <v>4655</v>
          </cell>
          <cell r="M41">
            <v>5080</v>
          </cell>
          <cell r="N41">
            <v>3107</v>
          </cell>
          <cell r="O41">
            <v>3633</v>
          </cell>
          <cell r="P41">
            <v>3273</v>
          </cell>
          <cell r="Q41">
            <v>3393</v>
          </cell>
        </row>
        <row r="42">
          <cell r="C42" t="str">
            <v>U. BERNARDO O'HIGGINS</v>
          </cell>
          <cell r="D42" t="str">
            <v>UBO</v>
          </cell>
          <cell r="E42" t="str">
            <v>U. Privada</v>
          </cell>
          <cell r="F42">
            <v>0.62453531598513012</v>
          </cell>
          <cell r="G42">
            <v>0.62899050905953413</v>
          </cell>
          <cell r="H42">
            <v>0.56718749999999996</v>
          </cell>
          <cell r="I42">
            <v>0.55360134003350081</v>
          </cell>
          <cell r="J42">
            <v>1076</v>
          </cell>
          <cell r="K42">
            <v>1159</v>
          </cell>
          <cell r="L42">
            <v>1280</v>
          </cell>
          <cell r="M42">
            <v>1194</v>
          </cell>
          <cell r="N42">
            <v>672</v>
          </cell>
          <cell r="O42">
            <v>729</v>
          </cell>
          <cell r="P42">
            <v>726</v>
          </cell>
          <cell r="Q42">
            <v>661</v>
          </cell>
        </row>
        <row r="43">
          <cell r="C43" t="str">
            <v>U. BOLIVARIANA</v>
          </cell>
          <cell r="D43" t="str">
            <v>UBL</v>
          </cell>
          <cell r="E43" t="str">
            <v>U. Privada</v>
          </cell>
          <cell r="F43">
            <v>0.2814814814814815</v>
          </cell>
          <cell r="G43">
            <v>0.32131147540983607</v>
          </cell>
          <cell r="H43">
            <v>0.39660056657223797</v>
          </cell>
          <cell r="I43">
            <v>0.29799426934097423</v>
          </cell>
          <cell r="J43">
            <v>1080</v>
          </cell>
          <cell r="K43">
            <v>915</v>
          </cell>
          <cell r="L43">
            <v>706</v>
          </cell>
          <cell r="M43">
            <v>349</v>
          </cell>
          <cell r="N43">
            <v>304</v>
          </cell>
          <cell r="O43">
            <v>294</v>
          </cell>
          <cell r="P43">
            <v>280</v>
          </cell>
          <cell r="Q43">
            <v>104</v>
          </cell>
        </row>
        <row r="44">
          <cell r="C44" t="str">
            <v>U. C. SILVA HENRÍQUEZ</v>
          </cell>
          <cell r="D44" t="str">
            <v>UCS</v>
          </cell>
          <cell r="E44" t="str">
            <v>U. Privada</v>
          </cell>
          <cell r="F44">
            <v>0.59631728045325783</v>
          </cell>
          <cell r="G44">
            <v>0.62131303520456704</v>
          </cell>
          <cell r="H44">
            <v>0.60266666666666668</v>
          </cell>
          <cell r="I44">
            <v>0.6033755274261603</v>
          </cell>
          <cell r="J44">
            <v>1412</v>
          </cell>
          <cell r="K44">
            <v>1051</v>
          </cell>
          <cell r="L44">
            <v>1125</v>
          </cell>
          <cell r="M44">
            <v>948</v>
          </cell>
          <cell r="N44">
            <v>842</v>
          </cell>
          <cell r="O44">
            <v>653</v>
          </cell>
          <cell r="P44">
            <v>678</v>
          </cell>
          <cell r="Q44">
            <v>572</v>
          </cell>
        </row>
        <row r="45">
          <cell r="C45" t="str">
            <v>U. CENTRAL</v>
          </cell>
          <cell r="D45" t="str">
            <v>UCE</v>
          </cell>
          <cell r="E45" t="str">
            <v>U. Privada</v>
          </cell>
          <cell r="F45">
            <v>0.59445628997867805</v>
          </cell>
          <cell r="G45">
            <v>0.62917795844625113</v>
          </cell>
          <cell r="H45">
            <v>0.59069325735992406</v>
          </cell>
          <cell r="I45">
            <v>0.57628490489680295</v>
          </cell>
          <cell r="J45">
            <v>2345</v>
          </cell>
          <cell r="K45">
            <v>2214</v>
          </cell>
          <cell r="L45">
            <v>2106</v>
          </cell>
          <cell r="M45">
            <v>2471</v>
          </cell>
          <cell r="N45">
            <v>1394</v>
          </cell>
          <cell r="O45">
            <v>1393</v>
          </cell>
          <cell r="P45">
            <v>1244</v>
          </cell>
          <cell r="Q45">
            <v>1424</v>
          </cell>
        </row>
        <row r="46">
          <cell r="C46" t="str">
            <v>U. CHILENO BRITÁNICA DE CULTURA</v>
          </cell>
          <cell r="D46" t="e">
            <v>#N/A</v>
          </cell>
          <cell r="E46" t="str">
            <v>U. Privada</v>
          </cell>
          <cell r="F46">
            <v>0.50819672131147542</v>
          </cell>
          <cell r="G46">
            <v>0.55555555555555558</v>
          </cell>
          <cell r="H46">
            <v>0.51041666666666663</v>
          </cell>
          <cell r="I46">
            <v>0.55913978494623651</v>
          </cell>
          <cell r="J46">
            <v>122</v>
          </cell>
          <cell r="K46">
            <v>90</v>
          </cell>
          <cell r="L46">
            <v>96</v>
          </cell>
          <cell r="M46">
            <v>93</v>
          </cell>
          <cell r="N46">
            <v>62</v>
          </cell>
          <cell r="O46">
            <v>50</v>
          </cell>
          <cell r="P46">
            <v>49</v>
          </cell>
          <cell r="Q46">
            <v>52</v>
          </cell>
        </row>
        <row r="47">
          <cell r="C47" t="str">
            <v>U. DE ACONCAGUA</v>
          </cell>
          <cell r="D47" t="e">
            <v>#N/A</v>
          </cell>
          <cell r="E47" t="str">
            <v>U. Privada</v>
          </cell>
          <cell r="F47">
            <v>0.30660042583392477</v>
          </cell>
          <cell r="G47">
            <v>0.41933418693982072</v>
          </cell>
          <cell r="H47">
            <v>0.43443804034582134</v>
          </cell>
          <cell r="I47">
            <v>0.41551459293394777</v>
          </cell>
          <cell r="J47">
            <v>1409</v>
          </cell>
          <cell r="K47">
            <v>1562</v>
          </cell>
          <cell r="L47">
            <v>1388</v>
          </cell>
          <cell r="M47">
            <v>1302</v>
          </cell>
          <cell r="N47">
            <v>432</v>
          </cell>
          <cell r="O47">
            <v>655</v>
          </cell>
          <cell r="P47">
            <v>603</v>
          </cell>
          <cell r="Q47">
            <v>541</v>
          </cell>
        </row>
        <row r="48">
          <cell r="C48" t="str">
            <v>U. DE ARTES Y CS. SOCIALES ARCIS</v>
          </cell>
          <cell r="D48" t="str">
            <v>UAR</v>
          </cell>
          <cell r="E48" t="str">
            <v>U. Privada</v>
          </cell>
          <cell r="F48">
            <v>0.38154269972451793</v>
          </cell>
          <cell r="G48">
            <v>0.43133462282398455</v>
          </cell>
          <cell r="H48">
            <v>0.46702127659574466</v>
          </cell>
          <cell r="I48">
            <v>0.28644240570846075</v>
          </cell>
          <cell r="J48">
            <v>726</v>
          </cell>
          <cell r="K48">
            <v>517</v>
          </cell>
          <cell r="L48">
            <v>940</v>
          </cell>
          <cell r="M48">
            <v>981</v>
          </cell>
          <cell r="N48">
            <v>277</v>
          </cell>
          <cell r="O48">
            <v>223</v>
          </cell>
          <cell r="P48">
            <v>439</v>
          </cell>
          <cell r="Q48">
            <v>281</v>
          </cell>
        </row>
        <row r="49">
          <cell r="C49" t="str">
            <v>U. DE ARTES, CS. Y COMUNICACIÓN UNIACC</v>
          </cell>
          <cell r="D49" t="str">
            <v>UCC</v>
          </cell>
          <cell r="E49" t="str">
            <v>U. Privada</v>
          </cell>
          <cell r="F49">
            <v>0.49010477299185101</v>
          </cell>
          <cell r="G49">
            <v>0.43168316831683168</v>
          </cell>
          <cell r="H49">
            <v>0.40756302521008403</v>
          </cell>
          <cell r="I49">
            <v>0.29833546734955185</v>
          </cell>
          <cell r="J49">
            <v>859</v>
          </cell>
          <cell r="K49">
            <v>1010</v>
          </cell>
          <cell r="L49">
            <v>1190</v>
          </cell>
          <cell r="M49">
            <v>781</v>
          </cell>
          <cell r="N49">
            <v>421</v>
          </cell>
          <cell r="O49">
            <v>436</v>
          </cell>
          <cell r="P49">
            <v>485</v>
          </cell>
          <cell r="Q49">
            <v>233</v>
          </cell>
        </row>
        <row r="50">
          <cell r="C50" t="str">
            <v>U. DE LAS AMÉRICAS</v>
          </cell>
          <cell r="D50" t="str">
            <v>UAM</v>
          </cell>
          <cell r="E50" t="str">
            <v>U. Privada</v>
          </cell>
          <cell r="F50">
            <v>0.55668247996073938</v>
          </cell>
          <cell r="G50">
            <v>0.58507564167941528</v>
          </cell>
          <cell r="H50">
            <v>0.50861180627116154</v>
          </cell>
          <cell r="I50">
            <v>0.45107327905255368</v>
          </cell>
          <cell r="J50">
            <v>6113</v>
          </cell>
          <cell r="K50">
            <v>5883</v>
          </cell>
          <cell r="L50">
            <v>6793</v>
          </cell>
          <cell r="M50">
            <v>6755</v>
          </cell>
          <cell r="N50">
            <v>3403</v>
          </cell>
          <cell r="O50">
            <v>3442</v>
          </cell>
          <cell r="P50">
            <v>3455</v>
          </cell>
          <cell r="Q50">
            <v>3047</v>
          </cell>
        </row>
        <row r="51">
          <cell r="C51" t="str">
            <v>U. DE LOS ANDES</v>
          </cell>
          <cell r="D51" t="str">
            <v>UAN</v>
          </cell>
          <cell r="E51" t="str">
            <v>U. Privada</v>
          </cell>
          <cell r="F51">
            <v>0.81222707423580787</v>
          </cell>
          <cell r="G51">
            <v>0.78400000000000003</v>
          </cell>
          <cell r="H51">
            <v>0.76829268292682928</v>
          </cell>
          <cell r="I51">
            <v>0.81582054309327035</v>
          </cell>
          <cell r="J51">
            <v>687</v>
          </cell>
          <cell r="K51">
            <v>750</v>
          </cell>
          <cell r="L51">
            <v>902</v>
          </cell>
          <cell r="M51">
            <v>847</v>
          </cell>
          <cell r="N51">
            <v>558</v>
          </cell>
          <cell r="O51">
            <v>588</v>
          </cell>
          <cell r="P51">
            <v>693</v>
          </cell>
          <cell r="Q51">
            <v>691</v>
          </cell>
        </row>
        <row r="52">
          <cell r="C52" t="str">
            <v>U. DE VIÑA DEL MAR</v>
          </cell>
          <cell r="D52" t="str">
            <v>UVM</v>
          </cell>
          <cell r="E52" t="str">
            <v>U. Privada</v>
          </cell>
          <cell r="F52">
            <v>0.53194650817236255</v>
          </cell>
          <cell r="G52">
            <v>0.56839309428950868</v>
          </cell>
          <cell r="H52">
            <v>0.52885572139303483</v>
          </cell>
          <cell r="I52">
            <v>0.58983957219251337</v>
          </cell>
          <cell r="J52">
            <v>1346</v>
          </cell>
          <cell r="K52">
            <v>1506</v>
          </cell>
          <cell r="L52">
            <v>2010</v>
          </cell>
          <cell r="M52">
            <v>1870</v>
          </cell>
          <cell r="N52">
            <v>716</v>
          </cell>
          <cell r="O52">
            <v>856</v>
          </cell>
          <cell r="P52">
            <v>1063</v>
          </cell>
          <cell r="Q52">
            <v>1103</v>
          </cell>
        </row>
        <row r="53">
          <cell r="C53" t="str">
            <v>U. DEL DESARROLLO</v>
          </cell>
          <cell r="D53" t="str">
            <v>UDD</v>
          </cell>
          <cell r="E53" t="str">
            <v>U. Privada</v>
          </cell>
          <cell r="F53">
            <v>0.75232198142414863</v>
          </cell>
          <cell r="G53">
            <v>0.76488095238095233</v>
          </cell>
          <cell r="H53">
            <v>0.72760511882998169</v>
          </cell>
          <cell r="I53">
            <v>0.73486273034975558</v>
          </cell>
          <cell r="J53">
            <v>2261</v>
          </cell>
          <cell r="K53">
            <v>2352</v>
          </cell>
          <cell r="L53">
            <v>2188</v>
          </cell>
          <cell r="M53">
            <v>2659</v>
          </cell>
          <cell r="N53">
            <v>1701</v>
          </cell>
          <cell r="O53">
            <v>1799</v>
          </cell>
          <cell r="P53">
            <v>1592</v>
          </cell>
          <cell r="Q53">
            <v>1954</v>
          </cell>
        </row>
        <row r="54">
          <cell r="C54" t="str">
            <v>U. DEL MAR</v>
          </cell>
          <cell r="D54" t="str">
            <v>UDM</v>
          </cell>
          <cell r="E54" t="str">
            <v>U. Privada</v>
          </cell>
          <cell r="F54">
            <v>0.42112159329140464</v>
          </cell>
          <cell r="G54">
            <v>0.1333013665787581</v>
          </cell>
          <cell r="H54">
            <v>2.2857142857142857E-2</v>
          </cell>
          <cell r="I54">
            <v>3.031221582297666E-4</v>
          </cell>
          <cell r="J54">
            <v>3816</v>
          </cell>
          <cell r="K54">
            <v>4171</v>
          </cell>
          <cell r="L54">
            <v>4900</v>
          </cell>
          <cell r="M54">
            <v>3299</v>
          </cell>
          <cell r="N54">
            <v>1607</v>
          </cell>
          <cell r="O54">
            <v>556</v>
          </cell>
          <cell r="P54">
            <v>112</v>
          </cell>
          <cell r="Q54">
            <v>1</v>
          </cell>
        </row>
        <row r="55">
          <cell r="C55" t="str">
            <v>U. DEL PACÍFICO</v>
          </cell>
          <cell r="D55" t="str">
            <v>UPO</v>
          </cell>
          <cell r="E55" t="str">
            <v>U. Privada</v>
          </cell>
          <cell r="F55">
            <v>0.59166115155526144</v>
          </cell>
          <cell r="G55">
            <v>0.56133225020308697</v>
          </cell>
          <cell r="H55">
            <v>0.59583694709453594</v>
          </cell>
          <cell r="I55">
            <v>0.61496149614961493</v>
          </cell>
          <cell r="J55">
            <v>1511</v>
          </cell>
          <cell r="K55">
            <v>1231</v>
          </cell>
          <cell r="L55">
            <v>1153</v>
          </cell>
          <cell r="M55">
            <v>909</v>
          </cell>
          <cell r="N55">
            <v>894</v>
          </cell>
          <cell r="O55">
            <v>691</v>
          </cell>
          <cell r="P55">
            <v>687</v>
          </cell>
          <cell r="Q55">
            <v>559</v>
          </cell>
        </row>
        <row r="56">
          <cell r="C56" t="str">
            <v>U. DIEGO PORTALES</v>
          </cell>
          <cell r="D56" t="str">
            <v>UDP</v>
          </cell>
          <cell r="E56" t="str">
            <v>U. Privada</v>
          </cell>
          <cell r="F56">
            <v>0.68855858969927408</v>
          </cell>
          <cell r="G56">
            <v>0.69433962264150939</v>
          </cell>
          <cell r="H56">
            <v>0.69783889980353631</v>
          </cell>
          <cell r="I56">
            <v>0.73736968724939855</v>
          </cell>
          <cell r="J56">
            <v>2893</v>
          </cell>
          <cell r="K56">
            <v>2650</v>
          </cell>
          <cell r="L56">
            <v>2545</v>
          </cell>
          <cell r="M56">
            <v>2494</v>
          </cell>
          <cell r="N56">
            <v>1992</v>
          </cell>
          <cell r="O56">
            <v>1840</v>
          </cell>
          <cell r="P56">
            <v>1776</v>
          </cell>
          <cell r="Q56">
            <v>1839</v>
          </cell>
        </row>
        <row r="57">
          <cell r="C57" t="str">
            <v>U. FINIS TERRAE</v>
          </cell>
          <cell r="D57" t="str">
            <v>UFT</v>
          </cell>
          <cell r="E57" t="str">
            <v>U. Privada</v>
          </cell>
          <cell r="F57">
            <v>0.60788863109048719</v>
          </cell>
          <cell r="G57">
            <v>0.64989733059548249</v>
          </cell>
          <cell r="H57">
            <v>0.63411764705882356</v>
          </cell>
          <cell r="I57">
            <v>0.68444055944055948</v>
          </cell>
          <cell r="J57">
            <v>862</v>
          </cell>
          <cell r="K57">
            <v>974</v>
          </cell>
          <cell r="L57">
            <v>850</v>
          </cell>
          <cell r="M57">
            <v>1144</v>
          </cell>
          <cell r="N57">
            <v>524</v>
          </cell>
          <cell r="O57">
            <v>633</v>
          </cell>
          <cell r="P57">
            <v>539</v>
          </cell>
          <cell r="Q57">
            <v>783</v>
          </cell>
        </row>
        <row r="58">
          <cell r="C58" t="str">
            <v>U. GABRIELA MISTRAL</v>
          </cell>
          <cell r="D58" t="str">
            <v>UGM</v>
          </cell>
          <cell r="E58" t="str">
            <v>U. Privada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U. IBEROAMERICANA DE CS. Y TECNOLOGÍA UNICYT</v>
          </cell>
          <cell r="D59" t="str">
            <v>UIB</v>
          </cell>
          <cell r="E59" t="str">
            <v>U. Privada</v>
          </cell>
          <cell r="F59">
            <v>0.18080357142857142</v>
          </cell>
          <cell r="G59">
            <v>0.58793103448275863</v>
          </cell>
          <cell r="H59">
            <v>0.45688960515713134</v>
          </cell>
          <cell r="I59">
            <v>0.24301675977653631</v>
          </cell>
          <cell r="J59">
            <v>896</v>
          </cell>
          <cell r="K59">
            <v>1160</v>
          </cell>
          <cell r="L59">
            <v>1241</v>
          </cell>
          <cell r="M59">
            <v>358</v>
          </cell>
          <cell r="N59">
            <v>162</v>
          </cell>
          <cell r="O59">
            <v>682</v>
          </cell>
          <cell r="P59">
            <v>567</v>
          </cell>
          <cell r="Q59">
            <v>87</v>
          </cell>
        </row>
        <row r="60">
          <cell r="C60" t="str">
            <v>U. LA ARAUCANA</v>
          </cell>
          <cell r="D60" t="e">
            <v>#N/A</v>
          </cell>
          <cell r="E60" t="str">
            <v>U. Privada</v>
          </cell>
          <cell r="F60">
            <v>0</v>
          </cell>
          <cell r="G60">
            <v>0</v>
          </cell>
          <cell r="H60">
            <v>0</v>
          </cell>
          <cell r="I60">
            <v>0.31958762886597936</v>
          </cell>
          <cell r="J60">
            <v>0</v>
          </cell>
          <cell r="K60">
            <v>0</v>
          </cell>
          <cell r="L60">
            <v>0</v>
          </cell>
          <cell r="M60">
            <v>97</v>
          </cell>
          <cell r="N60">
            <v>0</v>
          </cell>
          <cell r="O60">
            <v>0</v>
          </cell>
          <cell r="P60">
            <v>0</v>
          </cell>
          <cell r="Q60">
            <v>31</v>
          </cell>
        </row>
        <row r="61">
          <cell r="C61" t="str">
            <v>U. LA REPÚBLICA</v>
          </cell>
          <cell r="D61" t="str">
            <v>ULR</v>
          </cell>
          <cell r="E61" t="str">
            <v>U. Privada</v>
          </cell>
          <cell r="F61">
            <v>0.5</v>
          </cell>
          <cell r="G61">
            <v>0.44086021505376344</v>
          </cell>
          <cell r="H61">
            <v>0.33854166666666669</v>
          </cell>
          <cell r="I61">
            <v>0.36568848758465011</v>
          </cell>
          <cell r="J61">
            <v>42</v>
          </cell>
          <cell r="K61">
            <v>279</v>
          </cell>
          <cell r="L61">
            <v>384</v>
          </cell>
          <cell r="M61">
            <v>443</v>
          </cell>
          <cell r="N61">
            <v>21</v>
          </cell>
          <cell r="O61">
            <v>123</v>
          </cell>
          <cell r="P61">
            <v>130</v>
          </cell>
          <cell r="Q61">
            <v>162</v>
          </cell>
        </row>
        <row r="62">
          <cell r="C62" t="str">
            <v>U. LOS LEONES</v>
          </cell>
          <cell r="D62" t="e">
            <v>#N/A</v>
          </cell>
          <cell r="E62" t="str">
            <v>U. Privada</v>
          </cell>
          <cell r="F62">
            <v>0</v>
          </cell>
          <cell r="G62">
            <v>0</v>
          </cell>
          <cell r="H62">
            <v>0.21693121693121692</v>
          </cell>
          <cell r="I62">
            <v>0.26948989412897018</v>
          </cell>
          <cell r="J62">
            <v>0</v>
          </cell>
          <cell r="K62">
            <v>4</v>
          </cell>
          <cell r="L62">
            <v>567</v>
          </cell>
          <cell r="M62">
            <v>1039</v>
          </cell>
          <cell r="N62">
            <v>0</v>
          </cell>
          <cell r="O62">
            <v>0</v>
          </cell>
          <cell r="P62">
            <v>123</v>
          </cell>
          <cell r="Q62">
            <v>280</v>
          </cell>
        </row>
        <row r="63">
          <cell r="C63" t="str">
            <v>U. MAYOR</v>
          </cell>
          <cell r="D63" t="str">
            <v>UMA</v>
          </cell>
          <cell r="E63" t="str">
            <v>U. Privada</v>
          </cell>
          <cell r="F63">
            <v>0.69956002514142046</v>
          </cell>
          <cell r="G63">
            <v>0.70429362880886426</v>
          </cell>
          <cell r="H63">
            <v>0.6768774703557312</v>
          </cell>
          <cell r="I63">
            <v>0.67274800456100337</v>
          </cell>
          <cell r="J63">
            <v>3182</v>
          </cell>
          <cell r="K63">
            <v>2888</v>
          </cell>
          <cell r="L63">
            <v>3036</v>
          </cell>
          <cell r="M63">
            <v>3508</v>
          </cell>
          <cell r="N63">
            <v>2226</v>
          </cell>
          <cell r="O63">
            <v>2034</v>
          </cell>
          <cell r="P63">
            <v>2055</v>
          </cell>
          <cell r="Q63">
            <v>2360</v>
          </cell>
        </row>
        <row r="64">
          <cell r="C64" t="str">
            <v>U. MIGUEL DE CERVANTES</v>
          </cell>
          <cell r="D64" t="e">
            <v>#N/A</v>
          </cell>
          <cell r="E64" t="str">
            <v>U. Privada</v>
          </cell>
          <cell r="F64">
            <v>0.27947598253275108</v>
          </cell>
          <cell r="G64">
            <v>0.32923076923076922</v>
          </cell>
          <cell r="H64">
            <v>0.35172413793103446</v>
          </cell>
          <cell r="I64">
            <v>0.35276967930029157</v>
          </cell>
          <cell r="J64">
            <v>229</v>
          </cell>
          <cell r="K64">
            <v>325</v>
          </cell>
          <cell r="L64">
            <v>435</v>
          </cell>
          <cell r="M64">
            <v>343</v>
          </cell>
          <cell r="N64">
            <v>64</v>
          </cell>
          <cell r="O64">
            <v>107</v>
          </cell>
          <cell r="P64">
            <v>153</v>
          </cell>
          <cell r="Q64">
            <v>121</v>
          </cell>
        </row>
        <row r="65">
          <cell r="C65" t="str">
            <v>U. PEDRO DE VALDIVIA</v>
          </cell>
          <cell r="D65" t="str">
            <v>UPV</v>
          </cell>
          <cell r="E65" t="str">
            <v>U. Privada</v>
          </cell>
          <cell r="F65">
            <v>0.27644710578842313</v>
          </cell>
          <cell r="G65">
            <v>0.4799342105263158</v>
          </cell>
          <cell r="H65">
            <v>0.45040811278753401</v>
          </cell>
          <cell r="I65">
            <v>0.41644976574700676</v>
          </cell>
          <cell r="J65">
            <v>2004</v>
          </cell>
          <cell r="K65">
            <v>3040</v>
          </cell>
          <cell r="L65">
            <v>4043</v>
          </cell>
          <cell r="M65">
            <v>3842</v>
          </cell>
          <cell r="N65">
            <v>554</v>
          </cell>
          <cell r="O65">
            <v>1459</v>
          </cell>
          <cell r="P65">
            <v>1821</v>
          </cell>
          <cell r="Q65">
            <v>1600</v>
          </cell>
        </row>
        <row r="66">
          <cell r="C66" t="str">
            <v>U. REGIONAL SAN MARCOS</v>
          </cell>
          <cell r="D66" t="e">
            <v>#N/A</v>
          </cell>
          <cell r="E66" t="str">
            <v>U. Privada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121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C67" t="str">
            <v>U. SAN SEBASTIÁN</v>
          </cell>
          <cell r="D67" t="str">
            <v>USS</v>
          </cell>
          <cell r="E67" t="str">
            <v>U. Privada</v>
          </cell>
          <cell r="F67">
            <v>0.70819078285369286</v>
          </cell>
          <cell r="G67">
            <v>0.66319165998396146</v>
          </cell>
          <cell r="H67">
            <v>0.67758186397984888</v>
          </cell>
          <cell r="I67">
            <v>0.67623630932625289</v>
          </cell>
          <cell r="J67">
            <v>4969</v>
          </cell>
          <cell r="K67">
            <v>6235</v>
          </cell>
          <cell r="L67">
            <v>4764</v>
          </cell>
          <cell r="M67">
            <v>6026</v>
          </cell>
          <cell r="N67">
            <v>3519</v>
          </cell>
          <cell r="O67">
            <v>4135</v>
          </cell>
          <cell r="P67">
            <v>3228</v>
          </cell>
          <cell r="Q67">
            <v>4075</v>
          </cell>
        </row>
        <row r="68">
          <cell r="C68" t="str">
            <v>U. SANTO TOMÁS</v>
          </cell>
          <cell r="D68" t="str">
            <v>UST</v>
          </cell>
          <cell r="E68" t="str">
            <v>U. Privada</v>
          </cell>
          <cell r="F68">
            <v>0.60374559614314849</v>
          </cell>
          <cell r="G68">
            <v>0.62060194997880458</v>
          </cell>
          <cell r="H68">
            <v>0.60890036452004859</v>
          </cell>
          <cell r="I68">
            <v>0.61147306531066259</v>
          </cell>
          <cell r="J68">
            <v>5393</v>
          </cell>
          <cell r="K68">
            <v>7077</v>
          </cell>
          <cell r="L68">
            <v>6584</v>
          </cell>
          <cell r="M68">
            <v>6293</v>
          </cell>
          <cell r="N68">
            <v>3256</v>
          </cell>
          <cell r="O68">
            <v>4392</v>
          </cell>
          <cell r="P68">
            <v>4009</v>
          </cell>
          <cell r="Q68">
            <v>3848</v>
          </cell>
        </row>
        <row r="69">
          <cell r="C69" t="str">
            <v>U. INTERNACIONAL SEK</v>
          </cell>
          <cell r="D69" t="str">
            <v>USK</v>
          </cell>
          <cell r="E69" t="str">
            <v>U. Privada</v>
          </cell>
          <cell r="F69">
            <v>0.38898550724637682</v>
          </cell>
          <cell r="G69">
            <v>0.41558441558441561</v>
          </cell>
          <cell r="H69">
            <v>0.37804030576789438</v>
          </cell>
          <cell r="I69">
            <v>0.38381742738589214</v>
          </cell>
          <cell r="J69">
            <v>1725</v>
          </cell>
          <cell r="K69">
            <v>1925</v>
          </cell>
          <cell r="L69">
            <v>1439</v>
          </cell>
          <cell r="M69">
            <v>1446</v>
          </cell>
          <cell r="N69">
            <v>671</v>
          </cell>
          <cell r="O69">
            <v>800</v>
          </cell>
          <cell r="P69">
            <v>544</v>
          </cell>
          <cell r="Q69">
            <v>555</v>
          </cell>
        </row>
        <row r="70">
          <cell r="C70" t="str">
            <v>U. TECNOLOGICA INACAP</v>
          </cell>
          <cell r="D70" t="str">
            <v>UTC</v>
          </cell>
          <cell r="E70" t="str">
            <v>U. Privada</v>
          </cell>
          <cell r="F70">
            <v>0.51779448621553881</v>
          </cell>
          <cell r="G70">
            <v>0.54628149969268591</v>
          </cell>
          <cell r="H70">
            <v>0.53205128205128205</v>
          </cell>
          <cell r="I70">
            <v>0.55693224592220825</v>
          </cell>
          <cell r="J70">
            <v>5985</v>
          </cell>
          <cell r="K70">
            <v>8135</v>
          </cell>
          <cell r="L70">
            <v>7644</v>
          </cell>
          <cell r="M70">
            <v>6376</v>
          </cell>
          <cell r="N70">
            <v>3099</v>
          </cell>
          <cell r="O70">
            <v>4444</v>
          </cell>
          <cell r="P70">
            <v>4067</v>
          </cell>
          <cell r="Q70">
            <v>3551</v>
          </cell>
        </row>
        <row r="71">
          <cell r="C71" t="str">
            <v>U.  UCINF</v>
          </cell>
          <cell r="D71" t="str">
            <v>UCI</v>
          </cell>
          <cell r="E71" t="str">
            <v>U. Privada</v>
          </cell>
          <cell r="F71">
            <v>0.49100719424460432</v>
          </cell>
          <cell r="G71">
            <v>0.45398009950248758</v>
          </cell>
          <cell r="H71">
            <v>0.48319139399372479</v>
          </cell>
          <cell r="I71">
            <v>0.36522399392558846</v>
          </cell>
          <cell r="J71">
            <v>556</v>
          </cell>
          <cell r="K71">
            <v>804</v>
          </cell>
          <cell r="L71">
            <v>2231</v>
          </cell>
          <cell r="M71">
            <v>2634</v>
          </cell>
          <cell r="N71">
            <v>273</v>
          </cell>
          <cell r="O71">
            <v>365</v>
          </cell>
          <cell r="P71">
            <v>1078</v>
          </cell>
          <cell r="Q71">
            <v>962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 i)"/>
      <sheetName val="Indicador j)"/>
    </sheetNames>
    <sheetDataSet>
      <sheetData sheetId="0"/>
      <sheetData sheetId="1">
        <row r="7">
          <cell r="E7" t="str">
            <v>P. U. C. DE CHILE</v>
          </cell>
          <cell r="F7" t="str">
            <v>PUC</v>
          </cell>
          <cell r="G7" t="str">
            <v>CRUCH Priv.</v>
          </cell>
          <cell r="H7">
            <v>184</v>
          </cell>
          <cell r="I7">
            <v>0</v>
          </cell>
          <cell r="J7">
            <v>0</v>
          </cell>
          <cell r="K7">
            <v>7</v>
          </cell>
          <cell r="L7">
            <v>5</v>
          </cell>
          <cell r="M7">
            <v>27</v>
          </cell>
          <cell r="N7">
            <v>0.21195652173913043</v>
          </cell>
          <cell r="O7">
            <v>39</v>
          </cell>
        </row>
        <row r="8">
          <cell r="E8" t="str">
            <v>P. U. C. DE VALPARAISO</v>
          </cell>
          <cell r="F8" t="str">
            <v>UCV</v>
          </cell>
          <cell r="G8" t="str">
            <v>CRUCH Priv.</v>
          </cell>
          <cell r="H8">
            <v>56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9</v>
          </cell>
          <cell r="N8">
            <v>0.16071428571428573</v>
          </cell>
          <cell r="O8">
            <v>9</v>
          </cell>
        </row>
        <row r="9">
          <cell r="E9" t="str">
            <v>U. AUSTRAL DE CHILE</v>
          </cell>
          <cell r="F9" t="str">
            <v>AUS</v>
          </cell>
          <cell r="G9" t="str">
            <v>CRUCH Priv.</v>
          </cell>
          <cell r="H9">
            <v>54</v>
          </cell>
          <cell r="I9">
            <v>0</v>
          </cell>
          <cell r="J9">
            <v>0</v>
          </cell>
          <cell r="K9">
            <v>1</v>
          </cell>
          <cell r="L9">
            <v>1</v>
          </cell>
          <cell r="M9">
            <v>7</v>
          </cell>
          <cell r="N9">
            <v>0.16666666666666666</v>
          </cell>
          <cell r="O9">
            <v>9</v>
          </cell>
        </row>
        <row r="10">
          <cell r="E10" t="str">
            <v>U. C. DEL NORTE</v>
          </cell>
          <cell r="F10" t="str">
            <v>UCN</v>
          </cell>
          <cell r="G10" t="str">
            <v>CRUCH Priv.</v>
          </cell>
          <cell r="H10">
            <v>10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3</v>
          </cell>
          <cell r="N10">
            <v>0.3</v>
          </cell>
          <cell r="O10">
            <v>3</v>
          </cell>
        </row>
        <row r="11">
          <cell r="E11" t="str">
            <v>U. DE ANTOFAGASTA</v>
          </cell>
          <cell r="F11" t="str">
            <v>ANT</v>
          </cell>
          <cell r="G11" t="str">
            <v>CRUCH Est.</v>
          </cell>
          <cell r="H11">
            <v>8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0.125</v>
          </cell>
          <cell r="O11">
            <v>1</v>
          </cell>
        </row>
        <row r="12">
          <cell r="E12" t="str">
            <v>U. DE CHILE</v>
          </cell>
          <cell r="F12" t="str">
            <v>UCH</v>
          </cell>
          <cell r="G12" t="str">
            <v>CRUCH Est.</v>
          </cell>
          <cell r="H12">
            <v>188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20</v>
          </cell>
          <cell r="N12">
            <v>0.11170212765957446</v>
          </cell>
          <cell r="O12">
            <v>21</v>
          </cell>
        </row>
        <row r="13">
          <cell r="E13" t="str">
            <v>U. DE CONCEPCIÓN</v>
          </cell>
          <cell r="F13" t="str">
            <v>UCO</v>
          </cell>
          <cell r="G13" t="str">
            <v>CRUCH Priv.</v>
          </cell>
          <cell r="H13">
            <v>105</v>
          </cell>
          <cell r="I13">
            <v>0</v>
          </cell>
          <cell r="J13">
            <v>0</v>
          </cell>
          <cell r="K13">
            <v>2</v>
          </cell>
          <cell r="L13">
            <v>8</v>
          </cell>
          <cell r="M13">
            <v>14</v>
          </cell>
          <cell r="N13">
            <v>0.22857142857142856</v>
          </cell>
          <cell r="O13">
            <v>24</v>
          </cell>
        </row>
        <row r="14">
          <cell r="E14" t="str">
            <v>U. DE LA FRONTERA</v>
          </cell>
          <cell r="F14" t="str">
            <v>FRO</v>
          </cell>
          <cell r="G14" t="str">
            <v>CRUCH Est.</v>
          </cell>
          <cell r="H14">
            <v>42</v>
          </cell>
          <cell r="I14">
            <v>0</v>
          </cell>
          <cell r="J14">
            <v>0</v>
          </cell>
          <cell r="K14">
            <v>1</v>
          </cell>
          <cell r="L14">
            <v>4</v>
          </cell>
          <cell r="M14">
            <v>10</v>
          </cell>
          <cell r="N14">
            <v>0.35714285714285715</v>
          </cell>
          <cell r="O14">
            <v>15</v>
          </cell>
        </row>
        <row r="15">
          <cell r="E15" t="str">
            <v>U. DE LA SERENA</v>
          </cell>
          <cell r="F15" t="str">
            <v>ULS</v>
          </cell>
          <cell r="G15" t="str">
            <v>CRUCH Est.</v>
          </cell>
          <cell r="H15">
            <v>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E16" t="str">
            <v>U. DE PLAYA ANCHA DE CS. DE LA ED.</v>
          </cell>
          <cell r="F16" t="str">
            <v>UPA</v>
          </cell>
          <cell r="G16" t="str">
            <v>CRUCH Est.</v>
          </cell>
          <cell r="H16">
            <v>14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</v>
          </cell>
          <cell r="N16">
            <v>7.1428571428571425E-2</v>
          </cell>
          <cell r="O16">
            <v>1</v>
          </cell>
        </row>
        <row r="17">
          <cell r="E17" t="str">
            <v>U. DE SANTIAGO</v>
          </cell>
          <cell r="F17" t="str">
            <v>USA</v>
          </cell>
          <cell r="G17" t="str">
            <v>CRUCH Est.</v>
          </cell>
          <cell r="H17">
            <v>80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21</v>
          </cell>
          <cell r="N17">
            <v>0.26250000000000001</v>
          </cell>
          <cell r="O17">
            <v>21</v>
          </cell>
        </row>
        <row r="18">
          <cell r="E18" t="str">
            <v>U. DE TALCA</v>
          </cell>
          <cell r="F18" t="str">
            <v>TAL</v>
          </cell>
          <cell r="G18" t="str">
            <v>CRUCH Est.</v>
          </cell>
          <cell r="H18">
            <v>11</v>
          </cell>
          <cell r="I18">
            <v>0</v>
          </cell>
          <cell r="J18">
            <v>0</v>
          </cell>
          <cell r="K18">
            <v>0</v>
          </cell>
          <cell r="L18">
            <v>2</v>
          </cell>
          <cell r="M18">
            <v>2</v>
          </cell>
          <cell r="N18">
            <v>0.36363636363636365</v>
          </cell>
          <cell r="O18">
            <v>4</v>
          </cell>
        </row>
        <row r="19">
          <cell r="E19" t="str">
            <v>U. DE TARAPACÁ</v>
          </cell>
          <cell r="F19" t="str">
            <v>UTA</v>
          </cell>
          <cell r="G19" t="str">
            <v>CRUCH Est.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0</v>
          </cell>
          <cell r="N19">
            <v>1</v>
          </cell>
          <cell r="O19">
            <v>1</v>
          </cell>
        </row>
        <row r="20">
          <cell r="E20" t="str">
            <v>U. DE VALPARAÍSO</v>
          </cell>
          <cell r="F20" t="str">
            <v>UVA</v>
          </cell>
          <cell r="G20" t="str">
            <v>CRUCH Est.</v>
          </cell>
          <cell r="H20">
            <v>5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E21" t="str">
            <v>U. METROPOLITANA DE CS. DE LA ED.</v>
          </cell>
          <cell r="F21" t="str">
            <v>UMC</v>
          </cell>
          <cell r="G21" t="str">
            <v>CRUCH Est.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 t="str">
            <v>U. TÉCNICA FEDERICO STA. MARÍA</v>
          </cell>
          <cell r="F22" t="str">
            <v>FSM</v>
          </cell>
          <cell r="G22" t="str">
            <v>CRUCH Priv.</v>
          </cell>
          <cell r="H22">
            <v>27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3</v>
          </cell>
          <cell r="N22">
            <v>0.1111111111111111</v>
          </cell>
          <cell r="O22">
            <v>3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789</v>
          </cell>
          <cell r="I23">
            <v>0</v>
          </cell>
          <cell r="J23">
            <v>0</v>
          </cell>
          <cell r="K23">
            <v>11</v>
          </cell>
          <cell r="L23">
            <v>22</v>
          </cell>
          <cell r="M23">
            <v>118</v>
          </cell>
          <cell r="N23">
            <v>0.19138149556400508</v>
          </cell>
          <cell r="O23">
            <v>151</v>
          </cell>
        </row>
        <row r="24">
          <cell r="E24" t="str">
            <v>U. ACADEMIA HUMANISMO CRISTIANO</v>
          </cell>
          <cell r="F24" t="str">
            <v>AHC</v>
          </cell>
          <cell r="G24" t="str">
            <v>U. Privada</v>
          </cell>
          <cell r="H24">
            <v>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E25" t="str">
            <v>U. ADOLFO IBAÑEZ</v>
          </cell>
          <cell r="F25" t="str">
            <v>UAI</v>
          </cell>
          <cell r="G25" t="str">
            <v>U. Privada</v>
          </cell>
          <cell r="H25">
            <v>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</v>
          </cell>
          <cell r="N25">
            <v>0.33333333333333331</v>
          </cell>
          <cell r="O25">
            <v>1</v>
          </cell>
        </row>
        <row r="26">
          <cell r="E26" t="str">
            <v>U. ALBERTO HURTADO</v>
          </cell>
          <cell r="F26" t="str">
            <v>UAH</v>
          </cell>
          <cell r="G26" t="str">
            <v>U. Privada</v>
          </cell>
          <cell r="H26">
            <v>7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E27" t="str">
            <v>U. ANDRÉS BELLO</v>
          </cell>
          <cell r="F27" t="str">
            <v>UAB</v>
          </cell>
          <cell r="G27" t="str">
            <v>U. Privada</v>
          </cell>
          <cell r="H27">
            <v>58</v>
          </cell>
          <cell r="I27">
            <v>1</v>
          </cell>
          <cell r="J27">
            <v>2</v>
          </cell>
          <cell r="K27">
            <v>2</v>
          </cell>
          <cell r="L27">
            <v>5</v>
          </cell>
          <cell r="M27">
            <v>7</v>
          </cell>
          <cell r="N27">
            <v>0.29310344827586204</v>
          </cell>
          <cell r="O27">
            <v>17</v>
          </cell>
        </row>
        <row r="28">
          <cell r="E28" t="str">
            <v>U. DE ARTES Y CS. SOCIALES ARCIS</v>
          </cell>
          <cell r="F28" t="str">
            <v>UAR</v>
          </cell>
          <cell r="G28" t="str">
            <v>U. Privada</v>
          </cell>
          <cell r="H28">
            <v>50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E29" t="str">
            <v>U. DE ARTES, CS. Y COMUNICACIÓN UNIACC</v>
          </cell>
          <cell r="F29" t="str">
            <v>UCC</v>
          </cell>
          <cell r="G29" t="str">
            <v>U. Privada</v>
          </cell>
          <cell r="H29">
            <v>8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0.125</v>
          </cell>
          <cell r="O29">
            <v>1</v>
          </cell>
        </row>
        <row r="30">
          <cell r="E30" t="str">
            <v>U. DE LOS ANDES</v>
          </cell>
          <cell r="F30" t="str">
            <v>UAN</v>
          </cell>
          <cell r="G30" t="str">
            <v>U. Privada</v>
          </cell>
          <cell r="H30">
            <v>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VALPARAISO"/>
      <sheetName val="UTFSM"/>
      <sheetName val="UTEM"/>
      <sheetName val="TARAPACA"/>
      <sheetName val="TALCA"/>
      <sheetName val="USERENA"/>
      <sheetName val="USACH"/>
      <sheetName val="UPLA"/>
      <sheetName val="UNAP"/>
      <sheetName val="UMCE"/>
      <sheetName val="MAGALLANES"/>
      <sheetName val="LOS LAGOS"/>
      <sheetName val="UFRO"/>
      <sheetName val="UC_TEMUCO"/>
      <sheetName val="UC_CONCE"/>
      <sheetName val="UDEC"/>
      <sheetName val="UCN"/>
      <sheetName val="UC_MAULE"/>
      <sheetName val="UCHILE"/>
      <sheetName val="BIO_BIO"/>
      <sheetName val="AUSTRAL"/>
      <sheetName val="ATACAMA"/>
      <sheetName val="ANTOFAGASTA"/>
      <sheetName val="PUCV"/>
      <sheetName val="PUC"/>
      <sheetName val="Quartil Revistas"/>
      <sheetName val="Resumen"/>
    </sheetNames>
    <sheetDataSet>
      <sheetData sheetId="0" refreshError="1">
        <row r="13">
          <cell r="B13" t="str">
            <v>U. DE CHILE</v>
          </cell>
          <cell r="C13">
            <v>10443</v>
          </cell>
          <cell r="D13">
            <v>61168</v>
          </cell>
          <cell r="E13">
            <v>8722</v>
          </cell>
          <cell r="F13">
            <v>49544</v>
          </cell>
          <cell r="G13">
            <v>1054</v>
          </cell>
          <cell r="H13">
            <v>2316</v>
          </cell>
          <cell r="I13">
            <v>667</v>
          </cell>
          <cell r="J13">
            <v>9308</v>
          </cell>
          <cell r="K13">
            <v>2369</v>
          </cell>
          <cell r="L13">
            <v>2294</v>
          </cell>
        </row>
        <row r="14">
          <cell r="B14" t="str">
            <v>P. U. C. DE CHILE</v>
          </cell>
          <cell r="C14">
            <v>8788</v>
          </cell>
          <cell r="D14">
            <v>68545</v>
          </cell>
          <cell r="E14">
            <v>7560</v>
          </cell>
          <cell r="F14">
            <v>60418</v>
          </cell>
          <cell r="G14">
            <v>623</v>
          </cell>
          <cell r="H14">
            <v>1148</v>
          </cell>
          <cell r="I14">
            <v>605</v>
          </cell>
          <cell r="J14">
            <v>6979</v>
          </cell>
          <cell r="K14">
            <v>1851</v>
          </cell>
          <cell r="L14">
            <v>1973</v>
          </cell>
        </row>
        <row r="15">
          <cell r="B15" t="str">
            <v>U. DE CONCEPCIÓN</v>
          </cell>
          <cell r="C15">
            <v>4558</v>
          </cell>
          <cell r="D15">
            <v>24135</v>
          </cell>
          <cell r="E15">
            <v>3955</v>
          </cell>
          <cell r="F15">
            <v>22360</v>
          </cell>
          <cell r="G15">
            <v>469</v>
          </cell>
          <cell r="H15">
            <v>583</v>
          </cell>
          <cell r="I15">
            <v>134</v>
          </cell>
          <cell r="J15">
            <v>1192</v>
          </cell>
          <cell r="K15">
            <v>946</v>
          </cell>
          <cell r="L15">
            <v>958</v>
          </cell>
        </row>
        <row r="16">
          <cell r="B16" t="str">
            <v>U. TÉCNICA FEDERICO STA. MARÍA</v>
          </cell>
          <cell r="C16">
            <v>2326</v>
          </cell>
          <cell r="D16">
            <v>23322</v>
          </cell>
          <cell r="E16">
            <v>1753</v>
          </cell>
          <cell r="F16">
            <v>21409</v>
          </cell>
          <cell r="G16">
            <v>541</v>
          </cell>
          <cell r="H16">
            <v>991</v>
          </cell>
          <cell r="I16">
            <v>32</v>
          </cell>
          <cell r="J16">
            <v>922</v>
          </cell>
          <cell r="K16">
            <v>495</v>
          </cell>
          <cell r="L16">
            <v>447</v>
          </cell>
        </row>
        <row r="17">
          <cell r="B17" t="str">
            <v>U. DE SANTIAGO</v>
          </cell>
          <cell r="C17">
            <v>2232</v>
          </cell>
          <cell r="D17">
            <v>9572</v>
          </cell>
          <cell r="E17">
            <v>1922</v>
          </cell>
          <cell r="F17">
            <v>8246</v>
          </cell>
          <cell r="G17">
            <v>200</v>
          </cell>
          <cell r="H17">
            <v>282</v>
          </cell>
          <cell r="I17">
            <v>110</v>
          </cell>
          <cell r="J17">
            <v>1044</v>
          </cell>
          <cell r="K17">
            <v>475</v>
          </cell>
          <cell r="L17">
            <v>503</v>
          </cell>
        </row>
        <row r="18">
          <cell r="B18" t="str">
            <v>U. AUSTRAL DE CHILE</v>
          </cell>
          <cell r="C18">
            <v>2124</v>
          </cell>
          <cell r="D18">
            <v>10927</v>
          </cell>
          <cell r="E18">
            <v>1951</v>
          </cell>
          <cell r="F18">
            <v>9929</v>
          </cell>
          <cell r="G18">
            <v>73</v>
          </cell>
          <cell r="H18">
            <v>72</v>
          </cell>
          <cell r="I18">
            <v>100</v>
          </cell>
          <cell r="J18">
            <v>926</v>
          </cell>
          <cell r="K18">
            <v>460</v>
          </cell>
          <cell r="L18">
            <v>440</v>
          </cell>
        </row>
        <row r="19">
          <cell r="B19" t="str">
            <v>P. U. C. DE VALPARAISO</v>
          </cell>
          <cell r="C19">
            <v>1890</v>
          </cell>
          <cell r="D19">
            <v>6917</v>
          </cell>
          <cell r="E19">
            <v>1578</v>
          </cell>
          <cell r="F19">
            <v>6261</v>
          </cell>
          <cell r="G19">
            <v>217</v>
          </cell>
          <cell r="H19">
            <v>238</v>
          </cell>
          <cell r="I19">
            <v>95</v>
          </cell>
          <cell r="J19">
            <v>418</v>
          </cell>
          <cell r="K19">
            <v>484</v>
          </cell>
          <cell r="L19">
            <v>450</v>
          </cell>
        </row>
        <row r="20">
          <cell r="B20" t="str">
            <v>U. DE LA FRONTERA</v>
          </cell>
          <cell r="C20">
            <v>1655</v>
          </cell>
          <cell r="D20">
            <v>8512</v>
          </cell>
          <cell r="E20">
            <v>1504</v>
          </cell>
          <cell r="F20">
            <v>7992</v>
          </cell>
          <cell r="G20">
            <v>61</v>
          </cell>
          <cell r="H20">
            <v>96</v>
          </cell>
          <cell r="I20">
            <v>90</v>
          </cell>
          <cell r="J20">
            <v>424</v>
          </cell>
          <cell r="K20">
            <v>408</v>
          </cell>
          <cell r="L20">
            <v>372</v>
          </cell>
        </row>
        <row r="21">
          <cell r="B21" t="str">
            <v>U. DE VALPARAÍSO</v>
          </cell>
          <cell r="C21">
            <v>1446</v>
          </cell>
          <cell r="D21">
            <v>9149</v>
          </cell>
          <cell r="E21">
            <v>1249</v>
          </cell>
          <cell r="F21">
            <v>6920</v>
          </cell>
          <cell r="G21">
            <v>99</v>
          </cell>
          <cell r="H21">
            <v>114</v>
          </cell>
          <cell r="I21">
            <v>98</v>
          </cell>
          <cell r="J21">
            <v>2115</v>
          </cell>
          <cell r="K21">
            <v>341</v>
          </cell>
          <cell r="L21">
            <v>323</v>
          </cell>
        </row>
        <row r="22">
          <cell r="B22" t="str">
            <v>U. C. DEL NORTE</v>
          </cell>
          <cell r="C22">
            <v>1352</v>
          </cell>
          <cell r="D22">
            <v>5338</v>
          </cell>
          <cell r="E22">
            <v>1239</v>
          </cell>
          <cell r="F22">
            <v>5167</v>
          </cell>
          <cell r="G22">
            <v>75</v>
          </cell>
          <cell r="H22">
            <v>43</v>
          </cell>
          <cell r="I22">
            <v>38</v>
          </cell>
          <cell r="J22">
            <v>128</v>
          </cell>
          <cell r="K22">
            <v>312</v>
          </cell>
          <cell r="L22">
            <v>291</v>
          </cell>
        </row>
        <row r="23">
          <cell r="B23" t="str">
            <v>U. DE TALCA</v>
          </cell>
          <cell r="C23">
            <v>1326</v>
          </cell>
          <cell r="D23">
            <v>4053</v>
          </cell>
          <cell r="E23">
            <v>1143</v>
          </cell>
          <cell r="F23">
            <v>3521</v>
          </cell>
          <cell r="G23">
            <v>116</v>
          </cell>
          <cell r="H23">
            <v>205</v>
          </cell>
          <cell r="I23">
            <v>67</v>
          </cell>
          <cell r="J23">
            <v>327</v>
          </cell>
          <cell r="K23">
            <v>342</v>
          </cell>
          <cell r="L23">
            <v>297</v>
          </cell>
        </row>
        <row r="24">
          <cell r="B24" t="str">
            <v>U. DE TARAPACÁ</v>
          </cell>
          <cell r="C24">
            <v>820</v>
          </cell>
          <cell r="D24">
            <v>2919</v>
          </cell>
          <cell r="E24">
            <v>764</v>
          </cell>
          <cell r="F24">
            <v>2419</v>
          </cell>
          <cell r="G24">
            <v>21</v>
          </cell>
          <cell r="H24">
            <v>30</v>
          </cell>
          <cell r="I24">
            <v>35</v>
          </cell>
          <cell r="J24">
            <v>470</v>
          </cell>
          <cell r="K24">
            <v>189</v>
          </cell>
          <cell r="L24">
            <v>199</v>
          </cell>
        </row>
        <row r="25">
          <cell r="B25" t="str">
            <v>U. DEL BÍO-BÍO</v>
          </cell>
          <cell r="C25">
            <v>734</v>
          </cell>
          <cell r="D25">
            <v>2251</v>
          </cell>
          <cell r="E25">
            <v>614</v>
          </cell>
          <cell r="F25">
            <v>2003</v>
          </cell>
          <cell r="G25">
            <v>99</v>
          </cell>
          <cell r="H25">
            <v>155</v>
          </cell>
          <cell r="I25">
            <v>21</v>
          </cell>
          <cell r="J25">
            <v>93</v>
          </cell>
          <cell r="K25">
            <v>171</v>
          </cell>
          <cell r="L25">
            <v>159</v>
          </cell>
        </row>
        <row r="26">
          <cell r="B26" t="str">
            <v>U. DE ANTOFAGASTA</v>
          </cell>
          <cell r="C26">
            <v>596</v>
          </cell>
          <cell r="D26">
            <v>2340</v>
          </cell>
          <cell r="E26">
            <v>546</v>
          </cell>
          <cell r="F26">
            <v>2136</v>
          </cell>
          <cell r="G26">
            <v>33</v>
          </cell>
          <cell r="H26">
            <v>83</v>
          </cell>
          <cell r="I26">
            <v>17</v>
          </cell>
          <cell r="J26">
            <v>121</v>
          </cell>
          <cell r="K26">
            <v>147</v>
          </cell>
          <cell r="L26">
            <v>131</v>
          </cell>
        </row>
        <row r="27">
          <cell r="B27" t="str">
            <v>U. DE LA SERENA</v>
          </cell>
          <cell r="C27">
            <v>526</v>
          </cell>
          <cell r="D27">
            <v>3273</v>
          </cell>
          <cell r="E27">
            <v>498</v>
          </cell>
          <cell r="F27">
            <v>3017</v>
          </cell>
          <cell r="G27">
            <v>16</v>
          </cell>
          <cell r="H27">
            <v>18</v>
          </cell>
          <cell r="I27">
            <v>12</v>
          </cell>
          <cell r="J27">
            <v>238</v>
          </cell>
          <cell r="K27">
            <v>110</v>
          </cell>
          <cell r="L27">
            <v>106</v>
          </cell>
        </row>
        <row r="28">
          <cell r="B28" t="str">
            <v>U. C. DE TEMUCO</v>
          </cell>
          <cell r="C28">
            <v>455</v>
          </cell>
          <cell r="D28">
            <v>976</v>
          </cell>
          <cell r="E28">
            <v>405</v>
          </cell>
          <cell r="F28">
            <v>921</v>
          </cell>
          <cell r="G28">
            <v>19</v>
          </cell>
          <cell r="H28">
            <v>2</v>
          </cell>
          <cell r="I28">
            <v>31</v>
          </cell>
          <cell r="J28">
            <v>53</v>
          </cell>
          <cell r="K28">
            <v>109</v>
          </cell>
          <cell r="L28">
            <v>91</v>
          </cell>
        </row>
        <row r="29">
          <cell r="B29" t="str">
            <v>U. C. DEL MAULE</v>
          </cell>
          <cell r="C29">
            <v>332</v>
          </cell>
          <cell r="D29">
            <v>922</v>
          </cell>
          <cell r="E29">
            <v>285</v>
          </cell>
          <cell r="F29">
            <v>744</v>
          </cell>
          <cell r="G29">
            <v>22</v>
          </cell>
          <cell r="H29">
            <v>11</v>
          </cell>
          <cell r="I29">
            <v>25</v>
          </cell>
          <cell r="J29">
            <v>167</v>
          </cell>
          <cell r="K29">
            <v>66</v>
          </cell>
          <cell r="L29">
            <v>64</v>
          </cell>
        </row>
        <row r="30">
          <cell r="B30" t="str">
            <v>U. C. DE LA STMA. CONCEPCIÓN</v>
          </cell>
          <cell r="C30">
            <v>326</v>
          </cell>
          <cell r="D30">
            <v>790</v>
          </cell>
          <cell r="E30">
            <v>268</v>
          </cell>
          <cell r="F30">
            <v>700</v>
          </cell>
          <cell r="G30">
            <v>47</v>
          </cell>
          <cell r="H30">
            <v>24</v>
          </cell>
          <cell r="I30">
            <v>11</v>
          </cell>
          <cell r="J30">
            <v>66</v>
          </cell>
          <cell r="K30">
            <v>80</v>
          </cell>
          <cell r="L30">
            <v>63</v>
          </cell>
        </row>
        <row r="31">
          <cell r="B31" t="str">
            <v>U. DE LOS LAGOS</v>
          </cell>
          <cell r="C31">
            <v>311</v>
          </cell>
          <cell r="D31">
            <v>939</v>
          </cell>
          <cell r="E31">
            <v>286</v>
          </cell>
          <cell r="F31">
            <v>897</v>
          </cell>
          <cell r="G31">
            <v>6</v>
          </cell>
          <cell r="H31">
            <v>6</v>
          </cell>
          <cell r="I31">
            <v>19</v>
          </cell>
          <cell r="J31">
            <v>36</v>
          </cell>
          <cell r="K31">
            <v>81</v>
          </cell>
          <cell r="L31">
            <v>58</v>
          </cell>
        </row>
        <row r="32">
          <cell r="B32" t="str">
            <v>U. DE MAGALLANES</v>
          </cell>
          <cell r="C32">
            <v>268</v>
          </cell>
          <cell r="D32">
            <v>806</v>
          </cell>
          <cell r="E32">
            <v>249</v>
          </cell>
          <cell r="F32">
            <v>767</v>
          </cell>
          <cell r="G32">
            <v>11</v>
          </cell>
          <cell r="H32">
            <v>12</v>
          </cell>
          <cell r="I32">
            <v>8</v>
          </cell>
          <cell r="J32">
            <v>27</v>
          </cell>
          <cell r="K32">
            <v>77</v>
          </cell>
          <cell r="L32">
            <v>57</v>
          </cell>
        </row>
        <row r="33">
          <cell r="B33" t="str">
            <v>U. ARTURO PRAT</v>
          </cell>
          <cell r="C33">
            <v>264</v>
          </cell>
          <cell r="D33">
            <v>1165</v>
          </cell>
          <cell r="E33">
            <v>231</v>
          </cell>
          <cell r="F33">
            <v>847</v>
          </cell>
          <cell r="G33">
            <v>9</v>
          </cell>
          <cell r="H33">
            <v>51</v>
          </cell>
          <cell r="I33">
            <v>24</v>
          </cell>
          <cell r="J33">
            <v>267</v>
          </cell>
          <cell r="K33">
            <v>55</v>
          </cell>
          <cell r="L33">
            <v>55</v>
          </cell>
        </row>
        <row r="34">
          <cell r="B34" t="str">
            <v>U. DE PLAYA ANCHA DE CS. DE LA ED.</v>
          </cell>
          <cell r="C34">
            <v>245</v>
          </cell>
          <cell r="D34">
            <v>401</v>
          </cell>
          <cell r="E34">
            <v>175</v>
          </cell>
          <cell r="F34">
            <v>328</v>
          </cell>
          <cell r="G34">
            <v>57</v>
          </cell>
          <cell r="H34">
            <v>73</v>
          </cell>
          <cell r="I34">
            <v>13</v>
          </cell>
          <cell r="J34">
            <v>0</v>
          </cell>
          <cell r="K34">
            <v>111</v>
          </cell>
          <cell r="L34">
            <v>62</v>
          </cell>
        </row>
        <row r="35">
          <cell r="B35" t="str">
            <v>U. METROPOLITANA DE CS. DE LA ED.</v>
          </cell>
          <cell r="C35">
            <v>117</v>
          </cell>
          <cell r="D35">
            <v>341</v>
          </cell>
          <cell r="E35">
            <v>109</v>
          </cell>
          <cell r="F35">
            <v>332</v>
          </cell>
          <cell r="G35">
            <v>2</v>
          </cell>
          <cell r="H35">
            <v>0</v>
          </cell>
          <cell r="I35">
            <v>6</v>
          </cell>
          <cell r="J35">
            <v>9</v>
          </cell>
          <cell r="K35">
            <v>33</v>
          </cell>
          <cell r="L35">
            <v>21</v>
          </cell>
        </row>
        <row r="36">
          <cell r="B36" t="str">
            <v>U. DE ATACAMA</v>
          </cell>
          <cell r="C36">
            <v>116</v>
          </cell>
          <cell r="D36">
            <v>331</v>
          </cell>
          <cell r="E36">
            <v>103</v>
          </cell>
          <cell r="F36">
            <v>319</v>
          </cell>
          <cell r="G36">
            <v>11</v>
          </cell>
          <cell r="H36">
            <v>12</v>
          </cell>
          <cell r="I36">
            <v>2</v>
          </cell>
          <cell r="J36">
            <v>0</v>
          </cell>
          <cell r="K36">
            <v>26</v>
          </cell>
          <cell r="L36">
            <v>28</v>
          </cell>
        </row>
        <row r="37">
          <cell r="B37" t="str">
            <v>U. TECNOLÓGICA METROPOLITANA</v>
          </cell>
          <cell r="C37">
            <v>63</v>
          </cell>
          <cell r="D37">
            <v>301</v>
          </cell>
          <cell r="E37">
            <v>56</v>
          </cell>
          <cell r="F37">
            <v>294</v>
          </cell>
          <cell r="G37">
            <v>6</v>
          </cell>
          <cell r="H37">
            <v>4</v>
          </cell>
          <cell r="I37">
            <v>1</v>
          </cell>
          <cell r="J37">
            <v>3</v>
          </cell>
          <cell r="K37">
            <v>17</v>
          </cell>
          <cell r="L37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AQ30"/>
  <sheetViews>
    <sheetView tabSelected="1" zoomScaleSheetLayoutView="100" workbookViewId="0">
      <selection activeCell="X8" sqref="X8"/>
    </sheetView>
  </sheetViews>
  <sheetFormatPr baseColWidth="10" defaultRowHeight="15" x14ac:dyDescent="0.2"/>
  <cols>
    <col min="1" max="1" width="7.5" style="2" customWidth="1"/>
    <col min="2" max="2" width="8.33203125" style="2" customWidth="1"/>
    <col min="3" max="3" width="11" style="2" customWidth="1"/>
    <col min="4" max="4" width="10.83203125" style="2" customWidth="1"/>
    <col min="5" max="5" width="11" style="2" customWidth="1"/>
    <col min="6" max="6" width="12.33203125" style="2" bestFit="1" customWidth="1"/>
    <col min="7" max="7" width="12.1640625" style="2" customWidth="1"/>
    <col min="8" max="8" width="16.5" style="2" customWidth="1"/>
    <col min="9" max="9" width="15.5" style="2" bestFit="1" customWidth="1"/>
    <col min="10" max="10" width="7.6640625" style="2" bestFit="1" customWidth="1"/>
    <col min="11" max="11" width="7.6640625" style="2" customWidth="1"/>
    <col min="12" max="12" width="11.6640625" style="2" bestFit="1" customWidth="1"/>
    <col min="13" max="13" width="13.33203125" style="2" bestFit="1" customWidth="1"/>
    <col min="14" max="14" width="12.6640625" style="2" customWidth="1"/>
    <col min="15" max="15" width="8.6640625" style="2" bestFit="1" customWidth="1"/>
    <col min="16" max="16" width="4.83203125" style="24" bestFit="1" customWidth="1"/>
    <col min="17" max="17" width="5.83203125" style="24" customWidth="1"/>
    <col min="18" max="18" width="2.5" style="24" customWidth="1"/>
    <col min="19" max="19" width="11.33203125" style="24" hidden="1" customWidth="1"/>
    <col min="20" max="20" width="13.5" style="2" hidden="1" customWidth="1"/>
    <col min="21" max="21" width="12.33203125" style="2" hidden="1" customWidth="1"/>
    <col min="22" max="22" width="11.33203125" style="2" hidden="1" customWidth="1"/>
    <col min="23" max="23" width="12" style="47" hidden="1" customWidth="1"/>
    <col min="24" max="24" width="9.5" style="47" customWidth="1"/>
    <col min="25" max="26" width="10.83203125" style="2"/>
    <col min="27" max="27" width="8" style="24" customWidth="1"/>
    <col min="28" max="28" width="13.5" style="24" customWidth="1"/>
    <col min="29" max="29" width="6.83203125" style="24" bestFit="1" customWidth="1"/>
    <col min="30" max="30" width="10" style="24" bestFit="1" customWidth="1"/>
    <col min="31" max="31" width="1.5" style="2" customWidth="1"/>
    <col min="35" max="35" width="6.83203125" bestFit="1" customWidth="1"/>
    <col min="36" max="36" width="10.83203125" bestFit="1" customWidth="1"/>
    <col min="37" max="37" width="1.5" customWidth="1"/>
    <col min="41" max="41" width="7.1640625" customWidth="1"/>
    <col min="42" max="42" width="10.83203125" bestFit="1" customWidth="1"/>
  </cols>
  <sheetData>
    <row r="1" spans="1:43" s="2" customFormat="1" x14ac:dyDescent="0.2">
      <c r="A1" s="229"/>
      <c r="B1" s="226"/>
      <c r="C1" s="226"/>
      <c r="D1" s="226"/>
      <c r="E1" s="230"/>
      <c r="F1" s="230"/>
      <c r="G1" s="230"/>
      <c r="H1" s="250"/>
      <c r="I1" s="235"/>
      <c r="J1" s="235"/>
      <c r="K1" s="235"/>
      <c r="L1" s="235"/>
      <c r="M1" s="235"/>
      <c r="N1" s="55"/>
      <c r="O1" s="55"/>
      <c r="P1" s="55"/>
      <c r="Q1" s="55"/>
      <c r="R1" s="24"/>
      <c r="S1" s="24"/>
      <c r="W1" s="47"/>
      <c r="X1" s="47"/>
      <c r="AA1" s="24"/>
      <c r="AB1" s="24"/>
      <c r="AC1" s="24"/>
      <c r="AD1" s="24"/>
      <c r="AF1"/>
      <c r="AG1"/>
      <c r="AH1"/>
      <c r="AI1"/>
      <c r="AJ1"/>
      <c r="AK1"/>
      <c r="AL1"/>
      <c r="AM1"/>
      <c r="AN1"/>
      <c r="AO1"/>
      <c r="AP1"/>
      <c r="AQ1"/>
    </row>
    <row r="2" spans="1:43" s="2" customFormat="1" ht="41" customHeight="1" x14ac:dyDescent="0.25">
      <c r="A2" s="231"/>
      <c r="B2" s="228"/>
      <c r="C2" s="228"/>
      <c r="D2" s="228"/>
      <c r="E2" s="225" t="s">
        <v>142</v>
      </c>
      <c r="F2" s="225"/>
      <c r="G2" s="226"/>
      <c r="H2" s="251"/>
      <c r="I2" s="55"/>
      <c r="J2" s="55"/>
      <c r="K2" s="55"/>
      <c r="L2" s="55"/>
      <c r="M2" s="55"/>
      <c r="N2" s="55"/>
      <c r="O2" s="55"/>
      <c r="P2" s="55"/>
      <c r="Q2" s="55"/>
      <c r="Y2" s="24"/>
      <c r="Z2" s="24"/>
      <c r="AA2" s="24"/>
    </row>
    <row r="3" spans="1:43" s="2" customFormat="1" ht="23.25" customHeight="1" x14ac:dyDescent="0.25">
      <c r="A3" s="231"/>
      <c r="B3" s="228"/>
      <c r="C3" s="228"/>
      <c r="D3" s="228"/>
      <c r="E3" s="225" t="s">
        <v>132</v>
      </c>
      <c r="F3" s="226"/>
      <c r="G3" s="226"/>
      <c r="H3" s="251"/>
      <c r="I3" s="55"/>
      <c r="J3" s="236"/>
      <c r="K3" s="236"/>
      <c r="L3" s="236"/>
      <c r="M3" s="236"/>
      <c r="N3" s="236"/>
      <c r="O3" s="236"/>
      <c r="P3" s="55"/>
      <c r="Q3" s="55"/>
      <c r="U3" s="48"/>
      <c r="V3" s="48"/>
      <c r="W3" s="48"/>
      <c r="Y3" s="24"/>
      <c r="Z3" s="24"/>
      <c r="AA3" s="24"/>
    </row>
    <row r="4" spans="1:43" s="2" customFormat="1" ht="23.25" customHeight="1" x14ac:dyDescent="0.25">
      <c r="A4" s="231"/>
      <c r="B4" s="228"/>
      <c r="C4" s="228"/>
      <c r="D4" s="228"/>
      <c r="E4" s="227" t="s">
        <v>150</v>
      </c>
      <c r="F4" s="226"/>
      <c r="G4" s="226"/>
      <c r="H4" s="251"/>
      <c r="I4" s="55"/>
      <c r="J4" s="236"/>
      <c r="K4" s="236"/>
      <c r="L4" s="236"/>
      <c r="M4" s="236"/>
      <c r="N4" s="236"/>
      <c r="O4" s="236"/>
      <c r="P4" s="55"/>
      <c r="Q4" s="55"/>
      <c r="U4" s="48"/>
      <c r="V4" s="48"/>
      <c r="W4" s="48"/>
      <c r="Y4" s="24"/>
      <c r="Z4" s="24"/>
      <c r="AA4" s="24"/>
    </row>
    <row r="5" spans="1:43" s="2" customFormat="1" ht="39" customHeight="1" x14ac:dyDescent="0.2">
      <c r="A5" s="231"/>
      <c r="B5" s="228"/>
      <c r="C5" s="228"/>
      <c r="D5" s="228"/>
      <c r="E5" s="233" t="s">
        <v>202</v>
      </c>
      <c r="F5" s="234"/>
      <c r="G5" s="234"/>
      <c r="H5" s="252"/>
      <c r="I5" s="55"/>
      <c r="J5" s="237"/>
      <c r="K5" s="237"/>
      <c r="L5" s="237"/>
      <c r="M5" s="237"/>
      <c r="N5" s="55"/>
      <c r="O5" s="55"/>
      <c r="P5" s="55"/>
      <c r="Q5" s="55"/>
      <c r="T5" s="3" t="s">
        <v>192</v>
      </c>
      <c r="U5" s="128">
        <f>+A22</f>
        <v>32426710</v>
      </c>
      <c r="W5" s="47"/>
      <c r="X5" s="47"/>
      <c r="AA5" s="24"/>
      <c r="AB5" s="24"/>
      <c r="AC5" s="24"/>
      <c r="AD5" s="24"/>
      <c r="AF5"/>
      <c r="AG5"/>
      <c r="AH5"/>
      <c r="AI5"/>
      <c r="AJ5"/>
      <c r="AK5"/>
      <c r="AL5"/>
      <c r="AM5"/>
      <c r="AN5"/>
      <c r="AO5"/>
      <c r="AP5"/>
      <c r="AQ5"/>
    </row>
    <row r="6" spans="1:43" s="2" customFormat="1" ht="16" x14ac:dyDescent="0.2">
      <c r="A6" s="249"/>
      <c r="B6" s="232"/>
      <c r="C6" s="232"/>
      <c r="D6" s="232"/>
      <c r="E6" s="232"/>
      <c r="F6" s="232"/>
      <c r="G6" s="232"/>
      <c r="H6" s="232"/>
      <c r="I6" s="232"/>
      <c r="J6" s="30"/>
      <c r="K6" s="30"/>
      <c r="L6" s="30"/>
      <c r="M6" s="30"/>
      <c r="N6" s="238"/>
      <c r="O6" s="238"/>
      <c r="P6" s="238"/>
      <c r="Q6" s="239"/>
      <c r="S6" s="30"/>
      <c r="T6" s="129">
        <v>0.4</v>
      </c>
      <c r="U6" s="29">
        <f>+U5*T6</f>
        <v>12970684</v>
      </c>
      <c r="W6" s="47"/>
      <c r="X6" s="47"/>
      <c r="AA6" s="24"/>
      <c r="AB6" s="24"/>
      <c r="AC6" s="24"/>
      <c r="AD6" s="24"/>
      <c r="AF6"/>
      <c r="AG6"/>
      <c r="AH6"/>
      <c r="AI6"/>
      <c r="AJ6"/>
      <c r="AK6"/>
      <c r="AL6"/>
      <c r="AM6"/>
      <c r="AN6"/>
      <c r="AO6"/>
      <c r="AP6"/>
      <c r="AQ6"/>
    </row>
    <row r="7" spans="1:43" s="2" customFormat="1" ht="15" customHeight="1" x14ac:dyDescent="0.2">
      <c r="A7" s="240" t="s">
        <v>139</v>
      </c>
      <c r="B7" s="241" t="s">
        <v>134</v>
      </c>
      <c r="C7" s="242" t="s">
        <v>131</v>
      </c>
      <c r="D7" s="243"/>
      <c r="E7" s="244"/>
      <c r="F7" s="245" t="s">
        <v>135</v>
      </c>
      <c r="G7" s="246" t="s">
        <v>129</v>
      </c>
      <c r="H7" s="247"/>
      <c r="I7" s="248" t="s">
        <v>186</v>
      </c>
      <c r="J7" s="190"/>
      <c r="K7" s="190"/>
      <c r="L7" s="190"/>
      <c r="M7" s="190"/>
      <c r="N7" s="190"/>
      <c r="O7" s="191"/>
      <c r="P7" s="30"/>
      <c r="Q7" s="52"/>
      <c r="S7" s="30"/>
      <c r="W7" s="47"/>
      <c r="X7" s="47"/>
      <c r="AA7" s="24"/>
      <c r="AB7" s="24"/>
      <c r="AC7" s="24"/>
      <c r="AD7" s="24"/>
      <c r="AF7"/>
      <c r="AG7"/>
      <c r="AH7"/>
      <c r="AI7"/>
      <c r="AJ7"/>
      <c r="AK7"/>
      <c r="AL7"/>
      <c r="AM7"/>
      <c r="AN7"/>
      <c r="AO7"/>
      <c r="AP7"/>
      <c r="AQ7"/>
    </row>
    <row r="8" spans="1:43" s="2" customFormat="1" ht="56" x14ac:dyDescent="0.2">
      <c r="A8" s="53"/>
      <c r="B8" s="97"/>
      <c r="C8" s="44" t="s">
        <v>195</v>
      </c>
      <c r="D8" s="103" t="s">
        <v>143</v>
      </c>
      <c r="E8" s="43" t="s">
        <v>155</v>
      </c>
      <c r="F8" s="186"/>
      <c r="G8" s="45" t="s">
        <v>138</v>
      </c>
      <c r="H8" s="46" t="s">
        <v>144</v>
      </c>
      <c r="I8" s="82" t="s">
        <v>145</v>
      </c>
      <c r="J8" s="99" t="s">
        <v>148</v>
      </c>
      <c r="K8" s="83" t="s">
        <v>183</v>
      </c>
      <c r="L8" s="83" t="s">
        <v>184</v>
      </c>
      <c r="M8" s="185" t="s">
        <v>185</v>
      </c>
      <c r="N8" s="89" t="s">
        <v>190</v>
      </c>
      <c r="O8" s="89" t="s">
        <v>161</v>
      </c>
      <c r="P8" s="30"/>
      <c r="Q8" s="52"/>
      <c r="S8" s="42" t="s">
        <v>147</v>
      </c>
      <c r="T8" s="130" t="s">
        <v>196</v>
      </c>
      <c r="U8" s="6" t="s">
        <v>193</v>
      </c>
      <c r="V8" s="6" t="s">
        <v>194</v>
      </c>
      <c r="W8" s="6" t="s">
        <v>191</v>
      </c>
      <c r="X8" s="47"/>
      <c r="AA8" s="24"/>
      <c r="AB8" s="24"/>
      <c r="AC8" s="24"/>
      <c r="AD8" s="24"/>
      <c r="AF8"/>
      <c r="AG8"/>
      <c r="AH8"/>
      <c r="AI8"/>
      <c r="AJ8"/>
      <c r="AK8"/>
      <c r="AL8"/>
      <c r="AM8"/>
      <c r="AN8"/>
      <c r="AO8"/>
      <c r="AP8"/>
      <c r="AQ8"/>
    </row>
    <row r="9" spans="1:43" s="2" customFormat="1" x14ac:dyDescent="0.2">
      <c r="A9" s="93" t="s">
        <v>45</v>
      </c>
      <c r="B9" s="51" t="str">
        <f>VLOOKUP(A9,'Categoria 2017'!$B$8:$J$16,9,0)</f>
        <v>I</v>
      </c>
      <c r="C9" s="37">
        <f>VLOOKUP($A9,'AFI 2016'!$A$7:$E$15,5,0)</f>
        <v>2545547.15</v>
      </c>
      <c r="D9" s="102">
        <v>100000</v>
      </c>
      <c r="E9" s="102">
        <f>VLOOKUP($A$9:$A$17,Complejidad!$AC$7:$AQ$15,14,0)</f>
        <v>2765502.4711270733</v>
      </c>
      <c r="F9" s="38">
        <f>SUM(C9:E9)</f>
        <v>5411049.6211270727</v>
      </c>
      <c r="G9" s="39">
        <f>VLOOKUP(A9,Desempeño!$BC$7:$BG$15,4,0)</f>
        <v>2806924.3272801177</v>
      </c>
      <c r="H9" s="41">
        <f>+G9/$G$18</f>
        <v>0.1711448851103422</v>
      </c>
      <c r="I9" s="84">
        <f>+G9+F9</f>
        <v>8217973.9484071899</v>
      </c>
      <c r="J9" s="85">
        <f>I9/$I$18</f>
        <v>0.25343224608377446</v>
      </c>
      <c r="K9" s="86">
        <f>+I9-(A22*0.25)</f>
        <v>111296.44840718992</v>
      </c>
      <c r="L9" s="86">
        <f>ROUND(-K9,0)</f>
        <v>-111296</v>
      </c>
      <c r="M9" s="183">
        <f>SUM(I9,L9)</f>
        <v>8106677.9484071899</v>
      </c>
      <c r="N9" s="90">
        <f>ROUND(M9,0)</f>
        <v>8106678</v>
      </c>
      <c r="O9" s="91">
        <f t="shared" ref="O9:O18" si="0">M9/$A$22</f>
        <v>0.25000001382832826</v>
      </c>
      <c r="P9" s="3" t="str">
        <f t="shared" ref="P9:P17" si="1">+A9</f>
        <v>PUC</v>
      </c>
      <c r="Q9" s="120" t="str">
        <f t="shared" ref="Q9:Q17" si="2">+B9</f>
        <v>I</v>
      </c>
      <c r="S9" s="28">
        <v>6909489</v>
      </c>
      <c r="T9" s="3">
        <f t="shared" ref="T9:T17" si="3">S9/$S$18</f>
        <v>0.2499999909544689</v>
      </c>
      <c r="U9" s="123">
        <f>TRUNC(T9*$U$6,0)</f>
        <v>3242670</v>
      </c>
      <c r="V9" s="29">
        <f t="shared" ref="V9:V17" si="4">+N9-U9</f>
        <v>4864008</v>
      </c>
      <c r="W9" s="131">
        <f t="shared" ref="W9:W17" si="5">+V9/M9</f>
        <v>0.60000015184465127</v>
      </c>
      <c r="X9" s="47"/>
      <c r="AA9" s="24"/>
      <c r="AB9" s="24"/>
      <c r="AC9" s="24"/>
      <c r="AD9" s="24"/>
      <c r="AF9"/>
      <c r="AG9"/>
      <c r="AH9"/>
      <c r="AI9"/>
      <c r="AJ9"/>
      <c r="AK9"/>
      <c r="AL9"/>
      <c r="AM9"/>
      <c r="AN9"/>
      <c r="AO9"/>
      <c r="AP9"/>
      <c r="AQ9"/>
    </row>
    <row r="10" spans="1:43" s="2" customFormat="1" x14ac:dyDescent="0.2">
      <c r="A10" s="93" t="s">
        <v>37</v>
      </c>
      <c r="B10" s="51" t="str">
        <f>VLOOKUP(A10,'Categoria 2017'!$B$8:$J$16,9,0)</f>
        <v>I</v>
      </c>
      <c r="C10" s="37">
        <f>VLOOKUP($A10,'AFI 2016'!$A$7:$E$15,5,0)</f>
        <v>859873.87</v>
      </c>
      <c r="D10" s="102">
        <v>100000</v>
      </c>
      <c r="E10" s="102">
        <f>VLOOKUP($A$9:$A$17,Complejidad!$AC$7:$AQ$15,14,0)</f>
        <v>1994840.3326868757</v>
      </c>
      <c r="F10" s="38">
        <f t="shared" ref="F10:F18" si="6">SUM(C10:E10)</f>
        <v>2954714.2026868756</v>
      </c>
      <c r="G10" s="39">
        <f>VLOOKUP(A10,Desempeño!$BC$7:$BG$15,4,0)</f>
        <v>2660031.0060532154</v>
      </c>
      <c r="H10" s="41">
        <f t="shared" ref="H10:H17" si="7">+G10/$G$18</f>
        <v>0.16218844822299111</v>
      </c>
      <c r="I10" s="84">
        <f t="shared" ref="I10:I17" si="8">+G10+F10</f>
        <v>5614745.208740091</v>
      </c>
      <c r="J10" s="85">
        <f t="shared" ref="J10:J17" si="9">I10/$I$18</f>
        <v>0.17315186180590297</v>
      </c>
      <c r="K10" s="85"/>
      <c r="L10" s="86">
        <f>ROUND($K$9/8,0)</f>
        <v>13912</v>
      </c>
      <c r="M10" s="183">
        <f t="shared" ref="M10:M17" si="10">SUM(I10,L10)</f>
        <v>5628657.208740091</v>
      </c>
      <c r="N10" s="90">
        <f>ROUND(M10,0)</f>
        <v>5628657</v>
      </c>
      <c r="O10" s="91">
        <f t="shared" si="0"/>
        <v>0.17358089083783371</v>
      </c>
      <c r="P10" s="3" t="str">
        <f t="shared" si="1"/>
        <v>UCO</v>
      </c>
      <c r="Q10" s="120" t="str">
        <f t="shared" si="2"/>
        <v>I</v>
      </c>
      <c r="S10" s="28">
        <v>4593208</v>
      </c>
      <c r="T10" s="3">
        <f t="shared" si="3"/>
        <v>0.16619202352764353</v>
      </c>
      <c r="U10" s="123">
        <f t="shared" ref="U10:U17" si="11">TRUNC(T10*$U$6,0)</f>
        <v>2155624</v>
      </c>
      <c r="V10" s="29">
        <f t="shared" si="4"/>
        <v>3473033</v>
      </c>
      <c r="W10" s="131">
        <f t="shared" si="5"/>
        <v>0.61702691622561923</v>
      </c>
      <c r="X10" s="47"/>
      <c r="AA10" s="24"/>
      <c r="AB10" s="24"/>
      <c r="AC10" s="24"/>
      <c r="AD10" s="24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s="2" customFormat="1" x14ac:dyDescent="0.2">
      <c r="A11" s="93" t="s">
        <v>41</v>
      </c>
      <c r="B11" s="51" t="str">
        <f>VLOOKUP(A11,'Categoria 2017'!$B$8:$J$16,9,0)</f>
        <v>II</v>
      </c>
      <c r="C11" s="37">
        <f>VLOOKUP($A11,'AFI 2016'!$A$7:$E$15,5,0)</f>
        <v>550304.28</v>
      </c>
      <c r="D11" s="102">
        <v>100000</v>
      </c>
      <c r="E11" s="102">
        <f>VLOOKUP($A$9:$A$17,Complejidad!$AC$7:$AQ$15,14,0)</f>
        <v>1045831.4063898925</v>
      </c>
      <c r="F11" s="38">
        <f t="shared" si="6"/>
        <v>1696135.6863898924</v>
      </c>
      <c r="G11" s="39">
        <f>VLOOKUP(A11,Desempeño!$BC$7:$BG$15,4,0)</f>
        <v>2021845.8416594709</v>
      </c>
      <c r="H11" s="41">
        <f t="shared" si="7"/>
        <v>0.1232767734130302</v>
      </c>
      <c r="I11" s="84">
        <f t="shared" si="8"/>
        <v>3717981.5280493633</v>
      </c>
      <c r="J11" s="85">
        <f t="shared" si="9"/>
        <v>0.11465799422912049</v>
      </c>
      <c r="K11" s="85"/>
      <c r="L11" s="86">
        <f t="shared" ref="L11:L17" si="12">ROUND($K$9/8,0)</f>
        <v>13912</v>
      </c>
      <c r="M11" s="183">
        <f t="shared" si="10"/>
        <v>3731893.5280493633</v>
      </c>
      <c r="N11" s="90">
        <f>ROUND(M11,0)</f>
        <v>3731894</v>
      </c>
      <c r="O11" s="91">
        <f t="shared" si="0"/>
        <v>0.11508702326105125</v>
      </c>
      <c r="P11" s="3" t="str">
        <f t="shared" si="1"/>
        <v>UCV</v>
      </c>
      <c r="Q11" s="120" t="str">
        <f t="shared" si="2"/>
        <v>II</v>
      </c>
      <c r="S11" s="28">
        <v>3227047</v>
      </c>
      <c r="T11" s="3">
        <f t="shared" si="3"/>
        <v>0.11676141619295521</v>
      </c>
      <c r="U11" s="123">
        <f t="shared" si="11"/>
        <v>1514475</v>
      </c>
      <c r="V11" s="29">
        <f t="shared" si="4"/>
        <v>2217419</v>
      </c>
      <c r="W11" s="131">
        <f t="shared" si="5"/>
        <v>0.59418067084004689</v>
      </c>
      <c r="X11" s="47"/>
      <c r="AA11" s="24"/>
      <c r="AB11" s="24"/>
      <c r="AC11" s="24"/>
      <c r="AD11" s="24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s="2" customFormat="1" x14ac:dyDescent="0.2">
      <c r="A12" s="93" t="s">
        <v>43</v>
      </c>
      <c r="B12" s="51" t="str">
        <f>VLOOKUP(A12,'Categoria 2017'!$B$8:$J$16,9,0)</f>
        <v>II</v>
      </c>
      <c r="C12" s="37">
        <f>VLOOKUP($A12,'AFI 2016'!$A$7:$E$15,5,0)</f>
        <v>820516.54</v>
      </c>
      <c r="D12" s="102"/>
      <c r="E12" s="102">
        <f>VLOOKUP($A$9:$A$17,Complejidad!$AC$7:$AQ$15,14,0)</f>
        <v>895871.00638891605</v>
      </c>
      <c r="F12" s="38">
        <f t="shared" si="6"/>
        <v>1716387.5463889162</v>
      </c>
      <c r="G12" s="39">
        <f>VLOOKUP(A12,Desempeño!$BC$7:$BG$15,4,0)</f>
        <v>1921501.9868490747</v>
      </c>
      <c r="H12" s="41">
        <f t="shared" si="7"/>
        <v>0.11715856875173998</v>
      </c>
      <c r="I12" s="84">
        <f t="shared" si="8"/>
        <v>3637889.5332379909</v>
      </c>
      <c r="J12" s="85">
        <f t="shared" si="9"/>
        <v>0.1121880552556208</v>
      </c>
      <c r="K12" s="85"/>
      <c r="L12" s="86">
        <f t="shared" si="12"/>
        <v>13912</v>
      </c>
      <c r="M12" s="183">
        <f t="shared" si="10"/>
        <v>3651801.5332379909</v>
      </c>
      <c r="N12" s="90">
        <f>ROUND(M12,0)</f>
        <v>3651802</v>
      </c>
      <c r="O12" s="91">
        <f t="shared" si="0"/>
        <v>0.11261708428755156</v>
      </c>
      <c r="P12" s="3" t="str">
        <f t="shared" si="1"/>
        <v>FSM</v>
      </c>
      <c r="Q12" s="120" t="str">
        <f t="shared" si="2"/>
        <v>II</v>
      </c>
      <c r="S12" s="28">
        <v>3661764</v>
      </c>
      <c r="T12" s="3">
        <f t="shared" si="3"/>
        <v>0.13249040079192539</v>
      </c>
      <c r="U12" s="123">
        <f t="shared" si="11"/>
        <v>1718491</v>
      </c>
      <c r="V12" s="29">
        <f t="shared" si="4"/>
        <v>1933311</v>
      </c>
      <c r="W12" s="131">
        <f t="shared" si="5"/>
        <v>0.5294129438315246</v>
      </c>
      <c r="X12" s="47"/>
      <c r="AA12" s="24"/>
      <c r="AB12" s="24"/>
      <c r="AC12" s="24"/>
      <c r="AD12" s="24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s="2" customFormat="1" x14ac:dyDescent="0.2">
      <c r="A13" s="93" t="s">
        <v>40</v>
      </c>
      <c r="B13" s="51" t="str">
        <f>VLOOKUP(A13,'Categoria 2017'!$B$8:$J$16,9,0)</f>
        <v>II</v>
      </c>
      <c r="C13" s="37">
        <f>VLOOKUP($A13,'AFI 2016'!$A$7:$E$15,5,0)</f>
        <v>318069.15000000002</v>
      </c>
      <c r="D13" s="102">
        <v>100000</v>
      </c>
      <c r="E13" s="102">
        <f>VLOOKUP($A$9:$A$17,Complejidad!$AC$7:$AQ$15,14,0)</f>
        <v>1135077.3954789396</v>
      </c>
      <c r="F13" s="38">
        <f t="shared" si="6"/>
        <v>1553146.5454789395</v>
      </c>
      <c r="G13" s="39">
        <f>VLOOKUP(A13,Desempeño!$BC$7:$BG$15,4,0)</f>
        <v>1855083.0852400064</v>
      </c>
      <c r="H13" s="41">
        <f t="shared" si="7"/>
        <v>0.11310884957172422</v>
      </c>
      <c r="I13" s="84">
        <f t="shared" si="8"/>
        <v>3408229.630718946</v>
      </c>
      <c r="J13" s="85">
        <f t="shared" si="9"/>
        <v>0.10510562529220345</v>
      </c>
      <c r="K13" s="85"/>
      <c r="L13" s="86">
        <f t="shared" si="12"/>
        <v>13912</v>
      </c>
      <c r="M13" s="183">
        <f t="shared" si="10"/>
        <v>3422141.630718946</v>
      </c>
      <c r="N13" s="90">
        <f>ROUND(M13,0)</f>
        <v>3422142</v>
      </c>
      <c r="O13" s="91">
        <f t="shared" si="0"/>
        <v>0.10553465432413421</v>
      </c>
      <c r="P13" s="3" t="str">
        <f t="shared" si="1"/>
        <v>AUS</v>
      </c>
      <c r="Q13" s="120" t="str">
        <f t="shared" si="2"/>
        <v>II</v>
      </c>
      <c r="S13" s="28">
        <v>2972500</v>
      </c>
      <c r="T13" s="3">
        <f t="shared" si="3"/>
        <v>0.10755136495798152</v>
      </c>
      <c r="U13" s="123">
        <f t="shared" si="11"/>
        <v>1395014</v>
      </c>
      <c r="V13" s="29">
        <f t="shared" si="4"/>
        <v>2027128</v>
      </c>
      <c r="W13" s="131">
        <f t="shared" si="5"/>
        <v>0.5923565470825144</v>
      </c>
      <c r="X13" s="47"/>
      <c r="AA13" s="24"/>
      <c r="AB13" s="24"/>
      <c r="AC13" s="24"/>
      <c r="AD13" s="24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 s="2" customFormat="1" x14ac:dyDescent="0.2">
      <c r="A14" s="93" t="s">
        <v>44</v>
      </c>
      <c r="B14" s="51" t="str">
        <f>VLOOKUP(A14,'Categoria 2017'!$B$8:$J$16,9,0)</f>
        <v>II</v>
      </c>
      <c r="C14" s="37">
        <f>VLOOKUP($A14,'AFI 2016'!$A$7:$E$15,5,0)</f>
        <v>195557.86000000002</v>
      </c>
      <c r="D14" s="102">
        <v>100000</v>
      </c>
      <c r="E14" s="102">
        <f>VLOOKUP($A$9:$A$17,Complejidad!$AC$7:$AQ$15,14,0)</f>
        <v>760144.10722119256</v>
      </c>
      <c r="F14" s="38">
        <f t="shared" si="6"/>
        <v>1055701.9672211925</v>
      </c>
      <c r="G14" s="39">
        <f>VLOOKUP(A14,Desempeño!$BC$7:$BG$15,4,0)</f>
        <v>1784516.53296198</v>
      </c>
      <c r="H14" s="41">
        <f t="shared" si="7"/>
        <v>0.1088062382170539</v>
      </c>
      <c r="I14" s="84">
        <f t="shared" si="8"/>
        <v>2840218.5001831725</v>
      </c>
      <c r="J14" s="85">
        <f t="shared" si="9"/>
        <v>8.7588858079748852E-2</v>
      </c>
      <c r="K14" s="85"/>
      <c r="L14" s="86">
        <f t="shared" si="12"/>
        <v>13912</v>
      </c>
      <c r="M14" s="183">
        <f t="shared" si="10"/>
        <v>2854130.5001831725</v>
      </c>
      <c r="N14" s="182">
        <v>2854130</v>
      </c>
      <c r="O14" s="91">
        <f t="shared" si="0"/>
        <v>8.8017887111679613E-2</v>
      </c>
      <c r="P14" s="3" t="str">
        <f t="shared" si="1"/>
        <v>UCN</v>
      </c>
      <c r="Q14" s="120" t="str">
        <f t="shared" si="2"/>
        <v>II</v>
      </c>
      <c r="S14" s="28">
        <v>2607019</v>
      </c>
      <c r="T14" s="3">
        <f t="shared" si="3"/>
        <v>9.432748592813861E-2</v>
      </c>
      <c r="U14" s="123">
        <f t="shared" si="11"/>
        <v>1223492</v>
      </c>
      <c r="V14" s="29">
        <f t="shared" si="4"/>
        <v>1630638</v>
      </c>
      <c r="W14" s="131">
        <f t="shared" si="5"/>
        <v>0.57132566289290165</v>
      </c>
      <c r="X14" s="47"/>
      <c r="AA14" s="24"/>
      <c r="AB14" s="24"/>
      <c r="AC14" s="24"/>
      <c r="AD14" s="2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s="2" customFormat="1" x14ac:dyDescent="0.2">
      <c r="A15" s="93" t="s">
        <v>38</v>
      </c>
      <c r="B15" s="51" t="str">
        <f>VLOOKUP(A15,'Categoria 2017'!$B$8:$J$16,9,0)</f>
        <v>II</v>
      </c>
      <c r="C15" s="37">
        <f>VLOOKUP($A15,'AFI 2016'!$A$7:$E$15,5,0)</f>
        <v>31239.9</v>
      </c>
      <c r="D15" s="102">
        <v>100000</v>
      </c>
      <c r="E15" s="102">
        <f>VLOOKUP($A$9:$A$17,Complejidad!$AC$7:$AQ$15,14,0)</f>
        <v>400634.70410401205</v>
      </c>
      <c r="F15" s="38">
        <f t="shared" si="6"/>
        <v>531874.60410401202</v>
      </c>
      <c r="G15" s="39">
        <f>VLOOKUP(A15,Desempeño!$BC$7:$BG$15,4,0)</f>
        <v>1528644.7755116911</v>
      </c>
      <c r="H15" s="41">
        <f t="shared" si="7"/>
        <v>9.3205125602007305E-2</v>
      </c>
      <c r="I15" s="84">
        <f t="shared" si="8"/>
        <v>2060519.3796157031</v>
      </c>
      <c r="J15" s="85">
        <f t="shared" si="9"/>
        <v>6.3543892661811929E-2</v>
      </c>
      <c r="K15" s="85"/>
      <c r="L15" s="86">
        <f t="shared" si="12"/>
        <v>13912</v>
      </c>
      <c r="M15" s="183">
        <f t="shared" si="10"/>
        <v>2074431.3796157031</v>
      </c>
      <c r="N15" s="90">
        <f>ROUND(M15,0)</f>
        <v>2074431</v>
      </c>
      <c r="O15" s="91">
        <f t="shared" si="0"/>
        <v>6.397292169374269E-2</v>
      </c>
      <c r="P15" s="3" t="str">
        <f t="shared" si="1"/>
        <v>UCT</v>
      </c>
      <c r="Q15" s="120" t="str">
        <f t="shared" si="2"/>
        <v>II</v>
      </c>
      <c r="S15" s="28">
        <v>1207932</v>
      </c>
      <c r="T15" s="3">
        <f t="shared" si="3"/>
        <v>4.3705545963473348E-2</v>
      </c>
      <c r="U15" s="123">
        <f t="shared" si="11"/>
        <v>566890</v>
      </c>
      <c r="V15" s="29">
        <f t="shared" si="4"/>
        <v>1507541</v>
      </c>
      <c r="W15" s="131">
        <f t="shared" si="5"/>
        <v>0.72672493041407715</v>
      </c>
      <c r="X15" s="47"/>
      <c r="AA15" s="24"/>
      <c r="AB15" s="24"/>
      <c r="AC15" s="24"/>
      <c r="AD15" s="24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s="2" customFormat="1" x14ac:dyDescent="0.2">
      <c r="A16" s="93" t="s">
        <v>42</v>
      </c>
      <c r="B16" s="51" t="str">
        <f>VLOOKUP(A16,'Categoria 2017'!$B$8:$J$16,9,0)</f>
        <v>III</v>
      </c>
      <c r="C16" s="37">
        <f>VLOOKUP($A16,'AFI 2016'!$A$7:$E$15,5,0)</f>
        <v>98238.31</v>
      </c>
      <c r="D16" s="102">
        <v>100000</v>
      </c>
      <c r="E16" s="102">
        <f>VLOOKUP($A$9:$A$17,Complejidad!$AC$7:$AQ$15,14,0)</f>
        <v>339204.77363107639</v>
      </c>
      <c r="F16" s="38">
        <f t="shared" si="6"/>
        <v>537443.08363107638</v>
      </c>
      <c r="G16" s="39">
        <f>VLOOKUP(A16,Desempeño!$BC$7:$BG$15,4,0)</f>
        <v>954852.8481341314</v>
      </c>
      <c r="H16" s="41">
        <f t="shared" si="7"/>
        <v>5.8219660360259717E-2</v>
      </c>
      <c r="I16" s="84">
        <f t="shared" si="8"/>
        <v>1492295.9317652078</v>
      </c>
      <c r="J16" s="85">
        <f t="shared" si="9"/>
        <v>4.6020577843549591E-2</v>
      </c>
      <c r="K16" s="85"/>
      <c r="L16" s="86">
        <f t="shared" si="12"/>
        <v>13912</v>
      </c>
      <c r="M16" s="183">
        <f t="shared" si="10"/>
        <v>1506207.9317652078</v>
      </c>
      <c r="N16" s="90">
        <f>ROUND(M16,0)</f>
        <v>1506208</v>
      </c>
      <c r="O16" s="91">
        <f t="shared" si="0"/>
        <v>4.6449606875480359E-2</v>
      </c>
      <c r="P16" s="3" t="str">
        <f t="shared" si="1"/>
        <v>UCM</v>
      </c>
      <c r="Q16" s="120" t="str">
        <f t="shared" si="2"/>
        <v>III</v>
      </c>
      <c r="S16" s="28">
        <v>1332815</v>
      </c>
      <c r="T16" s="3">
        <f t="shared" si="3"/>
        <v>4.8224078212438064E-2</v>
      </c>
      <c r="U16" s="123">
        <f t="shared" si="11"/>
        <v>625499</v>
      </c>
      <c r="V16" s="29">
        <f t="shared" si="4"/>
        <v>880709</v>
      </c>
      <c r="W16" s="131">
        <f t="shared" si="5"/>
        <v>0.58471940123688548</v>
      </c>
      <c r="X16" s="47"/>
      <c r="AA16" s="24"/>
      <c r="AB16" s="24"/>
      <c r="AC16" s="24"/>
      <c r="AD16" s="24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s="2" customFormat="1" x14ac:dyDescent="0.2">
      <c r="A17" s="93" t="s">
        <v>39</v>
      </c>
      <c r="B17" s="51" t="str">
        <f>VLOOKUP(A17,'Categoria 2017'!$B$8:$J$16,9,0)</f>
        <v>III</v>
      </c>
      <c r="C17" s="37">
        <f>VLOOKUP($A17,'AFI 2016'!$A$7:$E$15,5,0)</f>
        <v>78483.94</v>
      </c>
      <c r="D17" s="102">
        <v>100000</v>
      </c>
      <c r="E17" s="102">
        <f>VLOOKUP($A$9:$A$17,Complejidad!$AC$7:$AQ$15,14,0)</f>
        <v>390906.80297202163</v>
      </c>
      <c r="F17" s="38">
        <f t="shared" si="6"/>
        <v>569390.74297202169</v>
      </c>
      <c r="G17" s="39">
        <f>VLOOKUP(A17,Desempeño!$BC$7:$BG$15,4,0)</f>
        <v>867465.59631031286</v>
      </c>
      <c r="H17" s="41">
        <f t="shared" si="7"/>
        <v>5.2891450750851381E-2</v>
      </c>
      <c r="I17" s="84">
        <f t="shared" si="8"/>
        <v>1436856.3392823345</v>
      </c>
      <c r="J17" s="85">
        <f t="shared" si="9"/>
        <v>4.4310888748267545E-2</v>
      </c>
      <c r="K17" s="85"/>
      <c r="L17" s="86">
        <f t="shared" si="12"/>
        <v>13912</v>
      </c>
      <c r="M17" s="183">
        <f t="shared" si="10"/>
        <v>1450768.3392823345</v>
      </c>
      <c r="N17" s="90">
        <f>ROUND(M17,0)</f>
        <v>1450768</v>
      </c>
      <c r="O17" s="91">
        <f t="shared" si="0"/>
        <v>4.473991778019832E-2</v>
      </c>
      <c r="P17" s="3" t="str">
        <f t="shared" si="1"/>
        <v>USC</v>
      </c>
      <c r="Q17" s="120" t="str">
        <f t="shared" si="2"/>
        <v>III</v>
      </c>
      <c r="S17" s="28">
        <v>1126183</v>
      </c>
      <c r="T17" s="3">
        <f t="shared" si="3"/>
        <v>4.0747693470975441E-2</v>
      </c>
      <c r="U17" s="123">
        <f t="shared" si="11"/>
        <v>528525</v>
      </c>
      <c r="V17" s="29">
        <f t="shared" si="4"/>
        <v>922243</v>
      </c>
      <c r="W17" s="131">
        <f t="shared" si="5"/>
        <v>0.63569280844398268</v>
      </c>
      <c r="X17" s="47"/>
      <c r="AA17" s="24"/>
      <c r="AB17" s="24"/>
      <c r="AC17" s="24"/>
      <c r="AD17" s="24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s="2" customFormat="1" x14ac:dyDescent="0.2">
      <c r="A18" s="54" t="s">
        <v>127</v>
      </c>
      <c r="B18" s="36"/>
      <c r="C18" s="38">
        <f>SUM(C9:C17)</f>
        <v>5497831.0000000009</v>
      </c>
      <c r="D18" s="104">
        <f>SUM(D9:D17)</f>
        <v>800000</v>
      </c>
      <c r="E18" s="104">
        <f>SUM(E9:E17)</f>
        <v>9728013</v>
      </c>
      <c r="F18" s="38">
        <f t="shared" si="6"/>
        <v>16025844</v>
      </c>
      <c r="G18" s="40">
        <f>SUM(G9:G17)</f>
        <v>16400866</v>
      </c>
      <c r="H18" s="41">
        <f t="shared" ref="H18:J18" si="13">SUM(H9:H17)</f>
        <v>1</v>
      </c>
      <c r="I18" s="84">
        <f t="shared" si="13"/>
        <v>32426709.999999996</v>
      </c>
      <c r="J18" s="85">
        <f t="shared" si="13"/>
        <v>1</v>
      </c>
      <c r="K18" s="87"/>
      <c r="L18" s="88">
        <f>SUM(L9:L17)</f>
        <v>0</v>
      </c>
      <c r="M18" s="184">
        <f>SUM(M9:M17)</f>
        <v>32426709.999999996</v>
      </c>
      <c r="N18" s="90">
        <f>SUM(N9:N17)</f>
        <v>32426710</v>
      </c>
      <c r="O18" s="92">
        <f t="shared" si="0"/>
        <v>0.99999999999999989</v>
      </c>
      <c r="P18" s="55"/>
      <c r="Q18" s="121"/>
      <c r="S18" s="56">
        <f>SUM(S9:S17)</f>
        <v>27637957</v>
      </c>
      <c r="T18" s="2">
        <f>SUM(T9:T17)</f>
        <v>1</v>
      </c>
      <c r="U18" s="70">
        <f>SUM(U9:U17)</f>
        <v>12970680</v>
      </c>
      <c r="V18" s="21">
        <f>SUM(V9:V17)</f>
        <v>19456030</v>
      </c>
      <c r="W18" s="47"/>
      <c r="X18" s="47"/>
      <c r="AA18" s="24"/>
      <c r="AB18" s="24"/>
      <c r="AC18" s="24"/>
      <c r="AD18" s="24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x14ac:dyDescent="0.2">
      <c r="A19" s="57"/>
      <c r="B19" s="30"/>
      <c r="C19" s="30"/>
      <c r="D19" s="58">
        <f>D18/H21</f>
        <v>4.8777912093178492E-2</v>
      </c>
      <c r="E19" s="71">
        <f>E18/A22</f>
        <v>0.3</v>
      </c>
      <c r="F19" s="58">
        <f>F18/A22</f>
        <v>0.49421739054008257</v>
      </c>
      <c r="G19" s="30"/>
      <c r="H19" s="30"/>
      <c r="I19" s="30"/>
      <c r="J19" s="30"/>
      <c r="K19" s="30"/>
      <c r="L19" s="30"/>
      <c r="M19" s="30"/>
      <c r="N19" s="30"/>
      <c r="O19" s="30"/>
      <c r="P19" s="55"/>
      <c r="Q19" s="121"/>
      <c r="R19" s="2"/>
      <c r="S19" s="55"/>
    </row>
    <row r="20" spans="1:43" s="2" customFormat="1" ht="20" x14ac:dyDescent="0.25">
      <c r="A20" s="108" t="s">
        <v>142</v>
      </c>
      <c r="B20" s="49"/>
      <c r="C20" s="27"/>
      <c r="D20" s="30"/>
      <c r="E20" s="30"/>
      <c r="F20" s="30"/>
      <c r="G20" s="34" t="s">
        <v>129</v>
      </c>
      <c r="H20" s="33"/>
      <c r="I20" s="30"/>
      <c r="J20" s="30"/>
      <c r="K20" s="30"/>
      <c r="L20" s="30"/>
      <c r="M20" s="30"/>
      <c r="N20" s="30"/>
      <c r="O20" s="30"/>
      <c r="P20" s="55"/>
      <c r="Q20" s="121"/>
      <c r="S20" s="55"/>
      <c r="W20" s="47"/>
      <c r="X20" s="47"/>
      <c r="AA20" s="24"/>
      <c r="AB20" s="24"/>
      <c r="AC20" s="24"/>
      <c r="AD20" s="24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s="2" customFormat="1" x14ac:dyDescent="0.2">
      <c r="A21" s="109" t="s">
        <v>133</v>
      </c>
      <c r="B21" s="50"/>
      <c r="C21" s="26"/>
      <c r="D21" s="30"/>
      <c r="E21" s="125">
        <f>+A22*0.3</f>
        <v>9728013</v>
      </c>
      <c r="F21" s="30"/>
      <c r="G21" s="32" t="s">
        <v>146</v>
      </c>
      <c r="H21" s="31">
        <f>A22-F18</f>
        <v>16400866</v>
      </c>
      <c r="I21" s="30"/>
      <c r="J21" s="30"/>
      <c r="K21" s="30"/>
      <c r="L21" s="30"/>
      <c r="M21" s="30"/>
      <c r="N21" s="30"/>
      <c r="O21" s="30"/>
      <c r="P21" s="55"/>
      <c r="Q21" s="121"/>
      <c r="S21" s="55"/>
      <c r="W21" s="47"/>
      <c r="X21" s="47"/>
      <c r="AA21" s="24"/>
      <c r="AB21" s="24"/>
      <c r="AC21" s="24"/>
      <c r="AD21" s="24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2" customFormat="1" x14ac:dyDescent="0.2">
      <c r="A22" s="187">
        <f>25723489+6703221</f>
        <v>32426710</v>
      </c>
      <c r="B22" s="188"/>
      <c r="C22" s="189"/>
      <c r="E22" s="107">
        <v>0.3</v>
      </c>
      <c r="F22" s="67"/>
      <c r="G22" s="55"/>
      <c r="H22" s="58">
        <f>H21/A22</f>
        <v>0.50578260945991749</v>
      </c>
      <c r="I22" s="30"/>
      <c r="J22" s="30"/>
      <c r="K22" s="30"/>
      <c r="L22" s="30"/>
      <c r="M22" s="30"/>
      <c r="N22" s="30"/>
      <c r="O22" s="30"/>
      <c r="P22" s="55"/>
      <c r="Q22" s="121"/>
      <c r="S22" s="55"/>
      <c r="W22" s="47"/>
      <c r="X22" s="47"/>
      <c r="AA22" s="24"/>
      <c r="AB22" s="24"/>
      <c r="AC22" s="24"/>
      <c r="AD22" s="24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ht="16" thickBot="1" x14ac:dyDescent="0.25">
      <c r="A23" s="59"/>
      <c r="B23" s="68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1"/>
      <c r="Q23" s="122"/>
      <c r="R23" s="2"/>
      <c r="S23" s="55"/>
    </row>
    <row r="24" spans="1:43" ht="16" thickTop="1" x14ac:dyDescent="0.2">
      <c r="R24" s="2"/>
    </row>
    <row r="25" spans="1:43" x14ac:dyDescent="0.2">
      <c r="R25" s="2"/>
    </row>
    <row r="26" spans="1:43" x14ac:dyDescent="0.2">
      <c r="R26" s="2"/>
    </row>
    <row r="27" spans="1:43" x14ac:dyDescent="0.2">
      <c r="R27" s="2"/>
    </row>
    <row r="28" spans="1:43" x14ac:dyDescent="0.2">
      <c r="R28" s="2"/>
    </row>
    <row r="29" spans="1:43" x14ac:dyDescent="0.2">
      <c r="R29" s="2"/>
    </row>
    <row r="30" spans="1:43" x14ac:dyDescent="0.2">
      <c r="R30" s="2"/>
    </row>
  </sheetData>
  <mergeCells count="5">
    <mergeCell ref="F7:F8"/>
    <mergeCell ref="C7:E7"/>
    <mergeCell ref="A22:C22"/>
    <mergeCell ref="I7:O7"/>
    <mergeCell ref="G7:H7"/>
  </mergeCells>
  <printOptions horizontalCentered="1"/>
  <pageMargins left="0.11811023622047245" right="0.11811023622047245" top="0.55118110236220474" bottom="0.55118110236220474" header="0.31496062992125984" footer="0.31496062992125984"/>
  <pageSetup paperSize="14" scale="75" pageOrder="overThenDown" orientation="landscape" verticalDpi="0" r:id="rId1"/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10" zoomScaleNormal="110" workbookViewId="0">
      <selection activeCell="E15" sqref="E15"/>
    </sheetView>
  </sheetViews>
  <sheetFormatPr baseColWidth="10" defaultRowHeight="15" x14ac:dyDescent="0.2"/>
  <cols>
    <col min="1" max="1" width="7.33203125" customWidth="1"/>
    <col min="2" max="2" width="24.6640625" customWidth="1"/>
    <col min="3" max="3" width="10.5" customWidth="1"/>
    <col min="4" max="5" width="13" style="2" customWidth="1"/>
  </cols>
  <sheetData>
    <row r="1" spans="1:5" ht="20" x14ac:dyDescent="0.25">
      <c r="A1" s="198" t="s">
        <v>187</v>
      </c>
      <c r="B1" s="198"/>
      <c r="C1" s="198"/>
      <c r="D1" s="198"/>
      <c r="E1" s="198"/>
    </row>
    <row r="2" spans="1:5" x14ac:dyDescent="0.2">
      <c r="A2" s="199">
        <v>42985</v>
      </c>
      <c r="B2" s="199"/>
      <c r="C2" s="199"/>
      <c r="D2" s="199"/>
      <c r="E2" s="199"/>
    </row>
    <row r="3" spans="1:5" x14ac:dyDescent="0.2">
      <c r="A3" s="73">
        <v>1</v>
      </c>
      <c r="B3" s="73">
        <v>2</v>
      </c>
      <c r="C3" s="73">
        <v>3</v>
      </c>
      <c r="D3" s="73">
        <v>4</v>
      </c>
      <c r="E3" s="73">
        <v>5</v>
      </c>
    </row>
    <row r="4" spans="1:5" ht="27" customHeight="1" x14ac:dyDescent="0.2">
      <c r="A4" s="2"/>
      <c r="B4" s="2"/>
      <c r="C4" s="2"/>
      <c r="D4" s="110" t="s">
        <v>130</v>
      </c>
      <c r="E4" s="175">
        <v>0.03</v>
      </c>
    </row>
    <row r="5" spans="1:5" ht="15" customHeight="1" x14ac:dyDescent="0.2">
      <c r="A5" s="2"/>
      <c r="B5" s="2"/>
      <c r="C5" s="196" t="s">
        <v>134</v>
      </c>
      <c r="D5" s="192" t="s">
        <v>128</v>
      </c>
      <c r="E5" s="194" t="s">
        <v>195</v>
      </c>
    </row>
    <row r="6" spans="1:5" x14ac:dyDescent="0.2">
      <c r="A6" s="2"/>
      <c r="B6" s="2"/>
      <c r="C6" s="197"/>
      <c r="D6" s="193"/>
      <c r="E6" s="195"/>
    </row>
    <row r="7" spans="1:5" x14ac:dyDescent="0.2">
      <c r="A7" s="63" t="s">
        <v>45</v>
      </c>
      <c r="B7" s="62" t="s">
        <v>79</v>
      </c>
      <c r="C7" s="105" t="str">
        <f>VLOOKUP(A7,'Categoria 2017'!$B$8:$J$16,9,0)</f>
        <v>I</v>
      </c>
      <c r="D7" s="28">
        <v>2471405</v>
      </c>
      <c r="E7" s="28">
        <f>D7*1.03</f>
        <v>2545547.15</v>
      </c>
    </row>
    <row r="8" spans="1:5" x14ac:dyDescent="0.2">
      <c r="A8" s="64" t="s">
        <v>37</v>
      </c>
      <c r="B8" s="25" t="s">
        <v>78</v>
      </c>
      <c r="C8" s="35" t="str">
        <f>VLOOKUP(A8,'Categoria 2017'!$B$8:$J$16,9,0)</f>
        <v>I</v>
      </c>
      <c r="D8" s="28">
        <v>834829</v>
      </c>
      <c r="E8" s="28">
        <f t="shared" ref="E8:E15" si="0">D8*1.03</f>
        <v>859873.87</v>
      </c>
    </row>
    <row r="9" spans="1:5" x14ac:dyDescent="0.2">
      <c r="A9" s="64" t="s">
        <v>41</v>
      </c>
      <c r="B9" s="25" t="s">
        <v>77</v>
      </c>
      <c r="C9" s="35" t="str">
        <f>VLOOKUP(A9,'Categoria 2017'!$B$8:$J$16,9,0)</f>
        <v>II</v>
      </c>
      <c r="D9" s="28">
        <v>534276</v>
      </c>
      <c r="E9" s="28">
        <f t="shared" si="0"/>
        <v>550304.28</v>
      </c>
    </row>
    <row r="10" spans="1:5" x14ac:dyDescent="0.2">
      <c r="A10" s="64" t="s">
        <v>43</v>
      </c>
      <c r="B10" s="25" t="s">
        <v>140</v>
      </c>
      <c r="C10" s="35" t="str">
        <f>VLOOKUP(A10,'Categoria 2017'!$B$8:$J$16,9,0)</f>
        <v>II</v>
      </c>
      <c r="D10" s="28">
        <v>796618</v>
      </c>
      <c r="E10" s="28">
        <f t="shared" si="0"/>
        <v>820516.54</v>
      </c>
    </row>
    <row r="11" spans="1:5" x14ac:dyDescent="0.2">
      <c r="A11" s="64" t="s">
        <v>40</v>
      </c>
      <c r="B11" s="25" t="s">
        <v>76</v>
      </c>
      <c r="C11" s="35" t="str">
        <f>VLOOKUP(A11,'Categoria 2017'!$B$8:$J$16,9,0)</f>
        <v>II</v>
      </c>
      <c r="D11" s="28">
        <v>308805</v>
      </c>
      <c r="E11" s="28">
        <f t="shared" si="0"/>
        <v>318069.15000000002</v>
      </c>
    </row>
    <row r="12" spans="1:5" x14ac:dyDescent="0.2">
      <c r="A12" s="64" t="s">
        <v>44</v>
      </c>
      <c r="B12" s="25" t="s">
        <v>75</v>
      </c>
      <c r="C12" s="35" t="str">
        <f>VLOOKUP(A12,'Categoria 2017'!$B$8:$J$16,9,0)</f>
        <v>II</v>
      </c>
      <c r="D12" s="28">
        <v>189862</v>
      </c>
      <c r="E12" s="28">
        <f t="shared" si="0"/>
        <v>195557.86000000002</v>
      </c>
    </row>
    <row r="13" spans="1:5" x14ac:dyDescent="0.2">
      <c r="A13" s="64" t="s">
        <v>38</v>
      </c>
      <c r="B13" s="25" t="s">
        <v>74</v>
      </c>
      <c r="C13" s="35" t="str">
        <f>VLOOKUP(A13,'Categoria 2017'!$B$8:$J$16,9,0)</f>
        <v>II</v>
      </c>
      <c r="D13" s="28">
        <v>30330</v>
      </c>
      <c r="E13" s="28">
        <f t="shared" si="0"/>
        <v>31239.9</v>
      </c>
    </row>
    <row r="14" spans="1:5" x14ac:dyDescent="0.2">
      <c r="A14" s="64" t="s">
        <v>42</v>
      </c>
      <c r="B14" s="25" t="s">
        <v>73</v>
      </c>
      <c r="C14" s="35" t="str">
        <f>VLOOKUP(A14,'Categoria 2017'!$B$8:$J$16,9,0)</f>
        <v>III</v>
      </c>
      <c r="D14" s="28">
        <v>95377</v>
      </c>
      <c r="E14" s="28">
        <f t="shared" si="0"/>
        <v>98238.31</v>
      </c>
    </row>
    <row r="15" spans="1:5" x14ac:dyDescent="0.2">
      <c r="A15" s="66" t="s">
        <v>39</v>
      </c>
      <c r="B15" s="65" t="s">
        <v>72</v>
      </c>
      <c r="C15" s="106" t="str">
        <f>VLOOKUP(A15,'Categoria 2017'!$B$8:$J$16,9,0)</f>
        <v>III</v>
      </c>
      <c r="D15" s="28">
        <v>76198</v>
      </c>
      <c r="E15" s="28">
        <f t="shared" si="0"/>
        <v>78483.94</v>
      </c>
    </row>
    <row r="16" spans="1:5" x14ac:dyDescent="0.2">
      <c r="D16" s="21">
        <f t="shared" ref="D16:E16" si="1">SUM(D7:D15)</f>
        <v>5337700</v>
      </c>
      <c r="E16" s="21">
        <f t="shared" si="1"/>
        <v>5497831.0000000009</v>
      </c>
    </row>
    <row r="17" spans="5:5" x14ac:dyDescent="0.2">
      <c r="E17" s="176">
        <f>E16/D16</f>
        <v>1.0300000000000002</v>
      </c>
    </row>
  </sheetData>
  <mergeCells count="5">
    <mergeCell ref="D5:D6"/>
    <mergeCell ref="E5:E6"/>
    <mergeCell ref="C5:C6"/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"/>
  <sheetViews>
    <sheetView zoomScaleSheetLayoutView="100" workbookViewId="0">
      <selection activeCell="AR16" sqref="AR16"/>
    </sheetView>
  </sheetViews>
  <sheetFormatPr baseColWidth="10" defaultRowHeight="14" x14ac:dyDescent="0.2"/>
  <cols>
    <col min="1" max="1" width="27" style="2" bestFit="1" customWidth="1"/>
    <col min="2" max="2" width="4.6640625" style="2" bestFit="1" customWidth="1"/>
    <col min="3" max="4" width="7" style="2" customWidth="1"/>
    <col min="5" max="5" width="1.33203125" style="2" customWidth="1"/>
    <col min="6" max="8" width="5.33203125" style="2" customWidth="1"/>
    <col min="9" max="10" width="5.83203125" style="2" customWidth="1"/>
    <col min="11" max="11" width="7.33203125" style="2" customWidth="1"/>
    <col min="12" max="12" width="7" style="2" customWidth="1"/>
    <col min="13" max="13" width="5.6640625" style="2" bestFit="1" customWidth="1"/>
    <col min="14" max="14" width="1.33203125" style="2" customWidth="1"/>
    <col min="15" max="15" width="4.6640625" style="2" bestFit="1" customWidth="1"/>
    <col min="16" max="16" width="6.83203125" style="2" bestFit="1" customWidth="1"/>
    <col min="17" max="17" width="7.5" style="2" customWidth="1"/>
    <col min="18" max="19" width="8" style="2" customWidth="1"/>
    <col min="20" max="20" width="1.33203125" style="2" customWidth="1"/>
    <col min="21" max="21" width="8.1640625" style="2" customWidth="1"/>
    <col min="22" max="22" width="6.33203125" style="2" customWidth="1"/>
    <col min="23" max="24" width="6.83203125" style="2" customWidth="1"/>
    <col min="25" max="25" width="1.33203125" style="2" customWidth="1"/>
    <col min="26" max="27" width="8.1640625" style="2" customWidth="1"/>
    <col min="28" max="28" width="1.33203125" style="2" customWidth="1"/>
    <col min="29" max="29" width="11.33203125" style="2" bestFit="1" customWidth="1"/>
    <col min="30" max="41" width="10.83203125" style="2"/>
    <col min="42" max="42" width="13.5" style="2" customWidth="1"/>
    <col min="43" max="43" width="16.33203125" style="2" customWidth="1"/>
    <col min="44" max="44" width="4.6640625" style="2" bestFit="1" customWidth="1"/>
    <col min="45" max="16384" width="10.83203125" style="2"/>
  </cols>
  <sheetData>
    <row r="1" spans="1:44" ht="16" x14ac:dyDescent="0.2">
      <c r="A1" s="12" t="s">
        <v>197</v>
      </c>
    </row>
    <row r="2" spans="1:44" ht="16" x14ac:dyDescent="0.2">
      <c r="A2" s="11" t="s">
        <v>80</v>
      </c>
      <c r="AD2" s="124">
        <f>+'BD_Calculo 2017'!E21</f>
        <v>9728013</v>
      </c>
    </row>
    <row r="3" spans="1:44" ht="42" customHeight="1" x14ac:dyDescent="0.2">
      <c r="A3" s="119" t="s">
        <v>189</v>
      </c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</row>
    <row r="4" spans="1:44" ht="15" thickBot="1" x14ac:dyDescent="0.25">
      <c r="AC4" s="73">
        <v>1</v>
      </c>
      <c r="AD4" s="73">
        <v>2</v>
      </c>
      <c r="AE4" s="73">
        <v>3</v>
      </c>
      <c r="AF4" s="73">
        <v>4</v>
      </c>
      <c r="AG4" s="73">
        <v>5</v>
      </c>
      <c r="AH4" s="73">
        <v>6</v>
      </c>
      <c r="AI4" s="73">
        <v>7</v>
      </c>
      <c r="AJ4" s="73">
        <v>8</v>
      </c>
      <c r="AK4" s="73">
        <v>9</v>
      </c>
      <c r="AL4" s="73">
        <v>10</v>
      </c>
      <c r="AM4" s="73">
        <v>11</v>
      </c>
      <c r="AN4" s="73">
        <v>12</v>
      </c>
      <c r="AO4" s="73">
        <v>13</v>
      </c>
      <c r="AP4" s="73">
        <v>14</v>
      </c>
      <c r="AQ4" s="73">
        <v>15</v>
      </c>
    </row>
    <row r="5" spans="1:44" ht="45" customHeight="1" thickBot="1" x14ac:dyDescent="0.25">
      <c r="C5" s="203">
        <v>42735</v>
      </c>
      <c r="D5" s="203"/>
      <c r="E5" s="73"/>
      <c r="F5" s="207" t="s">
        <v>156</v>
      </c>
      <c r="G5" s="208"/>
      <c r="H5" s="209"/>
      <c r="I5" s="72"/>
      <c r="J5" s="72"/>
      <c r="K5" s="72"/>
      <c r="L5" s="72"/>
      <c r="M5" s="72"/>
      <c r="P5" s="204" t="s">
        <v>179</v>
      </c>
      <c r="Q5" s="205"/>
      <c r="U5" s="206" t="s">
        <v>198</v>
      </c>
      <c r="V5" s="206"/>
      <c r="W5" s="206"/>
      <c r="X5" s="206"/>
      <c r="Z5" s="113" t="s">
        <v>188</v>
      </c>
      <c r="AD5" s="200" t="s">
        <v>158</v>
      </c>
      <c r="AE5" s="202"/>
      <c r="AF5" s="202"/>
      <c r="AG5" s="201"/>
      <c r="AH5" s="200" t="s">
        <v>162</v>
      </c>
      <c r="AI5" s="201"/>
    </row>
    <row r="6" spans="1:44" ht="98" x14ac:dyDescent="0.2">
      <c r="A6" s="16"/>
      <c r="B6" s="16"/>
      <c r="C6" s="1" t="s">
        <v>103</v>
      </c>
      <c r="D6" s="111" t="s">
        <v>161</v>
      </c>
      <c r="E6" s="73"/>
      <c r="F6" s="127" t="s">
        <v>158</v>
      </c>
      <c r="G6" s="127" t="s">
        <v>157</v>
      </c>
      <c r="H6" s="127" t="s">
        <v>159</v>
      </c>
      <c r="I6" s="79" t="str">
        <f>+F6</f>
        <v>Investigación</v>
      </c>
      <c r="J6" s="79" t="str">
        <f>+G6</f>
        <v>5 áreas</v>
      </c>
      <c r="K6" s="79" t="s">
        <v>160</v>
      </c>
      <c r="L6" s="80" t="s">
        <v>176</v>
      </c>
      <c r="M6" s="111" t="s">
        <v>161</v>
      </c>
      <c r="N6" s="10"/>
      <c r="O6" s="10"/>
      <c r="P6" s="114" t="s">
        <v>177</v>
      </c>
      <c r="Q6" s="114" t="s">
        <v>178</v>
      </c>
      <c r="R6" s="115" t="s">
        <v>181</v>
      </c>
      <c r="S6" s="115" t="s">
        <v>182</v>
      </c>
      <c r="T6" s="10"/>
      <c r="U6" s="7" t="s">
        <v>71</v>
      </c>
      <c r="V6" s="6" t="s">
        <v>70</v>
      </c>
      <c r="W6" s="6" t="s">
        <v>101</v>
      </c>
      <c r="X6" s="9" t="s">
        <v>161</v>
      </c>
      <c r="Y6" s="10"/>
      <c r="Z6" s="1" t="s">
        <v>151</v>
      </c>
      <c r="AA6" s="111" t="s">
        <v>161</v>
      </c>
      <c r="AB6" s="10"/>
      <c r="AC6" s="74"/>
      <c r="AD6" s="75" t="s">
        <v>163</v>
      </c>
      <c r="AE6" s="75" t="s">
        <v>166</v>
      </c>
      <c r="AF6" s="75" t="s">
        <v>164</v>
      </c>
      <c r="AG6" s="75" t="s">
        <v>165</v>
      </c>
      <c r="AH6" s="75" t="s">
        <v>168</v>
      </c>
      <c r="AI6" s="75" t="s">
        <v>167</v>
      </c>
      <c r="AJ6" s="74" t="s">
        <v>169</v>
      </c>
      <c r="AK6" s="74" t="s">
        <v>172</v>
      </c>
      <c r="AL6" s="74" t="s">
        <v>170</v>
      </c>
      <c r="AM6" s="74" t="s">
        <v>171</v>
      </c>
      <c r="AN6" s="74" t="s">
        <v>174</v>
      </c>
      <c r="AO6" s="74" t="s">
        <v>173</v>
      </c>
      <c r="AP6" s="74" t="s">
        <v>175</v>
      </c>
      <c r="AQ6" s="98" t="s">
        <v>180</v>
      </c>
      <c r="AR6" s="10"/>
    </row>
    <row r="7" spans="1:44" x14ac:dyDescent="0.2">
      <c r="A7" s="3" t="s">
        <v>6</v>
      </c>
      <c r="B7" s="3" t="s">
        <v>45</v>
      </c>
      <c r="C7" s="17">
        <v>1851</v>
      </c>
      <c r="D7" s="112">
        <f>C7/$C$16</f>
        <v>0.38538413491567769</v>
      </c>
      <c r="E7" s="73"/>
      <c r="F7" s="17">
        <v>1</v>
      </c>
      <c r="G7" s="17">
        <v>1</v>
      </c>
      <c r="H7" s="17">
        <v>7</v>
      </c>
      <c r="I7" s="94">
        <f t="shared" ref="I7:I15" si="0">F7*100</f>
        <v>100</v>
      </c>
      <c r="J7" s="94">
        <f t="shared" ref="J7:J15" si="1">G7*100</f>
        <v>100</v>
      </c>
      <c r="K7" s="94">
        <f t="shared" ref="K7:K15" si="2">H7*100/7</f>
        <v>100</v>
      </c>
      <c r="L7" s="94">
        <f t="shared" ref="L7:L15" si="3">SUM(J7:J7,K7)</f>
        <v>200</v>
      </c>
      <c r="M7" s="112">
        <f>L7/$L$16</f>
        <v>0.15053763440860213</v>
      </c>
      <c r="O7" s="3" t="str">
        <f t="shared" ref="O7:O15" si="4">B7</f>
        <v>PUC</v>
      </c>
      <c r="P7" s="69">
        <v>1551</v>
      </c>
      <c r="Q7" s="69">
        <v>887</v>
      </c>
      <c r="R7" s="116">
        <f>P7/$P$16</f>
        <v>0.27407669199505214</v>
      </c>
      <c r="S7" s="116">
        <f>Q7/$Q$16</f>
        <v>0.29244971974942302</v>
      </c>
      <c r="U7" s="8">
        <v>32</v>
      </c>
      <c r="V7" s="8">
        <v>1</v>
      </c>
      <c r="W7" s="8">
        <v>33</v>
      </c>
      <c r="X7" s="117">
        <f>W7/$W$16</f>
        <v>0.40243902439024393</v>
      </c>
      <c r="Z7" s="17">
        <v>26826</v>
      </c>
      <c r="AA7" s="112">
        <f t="shared" ref="AA7:AA15" si="5">Z7/$Z$16</f>
        <v>0.20080694058731502</v>
      </c>
      <c r="AC7" s="81" t="str">
        <f t="shared" ref="AC7:AC15" si="6">+B7</f>
        <v>PUC</v>
      </c>
      <c r="AD7" s="76">
        <f t="shared" ref="AD7:AD15" si="7">C7/$C$16</f>
        <v>0.38538413491567769</v>
      </c>
      <c r="AE7" s="76">
        <f t="shared" ref="AE7:AE15" si="8">L7/$L$16</f>
        <v>0.15053763440860213</v>
      </c>
      <c r="AF7" s="76">
        <f t="shared" ref="AF7:AF15" si="9">Q7/$Q$16</f>
        <v>0.29244971974942302</v>
      </c>
      <c r="AG7" s="76">
        <f t="shared" ref="AG7:AG15" si="10">W7/$W$16</f>
        <v>0.40243902439024393</v>
      </c>
      <c r="AH7" s="76">
        <f t="shared" ref="AH7:AH15" si="11">P7/$P$16</f>
        <v>0.27407669199505214</v>
      </c>
      <c r="AI7" s="76">
        <f t="shared" ref="AI7:AI15" si="12">Z7/$Z$16</f>
        <v>0.20080694058731502</v>
      </c>
      <c r="AJ7" s="28">
        <f>AD7*$AD$2/6</f>
        <v>624836.97907557769</v>
      </c>
      <c r="AK7" s="28">
        <f t="shared" ref="AK7:AK15" si="13">AE7*$AD$2/6</f>
        <v>244072.01075268813</v>
      </c>
      <c r="AL7" s="28">
        <f t="shared" ref="AL7:AL15" si="14">AF7*$AD$2/6</f>
        <v>474159.1125947907</v>
      </c>
      <c r="AM7" s="28">
        <f t="shared" ref="AM7:AM15" si="15">AG7*$AD$2/6</f>
        <v>652488.67682926834</v>
      </c>
      <c r="AN7" s="28">
        <f t="shared" ref="AN7:AN15" si="16">AH7*$AD$2/6</f>
        <v>444370.27045414387</v>
      </c>
      <c r="AO7" s="28">
        <f t="shared" ref="AO7:AO15" si="17">AI7*$AD$2/6</f>
        <v>325575.42142060469</v>
      </c>
      <c r="AP7" s="77">
        <f t="shared" ref="AP7:AP15" si="18">SUM(AJ7:AO7)</f>
        <v>2765502.4711270733</v>
      </c>
      <c r="AQ7" s="28">
        <f>ROUND(AP7,0)</f>
        <v>2765502</v>
      </c>
      <c r="AR7" s="2" t="str">
        <f t="shared" ref="AR7:AR15" si="19">AC7</f>
        <v>PUC</v>
      </c>
    </row>
    <row r="8" spans="1:44" x14ac:dyDescent="0.2">
      <c r="A8" s="3" t="s">
        <v>34</v>
      </c>
      <c r="B8" s="3" t="s">
        <v>37</v>
      </c>
      <c r="C8" s="17">
        <v>946</v>
      </c>
      <c r="D8" s="112">
        <f t="shared" ref="D8:D15" si="20">C8/$C$16</f>
        <v>0.19696023318759109</v>
      </c>
      <c r="E8" s="73"/>
      <c r="F8" s="17">
        <v>1</v>
      </c>
      <c r="G8" s="17">
        <v>1</v>
      </c>
      <c r="H8" s="17">
        <v>7</v>
      </c>
      <c r="I8" s="94">
        <f t="shared" si="0"/>
        <v>100</v>
      </c>
      <c r="J8" s="94">
        <f t="shared" si="1"/>
        <v>100</v>
      </c>
      <c r="K8" s="94">
        <f t="shared" si="2"/>
        <v>100</v>
      </c>
      <c r="L8" s="94">
        <f t="shared" si="3"/>
        <v>200</v>
      </c>
      <c r="M8" s="112">
        <f t="shared" ref="M8:M15" si="21">L8/$L$16</f>
        <v>0.15053763440860213</v>
      </c>
      <c r="O8" s="3" t="str">
        <f t="shared" si="4"/>
        <v>UCO</v>
      </c>
      <c r="P8" s="69">
        <v>1106</v>
      </c>
      <c r="Q8" s="69">
        <v>672</v>
      </c>
      <c r="R8" s="116">
        <f t="shared" ref="R8:R15" si="22">P8/$P$16</f>
        <v>0.19544089061671674</v>
      </c>
      <c r="S8" s="116">
        <f t="shared" ref="S8:S15" si="23">Q8/$Q$16</f>
        <v>0.22156280909990109</v>
      </c>
      <c r="U8" s="8">
        <v>23</v>
      </c>
      <c r="V8" s="8">
        <v>0</v>
      </c>
      <c r="W8" s="8">
        <v>23</v>
      </c>
      <c r="X8" s="117">
        <f t="shared" ref="X8:X15" si="24">W8/$W$16</f>
        <v>0.28048780487804881</v>
      </c>
      <c r="Z8" s="17">
        <v>24765</v>
      </c>
      <c r="AA8" s="112">
        <f t="shared" si="5"/>
        <v>0.18537925459050386</v>
      </c>
      <c r="AC8" s="81" t="str">
        <f t="shared" si="6"/>
        <v>UCO</v>
      </c>
      <c r="AD8" s="76">
        <f t="shared" si="7"/>
        <v>0.19696023318759109</v>
      </c>
      <c r="AE8" s="76">
        <f t="shared" si="8"/>
        <v>0.15053763440860213</v>
      </c>
      <c r="AF8" s="76">
        <f t="shared" si="9"/>
        <v>0.22156280909990109</v>
      </c>
      <c r="AG8" s="76">
        <f t="shared" si="10"/>
        <v>0.28048780487804881</v>
      </c>
      <c r="AH8" s="76">
        <f t="shared" si="11"/>
        <v>0.19544089061671674</v>
      </c>
      <c r="AI8" s="76">
        <f t="shared" si="12"/>
        <v>0.18537925459050386</v>
      </c>
      <c r="AJ8" s="28">
        <f t="shared" ref="AJ8:AJ15" si="25">AD8*$AD$2/6</f>
        <v>319338.61815531959</v>
      </c>
      <c r="AK8" s="28">
        <f t="shared" si="13"/>
        <v>244072.01075268813</v>
      </c>
      <c r="AL8" s="28">
        <f t="shared" si="14"/>
        <v>359227.64787339274</v>
      </c>
      <c r="AM8" s="28">
        <f t="shared" si="15"/>
        <v>454764.83536585374</v>
      </c>
      <c r="AN8" s="28">
        <f t="shared" si="16"/>
        <v>316875.25410849974</v>
      </c>
      <c r="AO8" s="28">
        <f t="shared" si="17"/>
        <v>300561.96643112187</v>
      </c>
      <c r="AP8" s="77">
        <f t="shared" si="18"/>
        <v>1994840.3326868757</v>
      </c>
      <c r="AQ8" s="28">
        <f t="shared" ref="AQ8:AQ15" si="26">ROUND(AP8,0)</f>
        <v>1994840</v>
      </c>
      <c r="AR8" s="2" t="str">
        <f t="shared" si="19"/>
        <v>UCO</v>
      </c>
    </row>
    <row r="9" spans="1:44" x14ac:dyDescent="0.2">
      <c r="A9" s="3" t="s">
        <v>17</v>
      </c>
      <c r="B9" s="3" t="s">
        <v>40</v>
      </c>
      <c r="C9" s="17">
        <v>460</v>
      </c>
      <c r="D9" s="112">
        <f t="shared" si="20"/>
        <v>9.577347491151364E-2</v>
      </c>
      <c r="E9" s="73"/>
      <c r="F9" s="17">
        <v>1</v>
      </c>
      <c r="G9" s="17">
        <v>1</v>
      </c>
      <c r="H9" s="17">
        <v>6</v>
      </c>
      <c r="I9" s="94">
        <f t="shared" si="0"/>
        <v>100</v>
      </c>
      <c r="J9" s="94">
        <f t="shared" si="1"/>
        <v>100</v>
      </c>
      <c r="K9" s="94">
        <f t="shared" si="2"/>
        <v>85.714285714285708</v>
      </c>
      <c r="L9" s="94">
        <f t="shared" si="3"/>
        <v>185.71428571428572</v>
      </c>
      <c r="M9" s="112">
        <f t="shared" si="21"/>
        <v>0.13978494623655913</v>
      </c>
      <c r="O9" s="3" t="str">
        <f t="shared" si="4"/>
        <v>AUS</v>
      </c>
      <c r="P9" s="69">
        <v>765</v>
      </c>
      <c r="Q9" s="69">
        <v>356</v>
      </c>
      <c r="R9" s="116">
        <f t="shared" si="22"/>
        <v>0.13518289450432938</v>
      </c>
      <c r="S9" s="116">
        <f t="shared" si="23"/>
        <v>0.11737553577316188</v>
      </c>
      <c r="U9" s="8">
        <v>9</v>
      </c>
      <c r="V9" s="8">
        <v>0</v>
      </c>
      <c r="W9" s="8">
        <v>9</v>
      </c>
      <c r="X9" s="117">
        <f t="shared" si="24"/>
        <v>0.10975609756097561</v>
      </c>
      <c r="Z9" s="17">
        <v>13655</v>
      </c>
      <c r="AA9" s="112">
        <f t="shared" si="5"/>
        <v>0.10221496957130345</v>
      </c>
      <c r="AC9" s="81" t="str">
        <f t="shared" si="6"/>
        <v>AUS</v>
      </c>
      <c r="AD9" s="76">
        <f t="shared" si="7"/>
        <v>9.577347491151364E-2</v>
      </c>
      <c r="AE9" s="76">
        <f t="shared" si="8"/>
        <v>0.13978494623655913</v>
      </c>
      <c r="AF9" s="76">
        <f t="shared" si="9"/>
        <v>0.11737553577316188</v>
      </c>
      <c r="AG9" s="76">
        <f t="shared" si="10"/>
        <v>0.10975609756097561</v>
      </c>
      <c r="AH9" s="76">
        <f t="shared" si="11"/>
        <v>0.13518289450432938</v>
      </c>
      <c r="AI9" s="76">
        <f t="shared" si="12"/>
        <v>0.10221496957130345</v>
      </c>
      <c r="AJ9" s="28">
        <f t="shared" si="25"/>
        <v>155280.93483239642</v>
      </c>
      <c r="AK9" s="28">
        <f t="shared" si="13"/>
        <v>226638.29569892472</v>
      </c>
      <c r="AL9" s="28">
        <f t="shared" si="14"/>
        <v>190305.12298054728</v>
      </c>
      <c r="AM9" s="28">
        <f t="shared" si="15"/>
        <v>177951.45731707316</v>
      </c>
      <c r="AN9" s="28">
        <f t="shared" si="16"/>
        <v>219176.82585262414</v>
      </c>
      <c r="AO9" s="28">
        <f t="shared" si="17"/>
        <v>165724.75879737406</v>
      </c>
      <c r="AP9" s="77">
        <f t="shared" si="18"/>
        <v>1135077.3954789396</v>
      </c>
      <c r="AQ9" s="28">
        <f t="shared" si="26"/>
        <v>1135077</v>
      </c>
      <c r="AR9" s="2" t="str">
        <f t="shared" si="19"/>
        <v>AUS</v>
      </c>
    </row>
    <row r="10" spans="1:44" x14ac:dyDescent="0.2">
      <c r="A10" s="3" t="s">
        <v>11</v>
      </c>
      <c r="B10" s="3" t="s">
        <v>41</v>
      </c>
      <c r="C10" s="17">
        <v>484</v>
      </c>
      <c r="D10" s="112">
        <f t="shared" si="20"/>
        <v>0.10077035186341869</v>
      </c>
      <c r="E10" s="73"/>
      <c r="F10" s="17">
        <v>1</v>
      </c>
      <c r="G10" s="17">
        <v>1</v>
      </c>
      <c r="H10" s="17">
        <v>6</v>
      </c>
      <c r="I10" s="94">
        <f t="shared" si="0"/>
        <v>100</v>
      </c>
      <c r="J10" s="94">
        <f t="shared" si="1"/>
        <v>100</v>
      </c>
      <c r="K10" s="94">
        <f t="shared" si="2"/>
        <v>85.714285714285708</v>
      </c>
      <c r="L10" s="94">
        <f t="shared" si="3"/>
        <v>185.71428571428572</v>
      </c>
      <c r="M10" s="112">
        <f t="shared" si="21"/>
        <v>0.13978494623655913</v>
      </c>
      <c r="O10" s="3" t="str">
        <f t="shared" si="4"/>
        <v>UCV</v>
      </c>
      <c r="P10" s="69">
        <v>494</v>
      </c>
      <c r="Q10" s="69">
        <v>347</v>
      </c>
      <c r="R10" s="116">
        <f t="shared" si="22"/>
        <v>8.7294575013253231E-2</v>
      </c>
      <c r="S10" s="116">
        <f t="shared" si="23"/>
        <v>0.11440817672271678</v>
      </c>
      <c r="U10" s="8">
        <v>5</v>
      </c>
      <c r="V10" s="8">
        <v>3</v>
      </c>
      <c r="W10" s="8">
        <v>8</v>
      </c>
      <c r="X10" s="117">
        <f t="shared" si="24"/>
        <v>9.7560975609756101E-2</v>
      </c>
      <c r="Z10" s="17">
        <v>14057</v>
      </c>
      <c r="AA10" s="112">
        <f t="shared" si="5"/>
        <v>0.10522415432177318</v>
      </c>
      <c r="AC10" s="81" t="str">
        <f t="shared" si="6"/>
        <v>UCV</v>
      </c>
      <c r="AD10" s="76">
        <f t="shared" si="7"/>
        <v>0.10077035186341869</v>
      </c>
      <c r="AE10" s="76">
        <f t="shared" si="8"/>
        <v>0.13978494623655913</v>
      </c>
      <c r="AF10" s="76">
        <f t="shared" si="9"/>
        <v>0.11440817672271678</v>
      </c>
      <c r="AG10" s="76">
        <f t="shared" si="10"/>
        <v>9.7560975609756101E-2</v>
      </c>
      <c r="AH10" s="76">
        <f t="shared" si="11"/>
        <v>8.7294575013253231E-2</v>
      </c>
      <c r="AI10" s="76">
        <f t="shared" si="12"/>
        <v>0.10522415432177318</v>
      </c>
      <c r="AJ10" s="28">
        <f t="shared" si="25"/>
        <v>163382.54882365189</v>
      </c>
      <c r="AK10" s="28">
        <f t="shared" si="13"/>
        <v>226638.29569892472</v>
      </c>
      <c r="AL10" s="28">
        <f t="shared" si="14"/>
        <v>185494.03841081436</v>
      </c>
      <c r="AM10" s="28">
        <f t="shared" si="15"/>
        <v>158179.07317073172</v>
      </c>
      <c r="AN10" s="28">
        <f t="shared" si="16"/>
        <v>141533.79342640043</v>
      </c>
      <c r="AO10" s="28">
        <f t="shared" si="17"/>
        <v>170603.65685936928</v>
      </c>
      <c r="AP10" s="77">
        <f t="shared" si="18"/>
        <v>1045831.4063898925</v>
      </c>
      <c r="AQ10" s="28">
        <f t="shared" si="26"/>
        <v>1045831</v>
      </c>
      <c r="AR10" s="2" t="str">
        <f t="shared" si="19"/>
        <v>UCV</v>
      </c>
    </row>
    <row r="11" spans="1:44" x14ac:dyDescent="0.2">
      <c r="A11" s="3" t="s">
        <v>30</v>
      </c>
      <c r="B11" s="3" t="s">
        <v>44</v>
      </c>
      <c r="C11" s="17">
        <v>312</v>
      </c>
      <c r="D11" s="112">
        <f t="shared" si="20"/>
        <v>6.4959400374765774E-2</v>
      </c>
      <c r="E11" s="73"/>
      <c r="F11" s="17">
        <v>1</v>
      </c>
      <c r="G11" s="17">
        <v>1</v>
      </c>
      <c r="H11" s="17">
        <v>6</v>
      </c>
      <c r="I11" s="94">
        <f t="shared" si="0"/>
        <v>100</v>
      </c>
      <c r="J11" s="94">
        <f t="shared" si="1"/>
        <v>100</v>
      </c>
      <c r="K11" s="94">
        <f t="shared" si="2"/>
        <v>85.714285714285708</v>
      </c>
      <c r="L11" s="94">
        <f t="shared" si="3"/>
        <v>185.71428571428572</v>
      </c>
      <c r="M11" s="112">
        <f t="shared" si="21"/>
        <v>0.13978494623655913</v>
      </c>
      <c r="O11" s="3" t="str">
        <f t="shared" si="4"/>
        <v>UCN</v>
      </c>
      <c r="P11" s="69">
        <v>417</v>
      </c>
      <c r="Q11" s="69">
        <v>194</v>
      </c>
      <c r="R11" s="116">
        <f t="shared" si="22"/>
        <v>7.3687930729810919E-2</v>
      </c>
      <c r="S11" s="116">
        <f t="shared" si="23"/>
        <v>6.3963072865150017E-2</v>
      </c>
      <c r="U11" s="8">
        <v>1</v>
      </c>
      <c r="V11" s="8">
        <v>3</v>
      </c>
      <c r="W11" s="8">
        <v>4</v>
      </c>
      <c r="X11" s="117">
        <f t="shared" si="24"/>
        <v>4.878048780487805E-2</v>
      </c>
      <c r="Z11" s="17">
        <v>10375</v>
      </c>
      <c r="AA11" s="112">
        <f t="shared" si="5"/>
        <v>7.7662417378416213E-2</v>
      </c>
      <c r="AC11" s="81" t="str">
        <f t="shared" si="6"/>
        <v>UCN</v>
      </c>
      <c r="AD11" s="76">
        <f t="shared" si="7"/>
        <v>6.4959400374765774E-2</v>
      </c>
      <c r="AE11" s="76">
        <f t="shared" si="8"/>
        <v>0.13978494623655913</v>
      </c>
      <c r="AF11" s="76">
        <f t="shared" si="9"/>
        <v>6.3963072865150017E-2</v>
      </c>
      <c r="AG11" s="76">
        <f t="shared" si="10"/>
        <v>4.878048780487805E-2</v>
      </c>
      <c r="AH11" s="76">
        <f t="shared" si="11"/>
        <v>7.3687930729810919E-2</v>
      </c>
      <c r="AI11" s="76">
        <f t="shared" si="12"/>
        <v>7.7662417378416213E-2</v>
      </c>
      <c r="AJ11" s="28">
        <f t="shared" si="25"/>
        <v>105320.98188632105</v>
      </c>
      <c r="AK11" s="28">
        <f t="shared" si="13"/>
        <v>226638.29569892472</v>
      </c>
      <c r="AL11" s="28">
        <f t="shared" si="14"/>
        <v>103705.60072535444</v>
      </c>
      <c r="AM11" s="28">
        <f t="shared" si="15"/>
        <v>79089.536585365859</v>
      </c>
      <c r="AN11" s="28">
        <f t="shared" si="16"/>
        <v>119472.85801378335</v>
      </c>
      <c r="AO11" s="28">
        <f t="shared" si="17"/>
        <v>125916.83431144315</v>
      </c>
      <c r="AP11" s="77">
        <f t="shared" si="18"/>
        <v>760144.10722119256</v>
      </c>
      <c r="AQ11" s="28">
        <f t="shared" si="26"/>
        <v>760144</v>
      </c>
      <c r="AR11" s="2" t="str">
        <f t="shared" si="19"/>
        <v>UCN</v>
      </c>
    </row>
    <row r="12" spans="1:44" x14ac:dyDescent="0.2">
      <c r="A12" s="3" t="s">
        <v>36</v>
      </c>
      <c r="B12" s="3" t="s">
        <v>43</v>
      </c>
      <c r="C12" s="17">
        <v>495</v>
      </c>
      <c r="D12" s="112">
        <f t="shared" si="20"/>
        <v>0.10306058713304185</v>
      </c>
      <c r="E12" s="73"/>
      <c r="F12" s="17">
        <v>1</v>
      </c>
      <c r="G12" s="17">
        <v>1</v>
      </c>
      <c r="H12" s="17">
        <v>6</v>
      </c>
      <c r="I12" s="94">
        <f t="shared" si="0"/>
        <v>100</v>
      </c>
      <c r="J12" s="94">
        <f t="shared" si="1"/>
        <v>100</v>
      </c>
      <c r="K12" s="94">
        <f t="shared" si="2"/>
        <v>85.714285714285708</v>
      </c>
      <c r="L12" s="94">
        <f t="shared" si="3"/>
        <v>185.71428571428572</v>
      </c>
      <c r="M12" s="112">
        <f t="shared" si="21"/>
        <v>0.13978494623655913</v>
      </c>
      <c r="O12" s="3" t="str">
        <f t="shared" si="4"/>
        <v>FSM</v>
      </c>
      <c r="P12" s="69">
        <v>446</v>
      </c>
      <c r="Q12" s="69">
        <v>210</v>
      </c>
      <c r="R12" s="116">
        <f t="shared" si="22"/>
        <v>7.8812511044354119E-2</v>
      </c>
      <c r="S12" s="116">
        <f t="shared" si="23"/>
        <v>6.9238377843719084E-2</v>
      </c>
      <c r="U12" s="8">
        <v>2</v>
      </c>
      <c r="V12" s="8">
        <v>2</v>
      </c>
      <c r="W12" s="8">
        <v>4</v>
      </c>
      <c r="X12" s="117">
        <f t="shared" si="24"/>
        <v>4.878048780487805E-2</v>
      </c>
      <c r="Z12" s="17">
        <v>15079</v>
      </c>
      <c r="AA12" s="112">
        <f t="shared" si="5"/>
        <v>0.11287437027943499</v>
      </c>
      <c r="AC12" s="81" t="str">
        <f t="shared" si="6"/>
        <v>FSM</v>
      </c>
      <c r="AD12" s="76">
        <f t="shared" si="7"/>
        <v>0.10306058713304185</v>
      </c>
      <c r="AE12" s="76">
        <f t="shared" si="8"/>
        <v>0.13978494623655913</v>
      </c>
      <c r="AF12" s="76">
        <f t="shared" si="9"/>
        <v>6.9238377843719084E-2</v>
      </c>
      <c r="AG12" s="76">
        <f t="shared" si="10"/>
        <v>4.878048780487805E-2</v>
      </c>
      <c r="AH12" s="76">
        <f t="shared" si="11"/>
        <v>7.8812511044354119E-2</v>
      </c>
      <c r="AI12" s="76">
        <f t="shared" si="12"/>
        <v>0.11287437027943499</v>
      </c>
      <c r="AJ12" s="28">
        <f t="shared" si="25"/>
        <v>167095.78856964398</v>
      </c>
      <c r="AK12" s="28">
        <f t="shared" si="13"/>
        <v>226638.29569892472</v>
      </c>
      <c r="AL12" s="28">
        <f t="shared" si="14"/>
        <v>112258.6399604352</v>
      </c>
      <c r="AM12" s="28">
        <f t="shared" si="15"/>
        <v>79089.536585365859</v>
      </c>
      <c r="AN12" s="28">
        <f t="shared" si="16"/>
        <v>127781.52200035342</v>
      </c>
      <c r="AO12" s="28">
        <f t="shared" si="17"/>
        <v>183007.22357419287</v>
      </c>
      <c r="AP12" s="77">
        <f t="shared" si="18"/>
        <v>895871.00638891605</v>
      </c>
      <c r="AQ12" s="28">
        <f t="shared" si="26"/>
        <v>895871</v>
      </c>
      <c r="AR12" s="2" t="str">
        <f t="shared" si="19"/>
        <v>FSM</v>
      </c>
    </row>
    <row r="13" spans="1:44" x14ac:dyDescent="0.2">
      <c r="A13" s="100" t="s">
        <v>24</v>
      </c>
      <c r="B13" s="100" t="s">
        <v>38</v>
      </c>
      <c r="C13" s="94">
        <v>109</v>
      </c>
      <c r="D13" s="112">
        <f t="shared" si="20"/>
        <v>2.2694149489902143E-2</v>
      </c>
      <c r="E13" s="73"/>
      <c r="F13" s="17">
        <v>1</v>
      </c>
      <c r="G13" s="17">
        <v>0</v>
      </c>
      <c r="H13" s="17">
        <v>4</v>
      </c>
      <c r="I13" s="94">
        <f t="shared" si="0"/>
        <v>100</v>
      </c>
      <c r="J13" s="94">
        <f t="shared" si="1"/>
        <v>0</v>
      </c>
      <c r="K13" s="94">
        <f t="shared" si="2"/>
        <v>57.142857142857146</v>
      </c>
      <c r="L13" s="94">
        <f t="shared" si="3"/>
        <v>57.142857142857146</v>
      </c>
      <c r="M13" s="112">
        <f t="shared" si="21"/>
        <v>4.301075268817204E-2</v>
      </c>
      <c r="O13" s="3" t="str">
        <f t="shared" si="4"/>
        <v>UCT</v>
      </c>
      <c r="P13" s="69">
        <v>311</v>
      </c>
      <c r="Q13" s="69">
        <v>133</v>
      </c>
      <c r="R13" s="116">
        <f t="shared" si="22"/>
        <v>5.4956706131825413E-2</v>
      </c>
      <c r="S13" s="116">
        <f t="shared" si="23"/>
        <v>4.3850972634355424E-2</v>
      </c>
      <c r="U13" s="101">
        <v>1</v>
      </c>
      <c r="V13" s="101">
        <v>0</v>
      </c>
      <c r="W13" s="101">
        <v>1</v>
      </c>
      <c r="X13" s="117">
        <f t="shared" si="24"/>
        <v>1.2195121951219513E-2</v>
      </c>
      <c r="Z13" s="17">
        <v>9404</v>
      </c>
      <c r="AA13" s="112">
        <f t="shared" si="5"/>
        <v>7.0393963665216969E-2</v>
      </c>
      <c r="AC13" s="81" t="str">
        <f t="shared" si="6"/>
        <v>UCT</v>
      </c>
      <c r="AD13" s="76">
        <f t="shared" si="7"/>
        <v>2.2694149489902143E-2</v>
      </c>
      <c r="AE13" s="76">
        <f t="shared" si="8"/>
        <v>4.301075268817204E-2</v>
      </c>
      <c r="AF13" s="76">
        <f t="shared" si="9"/>
        <v>4.3850972634355424E-2</v>
      </c>
      <c r="AG13" s="76">
        <f t="shared" si="10"/>
        <v>1.2195121951219513E-2</v>
      </c>
      <c r="AH13" s="76">
        <f t="shared" si="11"/>
        <v>5.4956706131825413E-2</v>
      </c>
      <c r="AI13" s="76">
        <f t="shared" si="12"/>
        <v>7.0393963665216969E-2</v>
      </c>
      <c r="AJ13" s="28">
        <f t="shared" si="25"/>
        <v>36794.830210285239</v>
      </c>
      <c r="AK13" s="28">
        <f t="shared" si="13"/>
        <v>69734.860215053763</v>
      </c>
      <c r="AL13" s="28">
        <f t="shared" si="14"/>
        <v>71097.138641608966</v>
      </c>
      <c r="AM13" s="28">
        <f t="shared" si="15"/>
        <v>19772.384146341465</v>
      </c>
      <c r="AN13" s="28">
        <f t="shared" si="16"/>
        <v>89103.258614596212</v>
      </c>
      <c r="AO13" s="28">
        <f t="shared" si="17"/>
        <v>114132.23227612639</v>
      </c>
      <c r="AP13" s="77">
        <f t="shared" si="18"/>
        <v>400634.70410401205</v>
      </c>
      <c r="AQ13" s="28">
        <f t="shared" si="26"/>
        <v>400635</v>
      </c>
      <c r="AR13" s="2" t="str">
        <f t="shared" si="19"/>
        <v>UCT</v>
      </c>
    </row>
    <row r="14" spans="1:44" x14ac:dyDescent="0.2">
      <c r="A14" s="3" t="s">
        <v>21</v>
      </c>
      <c r="B14" s="3" t="s">
        <v>39</v>
      </c>
      <c r="C14" s="17">
        <v>80</v>
      </c>
      <c r="D14" s="112">
        <f t="shared" si="20"/>
        <v>1.6656256506350199E-2</v>
      </c>
      <c r="E14" s="73"/>
      <c r="F14" s="17">
        <v>0</v>
      </c>
      <c r="G14" s="17">
        <v>0</v>
      </c>
      <c r="H14" s="17">
        <v>4</v>
      </c>
      <c r="I14" s="94">
        <f t="shared" si="0"/>
        <v>0</v>
      </c>
      <c r="J14" s="94">
        <f t="shared" si="1"/>
        <v>0</v>
      </c>
      <c r="K14" s="94">
        <f t="shared" si="2"/>
        <v>57.142857142857146</v>
      </c>
      <c r="L14" s="94">
        <f t="shared" si="3"/>
        <v>57.142857142857146</v>
      </c>
      <c r="M14" s="112">
        <f t="shared" si="21"/>
        <v>4.301075268817204E-2</v>
      </c>
      <c r="O14" s="3" t="str">
        <f t="shared" si="4"/>
        <v>USC</v>
      </c>
      <c r="P14" s="69">
        <v>283</v>
      </c>
      <c r="Q14" s="69">
        <v>116</v>
      </c>
      <c r="R14" s="116">
        <f t="shared" si="22"/>
        <v>5.0008835483300935E-2</v>
      </c>
      <c r="S14" s="116">
        <f t="shared" si="23"/>
        <v>3.8245961094625781E-2</v>
      </c>
      <c r="U14" s="8"/>
      <c r="V14" s="8"/>
      <c r="W14" s="8">
        <v>0</v>
      </c>
      <c r="X14" s="117">
        <f t="shared" si="24"/>
        <v>0</v>
      </c>
      <c r="Z14" s="17">
        <v>12448</v>
      </c>
      <c r="AA14" s="112">
        <f t="shared" si="5"/>
        <v>9.3179929785689161E-2</v>
      </c>
      <c r="AC14" s="81" t="str">
        <f t="shared" si="6"/>
        <v>USC</v>
      </c>
      <c r="AD14" s="76">
        <f t="shared" si="7"/>
        <v>1.6656256506350199E-2</v>
      </c>
      <c r="AE14" s="76">
        <f t="shared" si="8"/>
        <v>4.301075268817204E-2</v>
      </c>
      <c r="AF14" s="76">
        <f t="shared" si="9"/>
        <v>3.8245961094625781E-2</v>
      </c>
      <c r="AG14" s="76">
        <f t="shared" si="10"/>
        <v>0</v>
      </c>
      <c r="AH14" s="76">
        <f t="shared" si="11"/>
        <v>5.0008835483300935E-2</v>
      </c>
      <c r="AI14" s="76">
        <f t="shared" si="12"/>
        <v>9.3179929785689161E-2</v>
      </c>
      <c r="AJ14" s="28">
        <f t="shared" si="25"/>
        <v>27005.379970851554</v>
      </c>
      <c r="AK14" s="28">
        <f t="shared" si="13"/>
        <v>69734.860215053763</v>
      </c>
      <c r="AL14" s="28">
        <f t="shared" si="14"/>
        <v>62009.53445433564</v>
      </c>
      <c r="AM14" s="28">
        <f t="shared" si="15"/>
        <v>0</v>
      </c>
      <c r="AN14" s="28">
        <f t="shared" si="16"/>
        <v>81081.100282735468</v>
      </c>
      <c r="AO14" s="28">
        <f t="shared" si="17"/>
        <v>151075.92804904524</v>
      </c>
      <c r="AP14" s="77">
        <f t="shared" si="18"/>
        <v>390906.80297202163</v>
      </c>
      <c r="AQ14" s="28">
        <f t="shared" si="26"/>
        <v>390907</v>
      </c>
      <c r="AR14" s="2" t="str">
        <f t="shared" si="19"/>
        <v>USC</v>
      </c>
    </row>
    <row r="15" spans="1:44" x14ac:dyDescent="0.2">
      <c r="A15" s="3" t="s">
        <v>27</v>
      </c>
      <c r="B15" s="3" t="s">
        <v>42</v>
      </c>
      <c r="C15" s="17">
        <v>66</v>
      </c>
      <c r="D15" s="112">
        <f t="shared" si="20"/>
        <v>1.3741411617738912E-2</v>
      </c>
      <c r="E15" s="73"/>
      <c r="F15" s="17">
        <v>0</v>
      </c>
      <c r="G15" s="17">
        <v>0</v>
      </c>
      <c r="H15" s="17">
        <v>5</v>
      </c>
      <c r="I15" s="94">
        <f t="shared" si="0"/>
        <v>0</v>
      </c>
      <c r="J15" s="94">
        <f t="shared" si="1"/>
        <v>0</v>
      </c>
      <c r="K15" s="94">
        <f t="shared" si="2"/>
        <v>71.428571428571431</v>
      </c>
      <c r="L15" s="94">
        <f t="shared" si="3"/>
        <v>71.428571428571431</v>
      </c>
      <c r="M15" s="112">
        <f t="shared" si="21"/>
        <v>5.3763440860215055E-2</v>
      </c>
      <c r="O15" s="3" t="str">
        <f t="shared" si="4"/>
        <v>UCM</v>
      </c>
      <c r="P15" s="69">
        <v>286</v>
      </c>
      <c r="Q15" s="69">
        <v>118</v>
      </c>
      <c r="R15" s="116">
        <f t="shared" si="22"/>
        <v>5.0538964481357133E-2</v>
      </c>
      <c r="S15" s="116">
        <f t="shared" si="23"/>
        <v>3.8905374216946918E-2</v>
      </c>
      <c r="U15" s="8"/>
      <c r="V15" s="8"/>
      <c r="W15" s="8">
        <v>0</v>
      </c>
      <c r="X15" s="117">
        <f t="shared" si="24"/>
        <v>0</v>
      </c>
      <c r="Z15" s="17">
        <v>6982</v>
      </c>
      <c r="AA15" s="112">
        <f t="shared" si="5"/>
        <v>5.2263999820347178E-2</v>
      </c>
      <c r="AC15" s="81" t="str">
        <f t="shared" si="6"/>
        <v>UCM</v>
      </c>
      <c r="AD15" s="76">
        <f t="shared" si="7"/>
        <v>1.3741411617738912E-2</v>
      </c>
      <c r="AE15" s="76">
        <f t="shared" si="8"/>
        <v>5.3763440860215055E-2</v>
      </c>
      <c r="AF15" s="76">
        <f t="shared" si="9"/>
        <v>3.8905374216946918E-2</v>
      </c>
      <c r="AG15" s="76">
        <f t="shared" si="10"/>
        <v>0</v>
      </c>
      <c r="AH15" s="76">
        <f t="shared" si="11"/>
        <v>5.0538964481357133E-2</v>
      </c>
      <c r="AI15" s="76">
        <f t="shared" si="12"/>
        <v>5.2263999820347178E-2</v>
      </c>
      <c r="AJ15" s="28">
        <f t="shared" si="25"/>
        <v>22279.438475952527</v>
      </c>
      <c r="AK15" s="28">
        <f t="shared" si="13"/>
        <v>87168.575268817207</v>
      </c>
      <c r="AL15" s="28">
        <f t="shared" si="14"/>
        <v>63078.664358720736</v>
      </c>
      <c r="AM15" s="28">
        <f t="shared" si="15"/>
        <v>0</v>
      </c>
      <c r="AN15" s="28">
        <f t="shared" si="16"/>
        <v>81940.617246863418</v>
      </c>
      <c r="AO15" s="28">
        <f t="shared" si="17"/>
        <v>84737.478280722498</v>
      </c>
      <c r="AP15" s="77">
        <f t="shared" si="18"/>
        <v>339204.77363107639</v>
      </c>
      <c r="AQ15" s="28">
        <f t="shared" si="26"/>
        <v>339205</v>
      </c>
      <c r="AR15" s="2" t="str">
        <f t="shared" si="19"/>
        <v>UCM</v>
      </c>
    </row>
    <row r="16" spans="1:44" x14ac:dyDescent="0.2">
      <c r="C16" s="69">
        <f>SUM(C7:C15)</f>
        <v>4803</v>
      </c>
      <c r="D16" s="69"/>
      <c r="E16" s="73"/>
      <c r="F16" s="67"/>
      <c r="G16" s="67"/>
      <c r="H16" s="67"/>
      <c r="I16" s="95">
        <f>SUM(I7:I15)</f>
        <v>700</v>
      </c>
      <c r="J16" s="95">
        <f>SUM(J7:J15)</f>
        <v>600</v>
      </c>
      <c r="K16" s="95">
        <f t="shared" ref="K16:L16" si="27">SUM(K7:K15)</f>
        <v>728.57142857142856</v>
      </c>
      <c r="L16" s="95">
        <f t="shared" si="27"/>
        <v>1328.5714285714287</v>
      </c>
      <c r="M16" s="96"/>
      <c r="P16" s="13">
        <f>SUM(P7:P15)</f>
        <v>5659</v>
      </c>
      <c r="Q16" s="13">
        <f>SUM(Q7:Q15)</f>
        <v>3033</v>
      </c>
      <c r="R16" s="2">
        <f>SUM(R7:R15)</f>
        <v>1.0000000000000002</v>
      </c>
      <c r="S16" s="2">
        <f>SUM(S7:S15)</f>
        <v>1</v>
      </c>
      <c r="W16" s="3">
        <f>SUM(W7:W15)</f>
        <v>82</v>
      </c>
      <c r="Z16" s="69">
        <f>SUM(Z7:Z15)</f>
        <v>133591</v>
      </c>
      <c r="AA16" s="67"/>
      <c r="AD16" s="78">
        <f>SUM(AD7:AD15)</f>
        <v>0.99999999999999989</v>
      </c>
      <c r="AE16" s="78">
        <f>SUM(AE7:AE15)</f>
        <v>0.99999999999999978</v>
      </c>
      <c r="AF16" s="78">
        <f t="shared" ref="AF16:AG16" si="28">SUM(AF7:AF15)</f>
        <v>1</v>
      </c>
      <c r="AG16" s="78">
        <f t="shared" si="28"/>
        <v>1</v>
      </c>
      <c r="AH16" s="78">
        <f t="shared" ref="AH16" si="29">SUM(AH7:AH15)</f>
        <v>1.0000000000000002</v>
      </c>
      <c r="AI16" s="78">
        <f t="shared" ref="AI16" si="30">SUM(AI7:AI15)</f>
        <v>1</v>
      </c>
      <c r="AJ16" s="118">
        <f>SUM(AJ7:AJ15)</f>
        <v>1621335.4999999998</v>
      </c>
      <c r="AK16" s="118">
        <f>SUM(AK7:AK15)</f>
        <v>1621335.4999999995</v>
      </c>
      <c r="AL16" s="118">
        <f t="shared" ref="AL16:AM16" si="31">SUM(AL7:AL15)</f>
        <v>1621335.5</v>
      </c>
      <c r="AM16" s="118">
        <f t="shared" si="31"/>
        <v>1621335.5</v>
      </c>
      <c r="AN16" s="118">
        <f>SUM(AN7:AN15)</f>
        <v>1621335.5</v>
      </c>
      <c r="AO16" s="118">
        <f>SUM(AO7:AO15)</f>
        <v>1621335.4999999998</v>
      </c>
      <c r="AP16" s="118">
        <f>SUM(AP7:AP15)</f>
        <v>9728013.0000000019</v>
      </c>
      <c r="AQ16" s="118">
        <f>SUM(AQ7:AQ15)</f>
        <v>9728012</v>
      </c>
    </row>
    <row r="17" spans="3:5" x14ac:dyDescent="0.2">
      <c r="C17" s="22"/>
      <c r="D17" s="22"/>
      <c r="E17" s="73"/>
    </row>
    <row r="18" spans="3:5" x14ac:dyDescent="0.2">
      <c r="E18" s="73"/>
    </row>
    <row r="19" spans="3:5" x14ac:dyDescent="0.2">
      <c r="E19" s="73"/>
    </row>
  </sheetData>
  <mergeCells count="6">
    <mergeCell ref="AH5:AI5"/>
    <mergeCell ref="AD5:AG5"/>
    <mergeCell ref="C5:D5"/>
    <mergeCell ref="P5:Q5"/>
    <mergeCell ref="U5:X5"/>
    <mergeCell ref="F5:H5"/>
  </mergeCells>
  <pageMargins left="0.31496062992125984" right="0.11811023622047245" top="0.35433070866141736" bottom="0.15748031496062992" header="0.31496062992125984" footer="0.31496062992125984"/>
  <pageSetup paperSize="14" scale="75" orientation="landscape" verticalDpi="0" r:id="rId1"/>
  <colBreaks count="1" manualBreakCount="1">
    <brk id="2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/>
  <dimension ref="A1:BG15"/>
  <sheetViews>
    <sheetView showGridLines="0" workbookViewId="0"/>
  </sheetViews>
  <sheetFormatPr baseColWidth="10" defaultColWidth="11.5" defaultRowHeight="11" x14ac:dyDescent="0.15"/>
  <cols>
    <col min="1" max="1" width="45.6640625" style="132" bestFit="1" customWidth="1"/>
    <col min="2" max="2" width="33.6640625" style="132" bestFit="1" customWidth="1"/>
    <col min="3" max="3" width="4" style="132" customWidth="1"/>
    <col min="4" max="5" width="9.6640625" style="132" bestFit="1" customWidth="1"/>
    <col min="6" max="6" width="3.5" style="132" customWidth="1"/>
    <col min="7" max="7" width="8.6640625" style="132" customWidth="1"/>
    <col min="8" max="9" width="6.5" style="133" customWidth="1"/>
    <col min="10" max="12" width="10" style="132" customWidth="1"/>
    <col min="13" max="14" width="9.6640625" style="132" customWidth="1"/>
    <col min="15" max="18" width="7.5" style="132" customWidth="1"/>
    <col min="19" max="22" width="9" style="132" customWidth="1"/>
    <col min="23" max="24" width="11.33203125" style="132" customWidth="1"/>
    <col min="25" max="25" width="12.83203125" style="132" customWidth="1"/>
    <col min="26" max="26" width="11.33203125" style="132" customWidth="1"/>
    <col min="27" max="27" width="9.5" style="132" customWidth="1"/>
    <col min="28" max="29" width="8.6640625" style="132" customWidth="1"/>
    <col min="30" max="31" width="7.1640625" style="132" customWidth="1"/>
    <col min="32" max="32" width="16" style="161" customWidth="1"/>
    <col min="33" max="33" width="15" style="162" bestFit="1" customWidth="1"/>
    <col min="34" max="34" width="16.5" style="161" customWidth="1"/>
    <col min="35" max="35" width="13.5" style="161" bestFit="1" customWidth="1"/>
    <col min="36" max="36" width="11.1640625" style="161" bestFit="1" customWidth="1"/>
    <col min="37" max="37" width="13.5" style="161" bestFit="1" customWidth="1"/>
    <col min="38" max="38" width="11.1640625" style="161" bestFit="1" customWidth="1"/>
    <col min="39" max="39" width="13.5" style="161" bestFit="1" customWidth="1"/>
    <col min="40" max="40" width="11.1640625" style="161" bestFit="1" customWidth="1"/>
    <col min="41" max="41" width="13.5" style="161" bestFit="1" customWidth="1"/>
    <col min="42" max="54" width="13.5" style="161" customWidth="1"/>
    <col min="55" max="55" width="6.6640625" style="163" customWidth="1"/>
    <col min="56" max="57" width="11.5" style="132"/>
    <col min="58" max="58" width="13.5" style="132" customWidth="1"/>
    <col min="59" max="59" width="13.6640625" style="132" customWidth="1"/>
    <col min="60" max="16384" width="11.5" style="132"/>
  </cols>
  <sheetData>
    <row r="1" spans="1:59" s="134" customFormat="1" ht="12" x14ac:dyDescent="0.15">
      <c r="H1" s="134" t="s">
        <v>64</v>
      </c>
      <c r="I1" s="134" t="s">
        <v>64</v>
      </c>
      <c r="J1" s="134" t="s">
        <v>96</v>
      </c>
      <c r="K1" s="134" t="s">
        <v>58</v>
      </c>
      <c r="L1" s="134" t="s">
        <v>58</v>
      </c>
      <c r="M1" s="134" t="s">
        <v>52</v>
      </c>
      <c r="N1" s="134" t="s">
        <v>52</v>
      </c>
      <c r="O1" s="134" t="s">
        <v>153</v>
      </c>
      <c r="P1" s="134" t="s">
        <v>95</v>
      </c>
      <c r="Q1" s="134" t="s">
        <v>54</v>
      </c>
      <c r="R1" s="134" t="s">
        <v>54</v>
      </c>
      <c r="S1" s="134" t="s">
        <v>63</v>
      </c>
      <c r="T1" s="134" t="s">
        <v>63</v>
      </c>
      <c r="U1" s="134" t="s">
        <v>63</v>
      </c>
      <c r="V1" s="134" t="s">
        <v>63</v>
      </c>
      <c r="W1" s="134" t="s">
        <v>59</v>
      </c>
      <c r="X1" s="134" t="s">
        <v>59</v>
      </c>
      <c r="Y1" s="134" t="s">
        <v>60</v>
      </c>
      <c r="Z1" s="134" t="s">
        <v>60</v>
      </c>
      <c r="AA1" s="134" t="s">
        <v>61</v>
      </c>
      <c r="AB1" s="134" t="s">
        <v>61</v>
      </c>
      <c r="AF1" s="135"/>
      <c r="AG1" s="135" t="s">
        <v>57</v>
      </c>
      <c r="AH1" s="135"/>
      <c r="AI1" s="135" t="s">
        <v>57</v>
      </c>
      <c r="AJ1" s="135"/>
      <c r="AK1" s="135" t="s">
        <v>57</v>
      </c>
      <c r="AL1" s="135"/>
      <c r="AM1" s="135" t="s">
        <v>57</v>
      </c>
      <c r="AN1" s="135"/>
      <c r="AO1" s="135" t="s">
        <v>57</v>
      </c>
      <c r="AP1" s="135"/>
      <c r="AQ1" s="135" t="s">
        <v>57</v>
      </c>
      <c r="AR1" s="135"/>
      <c r="AS1" s="135" t="s">
        <v>57</v>
      </c>
      <c r="AT1" s="135"/>
      <c r="AU1" s="135" t="s">
        <v>57</v>
      </c>
      <c r="AV1" s="135"/>
      <c r="AW1" s="135" t="s">
        <v>57</v>
      </c>
      <c r="AX1" s="135"/>
      <c r="AY1" s="135"/>
      <c r="AZ1" s="135" t="s">
        <v>57</v>
      </c>
      <c r="BA1" s="135"/>
      <c r="BB1" s="135" t="s">
        <v>57</v>
      </c>
      <c r="BC1" s="135"/>
      <c r="BD1" s="135"/>
      <c r="BE1" s="135" t="s">
        <v>65</v>
      </c>
      <c r="BF1" s="181">
        <f>SUM(BF2:BF4)</f>
        <v>16400866</v>
      </c>
      <c r="BG1" s="134" t="s">
        <v>149</v>
      </c>
    </row>
    <row r="2" spans="1:59" s="141" customFormat="1" ht="32.25" customHeight="1" x14ac:dyDescent="0.2">
      <c r="A2" s="210" t="s">
        <v>48</v>
      </c>
      <c r="B2" s="211"/>
      <c r="C2" s="211"/>
      <c r="D2" s="211"/>
      <c r="E2" s="211"/>
      <c r="F2" s="211"/>
      <c r="G2" s="212"/>
      <c r="H2" s="213" t="s">
        <v>199</v>
      </c>
      <c r="I2" s="214"/>
      <c r="J2" s="210" t="s">
        <v>200</v>
      </c>
      <c r="K2" s="211"/>
      <c r="L2" s="212"/>
      <c r="M2" s="210" t="s">
        <v>201</v>
      </c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2"/>
      <c r="AD2" s="139"/>
      <c r="AE2" s="139"/>
      <c r="AF2" s="139" t="s">
        <v>81</v>
      </c>
      <c r="AG2" s="137">
        <f>MAX(AF7:AF8)</f>
        <v>4.8937156479703336</v>
      </c>
      <c r="AH2" s="139"/>
      <c r="AI2" s="137">
        <f>MAX(AH7:AH8)</f>
        <v>0.49035037801804732</v>
      </c>
      <c r="AJ2" s="139"/>
      <c r="AK2" s="137">
        <f>MAX(AJ7:AJ8)</f>
        <v>0.86507025032477813</v>
      </c>
      <c r="AL2" s="139"/>
      <c r="AM2" s="137">
        <f>MAX(AL7:AL8)</f>
        <v>0.88911693103787115</v>
      </c>
      <c r="AN2" s="139"/>
      <c r="AO2" s="137">
        <f>MAX(AN7:AN8)</f>
        <v>1.9631682977389973</v>
      </c>
      <c r="AP2" s="139"/>
      <c r="AQ2" s="137">
        <f>MAX(AP7:AP8)</f>
        <v>7.799840691852526</v>
      </c>
      <c r="AR2" s="139"/>
      <c r="AS2" s="137">
        <f>MAX(AR7:AR8)</f>
        <v>0.67432321575061527</v>
      </c>
      <c r="AT2" s="139"/>
      <c r="AU2" s="137">
        <f>MAX(AT7:AT8)</f>
        <v>0.89136704479907714</v>
      </c>
      <c r="AV2" s="139"/>
      <c r="AW2" s="137">
        <f>MAX(AV7:AV8)</f>
        <v>0.74095895977245019</v>
      </c>
      <c r="AX2" s="137"/>
      <c r="AY2" s="139"/>
      <c r="AZ2" s="137">
        <f>MAX(AY7:AY8)</f>
        <v>0.22857142857142856</v>
      </c>
      <c r="BA2" s="139"/>
      <c r="BB2" s="137">
        <f>MAX(BA7:BA8)</f>
        <v>8.6461938188447771</v>
      </c>
      <c r="BC2" s="138"/>
      <c r="BD2" s="139"/>
      <c r="BE2" s="137">
        <f>SUM(BD7:BD8)</f>
        <v>1.8065366547237871</v>
      </c>
      <c r="BF2" s="140">
        <f>'BD_Calculo 2017'!$H$21*Desempeño!BG2</f>
        <v>5466955.333333333</v>
      </c>
      <c r="BG2" s="136">
        <f>6/18</f>
        <v>0.33333333333333331</v>
      </c>
    </row>
    <row r="3" spans="1:59" s="141" customFormat="1" ht="20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 t="s">
        <v>82</v>
      </c>
      <c r="AG3" s="137">
        <f>MAX(AF9:AF13)</f>
        <v>5.2627779382038691</v>
      </c>
      <c r="AH3" s="139"/>
      <c r="AI3" s="137">
        <f>MAX(AH9:AH13)</f>
        <v>0.53079091332180117</v>
      </c>
      <c r="AJ3" s="139"/>
      <c r="AK3" s="137">
        <f>MAX(AJ9:AJ13)</f>
        <v>0.77152466170827472</v>
      </c>
      <c r="AL3" s="139"/>
      <c r="AM3" s="137">
        <f>MAX(AL9:AL13)</f>
        <v>0.77888276455461181</v>
      </c>
      <c r="AN3" s="139"/>
      <c r="AO3" s="137">
        <f>MAX(AN9:AN13)</f>
        <v>2.1443212898220536</v>
      </c>
      <c r="AP3" s="139"/>
      <c r="AQ3" s="137">
        <f>MAX(AP9:AP13)</f>
        <v>10.026655202063628</v>
      </c>
      <c r="AR3" s="139"/>
      <c r="AS3" s="137">
        <f>MAX(AR9:AR13)</f>
        <v>0.7954309449636553</v>
      </c>
      <c r="AT3" s="139"/>
      <c r="AU3" s="137">
        <f>MAX(AT9:AT13)</f>
        <v>0.84678845020624627</v>
      </c>
      <c r="AV3" s="139"/>
      <c r="AW3" s="137">
        <f>MAX(AV9:AV13)</f>
        <v>0.64928366762177647</v>
      </c>
      <c r="AX3" s="137"/>
      <c r="AY3" s="139"/>
      <c r="AZ3" s="137">
        <f>MAX(AY9:AY13)</f>
        <v>0.3</v>
      </c>
      <c r="BA3" s="139"/>
      <c r="BB3" s="137">
        <f>MAX(BA9:BA13)</f>
        <v>3.0909458118562387</v>
      </c>
      <c r="BC3" s="138"/>
      <c r="BD3" s="139"/>
      <c r="BE3" s="137">
        <f>SUM(BD9:BD13)</f>
        <v>3.5612483580803458</v>
      </c>
      <c r="BF3" s="140">
        <f>'BD_Calculo 2017'!$H$21*Desempeño!BG3</f>
        <v>9111592.222222222</v>
      </c>
      <c r="BG3" s="136">
        <f>10/18</f>
        <v>0.55555555555555558</v>
      </c>
    </row>
    <row r="4" spans="1:59" s="141" customFormat="1" ht="20" x14ac:dyDescent="0.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 t="s">
        <v>83</v>
      </c>
      <c r="AG4" s="137">
        <f>MAX(AF14:AF15)</f>
        <v>3.8163638924095196</v>
      </c>
      <c r="AH4" s="139"/>
      <c r="AI4" s="137">
        <f>MAX(AH14:AH15)</f>
        <v>0.28857005642934314</v>
      </c>
      <c r="AJ4" s="139"/>
      <c r="AK4" s="137">
        <f>MAX(AJ14:AJ15)</f>
        <v>0.76960019209989194</v>
      </c>
      <c r="AL4" s="139"/>
      <c r="AM4" s="137">
        <f>MAX(AL14:AL15)</f>
        <v>0.17928997096724916</v>
      </c>
      <c r="AN4" s="139"/>
      <c r="AO4" s="137">
        <f>MAX(AN14:AN15)</f>
        <v>0.67979915025106208</v>
      </c>
      <c r="AP4" s="139"/>
      <c r="AQ4" s="137">
        <f>MAX(AP14:AP15)</f>
        <v>2.7771084337349397</v>
      </c>
      <c r="AR4" s="139"/>
      <c r="AS4" s="137">
        <f>MAX(AR14:AR15)</f>
        <v>0.77976523197316938</v>
      </c>
      <c r="AT4" s="139"/>
      <c r="AU4" s="137">
        <f>MAX(AT14:AT15)</f>
        <v>0.85092250922509227</v>
      </c>
      <c r="AV4" s="139"/>
      <c r="AW4" s="137">
        <f>MAX(AV14:AV15)</f>
        <v>0.77064220183486243</v>
      </c>
      <c r="AX4" s="137"/>
      <c r="AY4" s="139"/>
      <c r="AZ4" s="142"/>
      <c r="BA4" s="139"/>
      <c r="BB4" s="137">
        <f>MAX(BA14:BA15)</f>
        <v>0</v>
      </c>
      <c r="BC4" s="138"/>
      <c r="BD4" s="139"/>
      <c r="BE4" s="137">
        <f>SUM(BD14:BD15)</f>
        <v>1.6894476103706635</v>
      </c>
      <c r="BF4" s="140">
        <f>'BD_Calculo 2017'!$H$21*Desempeño!BG4</f>
        <v>1822318.4444444443</v>
      </c>
      <c r="BG4" s="136">
        <f>2/18</f>
        <v>0.1111111111111111</v>
      </c>
    </row>
    <row r="5" spans="1:59" s="141" customFormat="1" ht="16" x14ac:dyDescent="0.2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43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</row>
    <row r="6" spans="1:59" s="148" customFormat="1" ht="58.5" customHeight="1" x14ac:dyDescent="0.2">
      <c r="A6" s="164" t="s">
        <v>0</v>
      </c>
      <c r="B6" s="165" t="s">
        <v>1</v>
      </c>
      <c r="C6" s="165" t="s">
        <v>51</v>
      </c>
      <c r="D6" s="165" t="s">
        <v>49</v>
      </c>
      <c r="E6" s="165" t="s">
        <v>2</v>
      </c>
      <c r="F6" s="165" t="s">
        <v>3</v>
      </c>
      <c r="G6" s="165" t="s">
        <v>4</v>
      </c>
      <c r="H6" s="145" t="s">
        <v>50</v>
      </c>
      <c r="I6" s="145" t="s">
        <v>97</v>
      </c>
      <c r="J6" s="145" t="s">
        <v>109</v>
      </c>
      <c r="K6" s="145" t="s">
        <v>110</v>
      </c>
      <c r="L6" s="145" t="s">
        <v>111</v>
      </c>
      <c r="M6" s="166" t="s">
        <v>112</v>
      </c>
      <c r="N6" s="166" t="s">
        <v>113</v>
      </c>
      <c r="O6" s="167" t="s">
        <v>114</v>
      </c>
      <c r="P6" s="166" t="s">
        <v>115</v>
      </c>
      <c r="Q6" s="166" t="s">
        <v>116</v>
      </c>
      <c r="R6" s="166" t="s">
        <v>117</v>
      </c>
      <c r="S6" s="168" t="s">
        <v>46</v>
      </c>
      <c r="T6" s="168" t="s">
        <v>47</v>
      </c>
      <c r="U6" s="168" t="s">
        <v>118</v>
      </c>
      <c r="V6" s="168" t="s">
        <v>119</v>
      </c>
      <c r="W6" s="169" t="s">
        <v>120</v>
      </c>
      <c r="X6" s="170" t="s">
        <v>121</v>
      </c>
      <c r="Y6" s="169" t="s">
        <v>123</v>
      </c>
      <c r="Z6" s="169" t="s">
        <v>122</v>
      </c>
      <c r="AA6" s="169" t="s">
        <v>125</v>
      </c>
      <c r="AB6" s="169" t="s">
        <v>124</v>
      </c>
      <c r="AC6" s="165" t="s">
        <v>49</v>
      </c>
      <c r="AD6" s="145" t="s">
        <v>154</v>
      </c>
      <c r="AE6" s="145" t="s">
        <v>126</v>
      </c>
      <c r="AF6" s="144" t="s">
        <v>52</v>
      </c>
      <c r="AG6" s="145" t="s">
        <v>84</v>
      </c>
      <c r="AH6" s="144" t="s">
        <v>53</v>
      </c>
      <c r="AI6" s="145" t="s">
        <v>85</v>
      </c>
      <c r="AJ6" s="144" t="s">
        <v>54</v>
      </c>
      <c r="AK6" s="145" t="s">
        <v>86</v>
      </c>
      <c r="AL6" s="144" t="s">
        <v>55</v>
      </c>
      <c r="AM6" s="145" t="s">
        <v>87</v>
      </c>
      <c r="AN6" s="144" t="s">
        <v>56</v>
      </c>
      <c r="AO6" s="145" t="s">
        <v>88</v>
      </c>
      <c r="AP6" s="144" t="s">
        <v>58</v>
      </c>
      <c r="AQ6" s="145" t="s">
        <v>89</v>
      </c>
      <c r="AR6" s="144" t="s">
        <v>59</v>
      </c>
      <c r="AS6" s="145" t="s">
        <v>90</v>
      </c>
      <c r="AT6" s="144" t="s">
        <v>60</v>
      </c>
      <c r="AU6" s="145" t="s">
        <v>91</v>
      </c>
      <c r="AV6" s="144" t="s">
        <v>61</v>
      </c>
      <c r="AW6" s="145" t="s">
        <v>92</v>
      </c>
      <c r="AX6" s="144" t="s">
        <v>63</v>
      </c>
      <c r="AY6" s="144" t="s">
        <v>63</v>
      </c>
      <c r="AZ6" s="145" t="s">
        <v>62</v>
      </c>
      <c r="BA6" s="144" t="s">
        <v>64</v>
      </c>
      <c r="BB6" s="145" t="s">
        <v>93</v>
      </c>
      <c r="BC6" s="145"/>
      <c r="BD6" s="145" t="s">
        <v>66</v>
      </c>
      <c r="BE6" s="145" t="s">
        <v>94</v>
      </c>
      <c r="BF6" s="146" t="s">
        <v>136</v>
      </c>
      <c r="BG6" s="147" t="s">
        <v>137</v>
      </c>
    </row>
    <row r="7" spans="1:59" ht="11.25" customHeight="1" x14ac:dyDescent="0.15">
      <c r="A7" s="171" t="s">
        <v>5</v>
      </c>
      <c r="B7" s="171" t="s">
        <v>6</v>
      </c>
      <c r="C7" s="171">
        <v>86</v>
      </c>
      <c r="D7" s="171" t="s">
        <v>45</v>
      </c>
      <c r="E7" s="171" t="s">
        <v>7</v>
      </c>
      <c r="F7" s="171" t="s">
        <v>8</v>
      </c>
      <c r="G7" s="171" t="s">
        <v>9</v>
      </c>
      <c r="H7" s="149">
        <v>5</v>
      </c>
      <c r="I7" s="149">
        <v>13</v>
      </c>
      <c r="J7" s="149">
        <f>VLOOKUP($D7,[1]Presentación!$B$44:$D$68,2,0)</f>
        <v>1851</v>
      </c>
      <c r="K7" s="150">
        <f>VLOOKUP($D7,[1]Presentación!$B$13:$D$37,2,0)</f>
        <v>8788</v>
      </c>
      <c r="L7" s="150">
        <f>VLOOKUP($D7,[1]Presentación!$B$13:$D$37,3,0)</f>
        <v>68545</v>
      </c>
      <c r="M7" s="149">
        <f>VLOOKUP($B7,'[2]Indicador a)'!$C$2:$H$61,4,0)</f>
        <v>1478</v>
      </c>
      <c r="N7" s="149">
        <f>VLOOKUP($B7,'[2]Indicador a)'!$C$2:$H$61,5,0)</f>
        <v>30202</v>
      </c>
      <c r="O7" s="151">
        <f>VLOOKUP($B7,'[2]Indicador c)'!$C$3:$J$62,7,0)</f>
        <v>2081.8409090909081</v>
      </c>
      <c r="P7" s="151">
        <f>VLOOKUP($B7,'[2]Indicador c)'!$C$3:$J$62,4,0)</f>
        <v>942.86363636363592</v>
      </c>
      <c r="Q7" s="151">
        <f>VLOOKUP($B7,'[2]Indicador c)'!$C$3:$J$62,5,0)</f>
        <v>471.91590909090894</v>
      </c>
      <c r="R7" s="151">
        <f>VLOOKUP($B7,'[2]Indicador c)'!$C$3:$J$62,6,0)</f>
        <v>386.15909090909076</v>
      </c>
      <c r="S7" s="149">
        <v>140</v>
      </c>
      <c r="T7" s="149">
        <v>152</v>
      </c>
      <c r="U7" s="149">
        <f>VLOOKUP($B7,'[3]Indicador j)'!$E$7:$O$30,4,0)</f>
        <v>184</v>
      </c>
      <c r="V7" s="149">
        <f>VLOOKUP($B7,'[3]Indicador j)'!$E$7:$O$30,11,0)</f>
        <v>39</v>
      </c>
      <c r="W7" s="172">
        <f>VLOOKUP($B7,'[2]Ind g) 2016 con QUINTIL PERFIL'!$E$8:$S$68,11,0)</f>
        <v>5279</v>
      </c>
      <c r="X7" s="172">
        <f>VLOOKUP($B7,'[2]Ind g) 2016 con QUINTIL PERFIL'!$E$8:$S$68,15,0)</f>
        <v>1253</v>
      </c>
      <c r="Y7" s="172">
        <f>VLOOKUP($B7,'[2]Indicador h)'!$D$10:$R$70,11,0)</f>
        <v>5201</v>
      </c>
      <c r="Z7" s="172">
        <f>VLOOKUP($B7,'[2]Indicador h)'!$D$10:$R$70,15,0)</f>
        <v>4636</v>
      </c>
      <c r="AA7" s="173">
        <f>VLOOKUP($B7,'[2]Indicador i. 1)'!$C$10:$Q$71,11,0)</f>
        <v>4922</v>
      </c>
      <c r="AB7" s="173">
        <f>VLOOKUP($B7,'[2]Indicador i. 1)'!$C$10:$Q$71,15,0)</f>
        <v>3647</v>
      </c>
      <c r="AC7" s="173" t="str">
        <f t="shared" ref="AC7:AC15" si="0">+D7</f>
        <v>PUC</v>
      </c>
      <c r="AD7" s="174" t="s">
        <v>14</v>
      </c>
      <c r="AE7" s="174" t="str">
        <f>VLOOKUP(AC7,'Categoria 2017'!$B$8:$J$16,9,0)</f>
        <v>I</v>
      </c>
      <c r="AF7" s="152">
        <f t="shared" ref="AF7:AF15" si="1">M7/(N7/100)</f>
        <v>4.8937156479703336</v>
      </c>
      <c r="AG7" s="153">
        <f>AF7/AG$2</f>
        <v>1</v>
      </c>
      <c r="AH7" s="152">
        <f t="shared" ref="AH7:AH15" si="2">P7/O7</f>
        <v>0.45289898581893212</v>
      </c>
      <c r="AI7" s="153">
        <f>AH7/AI$2</f>
        <v>0.92362320112714014</v>
      </c>
      <c r="AJ7" s="152">
        <f t="shared" ref="AJ7:AJ15" si="3">(P7+Q7+R7)/O7</f>
        <v>0.86507025032477813</v>
      </c>
      <c r="AK7" s="153">
        <f>AJ7/AK$2</f>
        <v>1</v>
      </c>
      <c r="AL7" s="152">
        <f t="shared" ref="AL7:AL15" si="4">J7/O7</f>
        <v>0.88911693103787115</v>
      </c>
      <c r="AM7" s="153">
        <f>AL7/AM$2</f>
        <v>1</v>
      </c>
      <c r="AN7" s="152">
        <f t="shared" ref="AN7:AN15" si="5">J7/P7</f>
        <v>1.9631682977389973</v>
      </c>
      <c r="AO7" s="153">
        <f>AN7/AO$2</f>
        <v>1</v>
      </c>
      <c r="AP7" s="152">
        <f t="shared" ref="AP7:AP15" si="6">L7/K7</f>
        <v>7.799840691852526</v>
      </c>
      <c r="AQ7" s="153">
        <f>AP7/AQ$2</f>
        <v>1</v>
      </c>
      <c r="AR7" s="152">
        <f t="shared" ref="AR7:AR15" si="7">X7/W7</f>
        <v>0.23735555976510703</v>
      </c>
      <c r="AS7" s="153">
        <f>AR7/AS$2</f>
        <v>0.35199078753487284</v>
      </c>
      <c r="AT7" s="152">
        <f t="shared" ref="AT7:AT15" si="8">Z7/Y7</f>
        <v>0.89136704479907714</v>
      </c>
      <c r="AU7" s="153">
        <f>AT7/AU$2</f>
        <v>1</v>
      </c>
      <c r="AV7" s="152">
        <f t="shared" ref="AV7:AV15" si="9">AB7/AA7</f>
        <v>0.74095895977245019</v>
      </c>
      <c r="AW7" s="153">
        <f>AV7/AW$2</f>
        <v>1</v>
      </c>
      <c r="AX7" s="154">
        <f t="shared" ref="AX7:AX15" si="10">V7/U7</f>
        <v>0.21195652173913043</v>
      </c>
      <c r="AY7" s="152">
        <f t="shared" ref="AY7:AY12" si="11">V7/U7</f>
        <v>0.21195652173913043</v>
      </c>
      <c r="AZ7" s="153">
        <f>AY7/AZ$2</f>
        <v>0.92730978260869568</v>
      </c>
      <c r="BA7" s="152">
        <f t="shared" ref="BA7:BA15" si="12">(H7+I7)*1000/O7</f>
        <v>8.6461938188447771</v>
      </c>
      <c r="BB7" s="153">
        <f>BA7/BB$2</f>
        <v>1</v>
      </c>
      <c r="BC7" s="155" t="str">
        <f t="shared" ref="BC7:BC15" si="13">+D7</f>
        <v>PUC</v>
      </c>
      <c r="BD7" s="156">
        <f>AVERAGE(AG7,AI7,AK7,AM7,AO7,AQ7,AS7,AU7,AW7,AZ7,BB7)</f>
        <v>0.92753852466097342</v>
      </c>
      <c r="BE7" s="153">
        <f>BD7/BE$2</f>
        <v>0.51343465533102661</v>
      </c>
      <c r="BF7" s="157">
        <f>BE7*$BF$2</f>
        <v>2806924.3272801177</v>
      </c>
      <c r="BG7" s="158">
        <f t="shared" ref="BG7" si="14">ROUND(BF7,0)</f>
        <v>2806924</v>
      </c>
    </row>
    <row r="8" spans="1:59" ht="11.25" customHeight="1" x14ac:dyDescent="0.15">
      <c r="A8" s="171" t="s">
        <v>33</v>
      </c>
      <c r="B8" s="171" t="s">
        <v>34</v>
      </c>
      <c r="C8" s="171">
        <v>87</v>
      </c>
      <c r="D8" s="171" t="s">
        <v>37</v>
      </c>
      <c r="E8" s="171" t="s">
        <v>7</v>
      </c>
      <c r="F8" s="171" t="s">
        <v>22</v>
      </c>
      <c r="G8" s="171" t="s">
        <v>19</v>
      </c>
      <c r="H8" s="149">
        <f>2+1</f>
        <v>3</v>
      </c>
      <c r="I8" s="149">
        <v>8</v>
      </c>
      <c r="J8" s="149">
        <f>VLOOKUP($D8,[1]Presentación!$B$44:$D$68,2,0)</f>
        <v>946</v>
      </c>
      <c r="K8" s="150">
        <f>VLOOKUP($D8,[1]Presentación!$B$13:$D$37,2,0)</f>
        <v>4558</v>
      </c>
      <c r="L8" s="150">
        <f>VLOOKUP($D8,[1]Presentación!$B$13:$D$37,3,0)</f>
        <v>24135</v>
      </c>
      <c r="M8" s="149">
        <f>VLOOKUP($B8,'[2]Indicador a)'!$C$2:$H$61,4,0)</f>
        <v>1088</v>
      </c>
      <c r="N8" s="149">
        <f>VLOOKUP($B8,'[2]Indicador a)'!$C$2:$H$61,5,0)</f>
        <v>26408</v>
      </c>
      <c r="O8" s="151">
        <f>VLOOKUP($B8,'[2]Indicador c)'!$C$3:$J$62,7,0)</f>
        <v>1397.8409090909086</v>
      </c>
      <c r="P8" s="151">
        <f>VLOOKUP($B8,'[2]Indicador c)'!$C$3:$J$62,4,0)</f>
        <v>685.4318181818179</v>
      </c>
      <c r="Q8" s="151">
        <f>VLOOKUP($B8,'[2]Indicador c)'!$C$3:$J$62,5,0)</f>
        <v>389.20454545454527</v>
      </c>
      <c r="R8" s="151">
        <f>VLOOKUP($B8,'[2]Indicador c)'!$C$3:$J$62,6,0)</f>
        <v>115.11363636363636</v>
      </c>
      <c r="S8" s="149">
        <v>97</v>
      </c>
      <c r="T8" s="149">
        <v>97</v>
      </c>
      <c r="U8" s="149">
        <f>VLOOKUP($B8,'[3]Indicador j)'!$E$7:$O$30,4,0)</f>
        <v>105</v>
      </c>
      <c r="V8" s="149">
        <f>VLOOKUP($B8,'[3]Indicador j)'!$E$7:$O$30,11,0)</f>
        <v>24</v>
      </c>
      <c r="W8" s="172">
        <f>VLOOKUP($B8,'[2]Ind g) 2016 con QUINTIL PERFIL'!$E$8:$S$68,11,0)</f>
        <v>4876</v>
      </c>
      <c r="X8" s="172">
        <f>VLOOKUP($B8,'[2]Ind g) 2016 con QUINTIL PERFIL'!$E$8:$S$68,15,0)</f>
        <v>3288</v>
      </c>
      <c r="Y8" s="172">
        <f>VLOOKUP($B8,'[2]Indicador h)'!$D$10:$R$70,11,0)</f>
        <v>4703</v>
      </c>
      <c r="Z8" s="172">
        <f>VLOOKUP($B8,'[2]Indicador h)'!$D$10:$R$70,15,0)</f>
        <v>3772</v>
      </c>
      <c r="AA8" s="173">
        <f>VLOOKUP($B8,'[2]Indicador i. 1)'!$C$10:$Q$71,11,0)</f>
        <v>4727</v>
      </c>
      <c r="AB8" s="173">
        <f>VLOOKUP($B8,'[2]Indicador i. 1)'!$C$10:$Q$71,15,0)</f>
        <v>3118</v>
      </c>
      <c r="AC8" s="173" t="str">
        <f t="shared" si="0"/>
        <v>UCO</v>
      </c>
      <c r="AD8" s="174" t="s">
        <v>14</v>
      </c>
      <c r="AE8" s="174" t="str">
        <f>VLOOKUP(AC8,'Categoria 2017'!$B$8:$J$16,9,0)</f>
        <v>I</v>
      </c>
      <c r="AF8" s="152">
        <f t="shared" si="1"/>
        <v>4.1199636473795822</v>
      </c>
      <c r="AG8" s="153">
        <f>AF8/AG$2</f>
        <v>0.84188864734883717</v>
      </c>
      <c r="AH8" s="152">
        <f t="shared" si="2"/>
        <v>0.49035037801804732</v>
      </c>
      <c r="AI8" s="153">
        <f>AH8/AI$2</f>
        <v>1</v>
      </c>
      <c r="AJ8" s="152">
        <f t="shared" si="3"/>
        <v>0.85113405414193954</v>
      </c>
      <c r="AK8" s="153">
        <f>AJ8/AK$2</f>
        <v>0.98389009889357948</v>
      </c>
      <c r="AL8" s="152">
        <f t="shared" si="4"/>
        <v>0.67675798715551605</v>
      </c>
      <c r="AM8" s="153">
        <f>AL8/AM$2</f>
        <v>0.76115746256854278</v>
      </c>
      <c r="AN8" s="152">
        <f t="shared" si="5"/>
        <v>1.3801518617991317</v>
      </c>
      <c r="AO8" s="153">
        <f>AN8/AO$2</f>
        <v>0.70302269213936874</v>
      </c>
      <c r="AP8" s="152">
        <f t="shared" si="6"/>
        <v>5.2950855638437915</v>
      </c>
      <c r="AQ8" s="153">
        <f>AP8/AQ$2</f>
        <v>0.67887098891325759</v>
      </c>
      <c r="AR8" s="152">
        <f t="shared" si="7"/>
        <v>0.67432321575061527</v>
      </c>
      <c r="AS8" s="153">
        <f>AR8/AS$2</f>
        <v>1</v>
      </c>
      <c r="AT8" s="152">
        <f t="shared" si="8"/>
        <v>0.80204125026578776</v>
      </c>
      <c r="AU8" s="153">
        <f>AT8/AU$2</f>
        <v>0.89978786510620401</v>
      </c>
      <c r="AV8" s="152">
        <f t="shared" si="9"/>
        <v>0.65961497778718003</v>
      </c>
      <c r="AW8" s="153">
        <f>AV8/AW$2</f>
        <v>0.89021796563435707</v>
      </c>
      <c r="AX8" s="154">
        <f t="shared" si="10"/>
        <v>0.22857142857142856</v>
      </c>
      <c r="AY8" s="152">
        <f t="shared" si="11"/>
        <v>0.22857142857142856</v>
      </c>
      <c r="AZ8" s="153">
        <f>AY8/AZ$2</f>
        <v>1</v>
      </c>
      <c r="BA8" s="152">
        <f t="shared" si="12"/>
        <v>7.8692789204129774</v>
      </c>
      <c r="BB8" s="153">
        <f>BA8/BB$2</f>
        <v>0.91014371008680395</v>
      </c>
      <c r="BC8" s="155" t="str">
        <f t="shared" si="13"/>
        <v>UCO</v>
      </c>
      <c r="BD8" s="156">
        <f t="shared" ref="BD8:BD15" si="15">AVERAGE(AG8,AI8,AK8,AM8,AO8,AQ8,AS8,AU8,AW8,AZ8,BB8)</f>
        <v>0.87899813006281358</v>
      </c>
      <c r="BE8" s="153">
        <f>BD8/BE$2</f>
        <v>0.48656534466897333</v>
      </c>
      <c r="BF8" s="157">
        <f>BE8*$BF$2</f>
        <v>2660031.0060532154</v>
      </c>
      <c r="BG8" s="158">
        <f t="shared" ref="BG8" si="16">ROUND(BF8,0)</f>
        <v>2660031</v>
      </c>
    </row>
    <row r="9" spans="1:59" ht="11.25" customHeight="1" x14ac:dyDescent="0.15">
      <c r="A9" s="171" t="s">
        <v>10</v>
      </c>
      <c r="B9" s="171" t="s">
        <v>11</v>
      </c>
      <c r="C9" s="171">
        <v>89</v>
      </c>
      <c r="D9" s="171" t="s">
        <v>41</v>
      </c>
      <c r="E9" s="171" t="s">
        <v>7</v>
      </c>
      <c r="F9" s="171" t="s">
        <v>12</v>
      </c>
      <c r="G9" s="171" t="s">
        <v>13</v>
      </c>
      <c r="H9" s="149">
        <v>1</v>
      </c>
      <c r="I9" s="149">
        <v>1</v>
      </c>
      <c r="J9" s="149">
        <f>VLOOKUP($D9,[1]Presentación!$B$44:$D$68,2,0)</f>
        <v>484</v>
      </c>
      <c r="K9" s="150">
        <f>VLOOKUP($D9,[1]Presentación!$B$13:$D$37,2,0)</f>
        <v>1890</v>
      </c>
      <c r="L9" s="150">
        <f>VLOOKUP($D9,[1]Presentación!$B$13:$D$37,3,0)</f>
        <v>6917</v>
      </c>
      <c r="M9" s="149">
        <f>VLOOKUP($B9,'[2]Indicador a)'!$C$2:$H$61,4,0)</f>
        <v>488</v>
      </c>
      <c r="N9" s="149">
        <f>VLOOKUP($B9,'[2]Indicador a)'!$C$2:$H$61,5,0)</f>
        <v>14972</v>
      </c>
      <c r="O9" s="151">
        <f>VLOOKUP($B9,'[2]Indicador c)'!$C$3:$J$62,7,0)</f>
        <v>647.05113636363581</v>
      </c>
      <c r="P9" s="151">
        <f>VLOOKUP($B9,'[2]Indicador c)'!$C$3:$J$62,4,0)</f>
        <v>343.44886363636357</v>
      </c>
      <c r="Q9" s="151">
        <f>VLOOKUP($B9,'[2]Indicador c)'!$C$3:$J$62,5,0)</f>
        <v>154.81249999999986</v>
      </c>
      <c r="R9" s="151">
        <f>VLOOKUP($B9,'[2]Indicador c)'!$C$3:$J$62,6,0)</f>
        <v>0.95454545454545459</v>
      </c>
      <c r="S9" s="149">
        <v>43</v>
      </c>
      <c r="T9" s="149">
        <v>41</v>
      </c>
      <c r="U9" s="149">
        <f>VLOOKUP($B9,'[3]Indicador j)'!$E$7:$O$30,4,0)</f>
        <v>56</v>
      </c>
      <c r="V9" s="149">
        <f>VLOOKUP($B9,'[3]Indicador j)'!$E$7:$O$30,11,0)</f>
        <v>9</v>
      </c>
      <c r="W9" s="172">
        <f>VLOOKUP($B9,'[2]Ind g) 2016 con QUINTIL PERFIL'!$E$8:$S$68,11,0)</f>
        <v>3287</v>
      </c>
      <c r="X9" s="172">
        <f>VLOOKUP($B9,'[2]Ind g) 2016 con QUINTIL PERFIL'!$E$8:$S$68,15,0)</f>
        <v>1875</v>
      </c>
      <c r="Y9" s="172">
        <f>VLOOKUP($B9,'[2]Indicador h)'!$D$10:$R$70,11,0)</f>
        <v>3198</v>
      </c>
      <c r="Z9" s="172">
        <f>VLOOKUP($B9,'[2]Indicador h)'!$D$10:$R$70,15,0)</f>
        <v>2558</v>
      </c>
      <c r="AA9" s="173">
        <f>VLOOKUP($B9,'[2]Indicador i. 1)'!$C$10:$Q$71,11,0)</f>
        <v>2995</v>
      </c>
      <c r="AB9" s="173">
        <f>VLOOKUP($B9,'[2]Indicador i. 1)'!$C$10:$Q$71,15,0)</f>
        <v>1737</v>
      </c>
      <c r="AC9" s="173" t="str">
        <f t="shared" si="0"/>
        <v>UCV</v>
      </c>
      <c r="AD9" s="174" t="s">
        <v>31</v>
      </c>
      <c r="AE9" s="174" t="str">
        <f>VLOOKUP(AC9,'Categoria 2017'!$B$8:$J$16,9,0)</f>
        <v>II</v>
      </c>
      <c r="AF9" s="159">
        <f t="shared" si="1"/>
        <v>3.2594175794816991</v>
      </c>
      <c r="AG9" s="153">
        <f>AF9/AG$3</f>
        <v>0.61933405090508231</v>
      </c>
      <c r="AH9" s="159">
        <f t="shared" si="2"/>
        <v>0.53079091332180117</v>
      </c>
      <c r="AI9" s="153">
        <f>AH9/AI$3</f>
        <v>1</v>
      </c>
      <c r="AJ9" s="159">
        <f t="shared" si="3"/>
        <v>0.77152466170827472</v>
      </c>
      <c r="AK9" s="153">
        <f>AJ9/AK$3</f>
        <v>1</v>
      </c>
      <c r="AL9" s="159">
        <f t="shared" si="4"/>
        <v>0.74800888646920971</v>
      </c>
      <c r="AM9" s="153">
        <f>AL9/AM$3</f>
        <v>0.96036132844323918</v>
      </c>
      <c r="AN9" s="159">
        <f t="shared" si="5"/>
        <v>1.4092345360398368</v>
      </c>
      <c r="AO9" s="153">
        <f>AN9/AO$3</f>
        <v>0.65719374364686833</v>
      </c>
      <c r="AP9" s="159">
        <f t="shared" si="6"/>
        <v>3.6597883597883598</v>
      </c>
      <c r="AQ9" s="153">
        <f>AP9/AQ$3</f>
        <v>0.3650059053626501</v>
      </c>
      <c r="AR9" s="159">
        <f t="shared" si="7"/>
        <v>0.57042896257986009</v>
      </c>
      <c r="AS9" s="153">
        <f>AR9/AS$3</f>
        <v>0.71713197253838801</v>
      </c>
      <c r="AT9" s="159">
        <f t="shared" si="8"/>
        <v>0.79987492182614128</v>
      </c>
      <c r="AU9" s="153">
        <f>AT9/AU$3</f>
        <v>0.94459828972787885</v>
      </c>
      <c r="AV9" s="159">
        <f t="shared" si="9"/>
        <v>0.57996661101836389</v>
      </c>
      <c r="AW9" s="153">
        <f>AV9/AW$3</f>
        <v>0.8932407204122198</v>
      </c>
      <c r="AX9" s="154">
        <f t="shared" si="10"/>
        <v>0.16071428571428573</v>
      </c>
      <c r="AY9" s="159">
        <f t="shared" si="11"/>
        <v>0.16071428571428573</v>
      </c>
      <c r="AZ9" s="153">
        <f>AY9/AZ$3</f>
        <v>0.53571428571428581</v>
      </c>
      <c r="BA9" s="159">
        <f t="shared" si="12"/>
        <v>3.0909458118562387</v>
      </c>
      <c r="BB9" s="153">
        <f>BA9/BB$3</f>
        <v>1</v>
      </c>
      <c r="BC9" s="155" t="str">
        <f t="shared" si="13"/>
        <v>UCV</v>
      </c>
      <c r="BD9" s="156">
        <f t="shared" si="15"/>
        <v>0.79023457243187389</v>
      </c>
      <c r="BE9" s="153">
        <f>BD9/BE$3</f>
        <v>0.22189819214345435</v>
      </c>
      <c r="BF9" s="157">
        <f>BE9*$BF$3</f>
        <v>2021845.8416594709</v>
      </c>
      <c r="BG9" s="158">
        <f t="shared" ref="BG9" si="17">ROUND(BF9,0)</f>
        <v>2021846</v>
      </c>
    </row>
    <row r="10" spans="1:59" ht="11.25" customHeight="1" x14ac:dyDescent="0.15">
      <c r="A10" s="171" t="s">
        <v>16</v>
      </c>
      <c r="B10" s="171" t="s">
        <v>17</v>
      </c>
      <c r="C10" s="171">
        <v>90</v>
      </c>
      <c r="D10" s="171" t="s">
        <v>40</v>
      </c>
      <c r="E10" s="171" t="s">
        <v>7</v>
      </c>
      <c r="F10" s="171" t="s">
        <v>18</v>
      </c>
      <c r="G10" s="171" t="s">
        <v>19</v>
      </c>
      <c r="H10" s="149">
        <v>1</v>
      </c>
      <c r="I10" s="149">
        <v>0</v>
      </c>
      <c r="J10" s="149">
        <f>VLOOKUP($D10,[1]Presentación!$B$44:$D$68,2,0)</f>
        <v>460</v>
      </c>
      <c r="K10" s="150">
        <f>VLOOKUP($D10,[1]Presentación!$B$13:$D$37,2,0)</f>
        <v>2124</v>
      </c>
      <c r="L10" s="150">
        <f>VLOOKUP($D10,[1]Presentación!$B$13:$D$37,3,0)</f>
        <v>10927</v>
      </c>
      <c r="M10" s="149">
        <f>VLOOKUP($B10,'[2]Indicador a)'!$C$2:$H$61,4,0)</f>
        <v>729</v>
      </c>
      <c r="N10" s="149">
        <f>VLOOKUP($B10,'[2]Indicador a)'!$C$2:$H$61,5,0)</f>
        <v>13852</v>
      </c>
      <c r="O10" s="151">
        <f>VLOOKUP($B10,'[2]Indicador c)'!$C$3:$J$62,7,0)</f>
        <v>934.90909090909156</v>
      </c>
      <c r="P10" s="151">
        <f>VLOOKUP($B10,'[2]Indicador c)'!$C$3:$J$62,4,0)</f>
        <v>354.13636363636368</v>
      </c>
      <c r="Q10" s="151">
        <f>VLOOKUP($B10,'[2]Indicador c)'!$C$3:$J$62,5,0)</f>
        <v>218.40909090909111</v>
      </c>
      <c r="R10" s="151">
        <f>VLOOKUP($B10,'[2]Indicador c)'!$C$3:$J$62,6,0)</f>
        <v>64.409090909090935</v>
      </c>
      <c r="S10" s="149">
        <v>4</v>
      </c>
      <c r="T10" s="149">
        <v>36</v>
      </c>
      <c r="U10" s="149">
        <f>VLOOKUP($B10,'[3]Indicador j)'!$E$7:$O$30,4,0)</f>
        <v>54</v>
      </c>
      <c r="V10" s="149">
        <f>VLOOKUP($B10,'[3]Indicador j)'!$E$7:$O$30,11,0)</f>
        <v>9</v>
      </c>
      <c r="W10" s="172">
        <f>VLOOKUP($B10,'[2]Ind g) 2016 con QUINTIL PERFIL'!$E$8:$S$68,11,0)</f>
        <v>2937</v>
      </c>
      <c r="X10" s="172">
        <f>VLOOKUP($B10,'[2]Ind g) 2016 con QUINTIL PERFIL'!$E$8:$S$68,15,0)</f>
        <v>1820</v>
      </c>
      <c r="Y10" s="172">
        <f>VLOOKUP($B10,'[2]Indicador h)'!$D$10:$R$70,11,0)</f>
        <v>2751</v>
      </c>
      <c r="Z10" s="172">
        <f>VLOOKUP($B10,'[2]Indicador h)'!$D$10:$R$70,15,0)</f>
        <v>2278</v>
      </c>
      <c r="AA10" s="173">
        <f>VLOOKUP($B10,'[2]Indicador i. 1)'!$C$10:$Q$71,11,0)</f>
        <v>2371</v>
      </c>
      <c r="AB10" s="173">
        <f>VLOOKUP($B10,'[2]Indicador i. 1)'!$C$10:$Q$71,15,0)</f>
        <v>1493</v>
      </c>
      <c r="AC10" s="173" t="str">
        <f t="shared" si="0"/>
        <v>AUS</v>
      </c>
      <c r="AD10" s="174" t="s">
        <v>31</v>
      </c>
      <c r="AE10" s="174" t="str">
        <f>VLOOKUP(AC10,'Categoria 2017'!$B$8:$J$16,9,0)</f>
        <v>II</v>
      </c>
      <c r="AF10" s="159">
        <f t="shared" si="1"/>
        <v>5.2627779382038691</v>
      </c>
      <c r="AG10" s="153">
        <f>AF10/AG$3</f>
        <v>1</v>
      </c>
      <c r="AH10" s="159">
        <f t="shared" si="2"/>
        <v>0.37879229871645254</v>
      </c>
      <c r="AI10" s="153">
        <f>AH10/AI$3</f>
        <v>0.71363749681751454</v>
      </c>
      <c r="AJ10" s="159">
        <f t="shared" si="3"/>
        <v>0.68130105017502895</v>
      </c>
      <c r="AK10" s="153">
        <f>AJ10/AK$3</f>
        <v>0.88305803299472407</v>
      </c>
      <c r="AL10" s="159">
        <f t="shared" si="4"/>
        <v>0.49202644885258617</v>
      </c>
      <c r="AM10" s="153">
        <f>AL10/AM$3</f>
        <v>0.63170796844367383</v>
      </c>
      <c r="AN10" s="159">
        <f t="shared" si="5"/>
        <v>1.2989346682069052</v>
      </c>
      <c r="AO10" s="153">
        <f>AN10/AO$3</f>
        <v>0.6057556180467234</v>
      </c>
      <c r="AP10" s="159">
        <f t="shared" si="6"/>
        <v>5.144538606403013</v>
      </c>
      <c r="AQ10" s="153">
        <f>AP10/AQ$3</f>
        <v>0.51308621895606765</v>
      </c>
      <c r="AR10" s="159">
        <f t="shared" si="7"/>
        <v>0.61967994552264216</v>
      </c>
      <c r="AS10" s="153">
        <f>AR10/AS$3</f>
        <v>0.77904933098995344</v>
      </c>
      <c r="AT10" s="159">
        <f t="shared" si="8"/>
        <v>0.82806252271901126</v>
      </c>
      <c r="AU10" s="153">
        <f>AT10/AU$3</f>
        <v>0.97788594367025905</v>
      </c>
      <c r="AV10" s="159">
        <f t="shared" si="9"/>
        <v>0.62969211303247574</v>
      </c>
      <c r="AW10" s="153">
        <f>AV10/AW$3</f>
        <v>0.96982589341718461</v>
      </c>
      <c r="AX10" s="154">
        <f t="shared" si="10"/>
        <v>0.16666666666666666</v>
      </c>
      <c r="AY10" s="159">
        <f t="shared" si="11"/>
        <v>0.16666666666666666</v>
      </c>
      <c r="AZ10" s="153">
        <f>AY10/AZ$3</f>
        <v>0.55555555555555558</v>
      </c>
      <c r="BA10" s="159">
        <f t="shared" si="12"/>
        <v>1.0696227148969266</v>
      </c>
      <c r="BB10" s="153">
        <f>BA10/BB$3</f>
        <v>0.34605029657720676</v>
      </c>
      <c r="BC10" s="155" t="str">
        <f t="shared" si="13"/>
        <v>AUS</v>
      </c>
      <c r="BD10" s="156">
        <f t="shared" si="15"/>
        <v>0.72505566867898752</v>
      </c>
      <c r="BE10" s="153">
        <f>BD10/BE$3</f>
        <v>0.20359592922910361</v>
      </c>
      <c r="BF10" s="157">
        <f t="shared" ref="BF10:BF13" si="18">BE10*$BF$3</f>
        <v>1855083.0852400064</v>
      </c>
      <c r="BG10" s="158">
        <f t="shared" ref="BG10:BG13" si="19">ROUND(BF10,0)</f>
        <v>1855083</v>
      </c>
    </row>
    <row r="11" spans="1:59" ht="11.25" customHeight="1" x14ac:dyDescent="0.15">
      <c r="A11" s="171" t="s">
        <v>29</v>
      </c>
      <c r="B11" s="171" t="s">
        <v>30</v>
      </c>
      <c r="C11" s="171">
        <v>91</v>
      </c>
      <c r="D11" s="171" t="s">
        <v>44</v>
      </c>
      <c r="E11" s="171" t="s">
        <v>7</v>
      </c>
      <c r="F11" s="171" t="s">
        <v>31</v>
      </c>
      <c r="G11" s="171" t="s">
        <v>15</v>
      </c>
      <c r="H11" s="149">
        <v>0</v>
      </c>
      <c r="I11" s="149">
        <v>0</v>
      </c>
      <c r="J11" s="149">
        <f>VLOOKUP($D11,[1]Presentación!$B$44:$D$68,2,0)</f>
        <v>312</v>
      </c>
      <c r="K11" s="150">
        <f>VLOOKUP($D11,[1]Presentación!$B$13:$D$37,2,0)</f>
        <v>1352</v>
      </c>
      <c r="L11" s="150">
        <f>VLOOKUP($D11,[1]Presentación!$B$13:$D$37,3,0)</f>
        <v>5338</v>
      </c>
      <c r="M11" s="149">
        <f>VLOOKUP($B11,'[2]Indicador a)'!$C$2:$H$61,4,0)</f>
        <v>411</v>
      </c>
      <c r="N11" s="149">
        <f>VLOOKUP($B11,'[2]Indicador a)'!$C$2:$H$61,5,0)</f>
        <v>10767</v>
      </c>
      <c r="O11" s="151">
        <f>VLOOKUP($B11,'[2]Indicador c)'!$C$3:$J$62,7,0)</f>
        <v>553.11363636363626</v>
      </c>
      <c r="P11" s="151">
        <f>VLOOKUP($B11,'[2]Indicador c)'!$C$3:$J$62,4,0)</f>
        <v>197.59318181818185</v>
      </c>
      <c r="Q11" s="151">
        <f>VLOOKUP($B11,'[2]Indicador c)'!$C$3:$J$62,5,0)</f>
        <v>157.10681818181826</v>
      </c>
      <c r="R11" s="151">
        <f>VLOOKUP($B11,'[2]Indicador c)'!$C$3:$J$62,6,0)</f>
        <v>20.5</v>
      </c>
      <c r="S11" s="149">
        <v>12</v>
      </c>
      <c r="T11" s="149">
        <v>14</v>
      </c>
      <c r="U11" s="149">
        <f>VLOOKUP($B11,'[3]Indicador j)'!$E$7:$O$30,4,0)</f>
        <v>10</v>
      </c>
      <c r="V11" s="149">
        <f>VLOOKUP($B11,'[3]Indicador j)'!$E$7:$O$30,11,0)</f>
        <v>3</v>
      </c>
      <c r="W11" s="172">
        <f>VLOOKUP($B11,'[2]Ind g) 2016 con QUINTIL PERFIL'!$E$8:$S$68,11,0)</f>
        <v>1950</v>
      </c>
      <c r="X11" s="172">
        <f>VLOOKUP($B11,'[2]Ind g) 2016 con QUINTIL PERFIL'!$E$8:$S$68,15,0)</f>
        <v>907</v>
      </c>
      <c r="Y11" s="172">
        <f>VLOOKUP($B11,'[2]Indicador h)'!$D$10:$R$70,11,0)</f>
        <v>1881</v>
      </c>
      <c r="Z11" s="172">
        <f>VLOOKUP($B11,'[2]Indicador h)'!$D$10:$R$70,15,0)</f>
        <v>1522</v>
      </c>
      <c r="AA11" s="173">
        <f>VLOOKUP($B11,'[2]Indicador i. 1)'!$C$10:$Q$71,11,0)</f>
        <v>1745</v>
      </c>
      <c r="AB11" s="173">
        <f>VLOOKUP($B11,'[2]Indicador i. 1)'!$C$10:$Q$71,15,0)</f>
        <v>1133</v>
      </c>
      <c r="AC11" s="173" t="str">
        <f t="shared" si="0"/>
        <v>UCN</v>
      </c>
      <c r="AD11" s="174" t="s">
        <v>31</v>
      </c>
      <c r="AE11" s="174" t="str">
        <f>VLOOKUP(AC11,'Categoria 2017'!$B$8:$J$16,9,0)</f>
        <v>II</v>
      </c>
      <c r="AF11" s="159">
        <f t="shared" si="1"/>
        <v>3.8172192811368069</v>
      </c>
      <c r="AG11" s="153">
        <f>AF11/AG$3</f>
        <v>0.72532402582039857</v>
      </c>
      <c r="AH11" s="159">
        <f t="shared" si="2"/>
        <v>0.35723795044582335</v>
      </c>
      <c r="AI11" s="153">
        <f>AH11/AI$3</f>
        <v>0.67302951403247113</v>
      </c>
      <c r="AJ11" s="159">
        <f t="shared" si="3"/>
        <v>0.67834161975592755</v>
      </c>
      <c r="AK11" s="153">
        <f>AJ11/AK$3</f>
        <v>0.87922221209879992</v>
      </c>
      <c r="AL11" s="159">
        <f t="shared" si="4"/>
        <v>0.56407938529810586</v>
      </c>
      <c r="AM11" s="153">
        <f>AL11/AM$3</f>
        <v>0.72421603220436281</v>
      </c>
      <c r="AN11" s="159">
        <f t="shared" si="5"/>
        <v>1.5790018518305515</v>
      </c>
      <c r="AO11" s="153">
        <f>AN11/AO$3</f>
        <v>0.7363643961962365</v>
      </c>
      <c r="AP11" s="159">
        <f t="shared" si="6"/>
        <v>3.9482248520710059</v>
      </c>
      <c r="AQ11" s="153">
        <f>AP11/AQ$3</f>
        <v>0.39377287565033703</v>
      </c>
      <c r="AR11" s="159">
        <f t="shared" si="7"/>
        <v>0.46512820512820513</v>
      </c>
      <c r="AS11" s="153">
        <f>AR11/AS$3</f>
        <v>0.58474994978911421</v>
      </c>
      <c r="AT11" s="159">
        <f t="shared" si="8"/>
        <v>0.80914407230196705</v>
      </c>
      <c r="AU11" s="153">
        <f>AT11/AU$3</f>
        <v>0.95554453075604606</v>
      </c>
      <c r="AV11" s="159">
        <f t="shared" si="9"/>
        <v>0.64928366762177647</v>
      </c>
      <c r="AW11" s="153">
        <f>AV11/AW$3</f>
        <v>1</v>
      </c>
      <c r="AX11" s="154">
        <f t="shared" si="10"/>
        <v>0.3</v>
      </c>
      <c r="AY11" s="159">
        <f t="shared" si="11"/>
        <v>0.3</v>
      </c>
      <c r="AZ11" s="153">
        <f>AY11/AZ$3</f>
        <v>1</v>
      </c>
      <c r="BA11" s="159">
        <f t="shared" si="12"/>
        <v>0</v>
      </c>
      <c r="BB11" s="153">
        <f>BA11/BB$3</f>
        <v>0</v>
      </c>
      <c r="BC11" s="155" t="str">
        <f t="shared" si="13"/>
        <v>UCN</v>
      </c>
      <c r="BD11" s="156">
        <f t="shared" si="15"/>
        <v>0.69747486695888794</v>
      </c>
      <c r="BE11" s="153">
        <f>BD11/BE$3</f>
        <v>0.19585122879069702</v>
      </c>
      <c r="BF11" s="157">
        <f t="shared" si="18"/>
        <v>1784516.53296198</v>
      </c>
      <c r="BG11" s="158">
        <f t="shared" si="19"/>
        <v>1784517</v>
      </c>
    </row>
    <row r="12" spans="1:59" ht="11.25" customHeight="1" x14ac:dyDescent="0.15">
      <c r="A12" s="171" t="s">
        <v>35</v>
      </c>
      <c r="B12" s="171" t="s">
        <v>36</v>
      </c>
      <c r="C12" s="171">
        <v>88</v>
      </c>
      <c r="D12" s="171" t="s">
        <v>43</v>
      </c>
      <c r="E12" s="171" t="s">
        <v>7</v>
      </c>
      <c r="F12" s="171" t="s">
        <v>12</v>
      </c>
      <c r="G12" s="171" t="s">
        <v>13</v>
      </c>
      <c r="H12" s="149">
        <v>1</v>
      </c>
      <c r="I12" s="149">
        <v>0</v>
      </c>
      <c r="J12" s="149">
        <f>VLOOKUP($D12,[1]Presentación!$B$44:$D$68,2,0)</f>
        <v>495</v>
      </c>
      <c r="K12" s="150">
        <f>VLOOKUP($D12,[1]Presentación!$B$13:$D$37,2,0)</f>
        <v>2326</v>
      </c>
      <c r="L12" s="150">
        <f>VLOOKUP($D12,[1]Presentación!$B$13:$D$37,3,0)</f>
        <v>23322</v>
      </c>
      <c r="M12" s="149">
        <f>VLOOKUP($B12,'[2]Indicador a)'!$C$2:$H$61,4,0)</f>
        <v>415</v>
      </c>
      <c r="N12" s="149">
        <f>VLOOKUP($B12,'[2]Indicador a)'!$C$2:$H$61,5,0)</f>
        <v>19268</v>
      </c>
      <c r="O12" s="151">
        <f>VLOOKUP($B12,'[2]Indicador c)'!$C$3:$J$62,7,0)</f>
        <v>635.52568181818174</v>
      </c>
      <c r="P12" s="151">
        <f>VLOOKUP($B12,'[2]Indicador c)'!$C$3:$J$62,4,0)</f>
        <v>230.84227272727284</v>
      </c>
      <c r="Q12" s="151">
        <f>VLOOKUP($B12,'[2]Indicador c)'!$C$3:$J$62,5,0)</f>
        <v>167.9997727272727</v>
      </c>
      <c r="R12" s="151">
        <f>VLOOKUP($B12,'[2]Indicador c)'!$C$3:$J$62,6,0)</f>
        <v>0</v>
      </c>
      <c r="S12" s="149">
        <v>15</v>
      </c>
      <c r="T12" s="149">
        <v>22</v>
      </c>
      <c r="U12" s="149">
        <f>VLOOKUP($B12,'[3]Indicador j)'!$E$7:$O$30,4,0)</f>
        <v>27</v>
      </c>
      <c r="V12" s="149">
        <f>VLOOKUP($B12,'[3]Indicador j)'!$E$7:$O$30,11,0)</f>
        <v>3</v>
      </c>
      <c r="W12" s="172">
        <f>VLOOKUP($B12,'[2]Ind g) 2016 con QUINTIL PERFIL'!$E$8:$S$68,11,0)</f>
        <v>1851</v>
      </c>
      <c r="X12" s="172">
        <f>VLOOKUP($B12,'[2]Ind g) 2016 con QUINTIL PERFIL'!$E$8:$S$68,15,0)</f>
        <v>912</v>
      </c>
      <c r="Y12" s="172">
        <f>VLOOKUP($B12,'[2]Indicador h)'!$D$10:$R$70,11,0)</f>
        <v>1861</v>
      </c>
      <c r="Z12" s="172">
        <f>VLOOKUP($B12,'[2]Indicador h)'!$D$10:$R$70,15,0)</f>
        <v>1489</v>
      </c>
      <c r="AA12" s="173">
        <f>VLOOKUP($B12,'[2]Indicador i. 1)'!$C$10:$Q$71,11,0)</f>
        <v>1849</v>
      </c>
      <c r="AB12" s="173">
        <f>VLOOKUP($B12,'[2]Indicador i. 1)'!$C$10:$Q$71,15,0)</f>
        <v>1093</v>
      </c>
      <c r="AC12" s="173" t="str">
        <f t="shared" si="0"/>
        <v>FSM</v>
      </c>
      <c r="AD12" s="174" t="s">
        <v>31</v>
      </c>
      <c r="AE12" s="174" t="str">
        <f>VLOOKUP(AC12,'Categoria 2017'!$B$8:$J$16,9,0)</f>
        <v>II</v>
      </c>
      <c r="AF12" s="159">
        <f t="shared" si="1"/>
        <v>2.1538301847623003</v>
      </c>
      <c r="AG12" s="153">
        <f>AF12/AG$3</f>
        <v>0.40925728010051282</v>
      </c>
      <c r="AH12" s="159">
        <f t="shared" si="2"/>
        <v>0.36323043951088474</v>
      </c>
      <c r="AI12" s="153">
        <f>AH12/AI$3</f>
        <v>0.68431924962262869</v>
      </c>
      <c r="AJ12" s="159">
        <f t="shared" si="3"/>
        <v>0.62757817168535879</v>
      </c>
      <c r="AK12" s="153">
        <f>AJ12/AK$3</f>
        <v>0.81342593805855001</v>
      </c>
      <c r="AL12" s="159">
        <f t="shared" si="4"/>
        <v>0.77888276455461181</v>
      </c>
      <c r="AM12" s="153">
        <f>AL12/AM$3</f>
        <v>1</v>
      </c>
      <c r="AN12" s="159">
        <f t="shared" si="5"/>
        <v>2.1443212898220536</v>
      </c>
      <c r="AO12" s="153">
        <f>AN12/AO$3</f>
        <v>1</v>
      </c>
      <c r="AP12" s="159">
        <f t="shared" si="6"/>
        <v>10.026655202063628</v>
      </c>
      <c r="AQ12" s="153">
        <f>AP12/AQ$3</f>
        <v>1</v>
      </c>
      <c r="AR12" s="159">
        <f t="shared" si="7"/>
        <v>0.49270664505672607</v>
      </c>
      <c r="AS12" s="153">
        <f>AR12/AS$3</f>
        <v>0.61942101721883447</v>
      </c>
      <c r="AT12" s="159">
        <f t="shared" si="8"/>
        <v>0.80010746910263297</v>
      </c>
      <c r="AU12" s="153">
        <f>AT12/AU$3</f>
        <v>0.94487291236406978</v>
      </c>
      <c r="AV12" s="159">
        <f t="shared" si="9"/>
        <v>0.59113034072471604</v>
      </c>
      <c r="AW12" s="153">
        <f>AV12/AW$3</f>
        <v>0.91043463774459799</v>
      </c>
      <c r="AX12" s="154">
        <f t="shared" si="10"/>
        <v>0.1111111111111111</v>
      </c>
      <c r="AY12" s="159">
        <f t="shared" si="11"/>
        <v>0.1111111111111111</v>
      </c>
      <c r="AZ12" s="153">
        <f>AY12/AZ$3</f>
        <v>0.37037037037037035</v>
      </c>
      <c r="BA12" s="159">
        <f t="shared" si="12"/>
        <v>1.5735005344537614</v>
      </c>
      <c r="BB12" s="153">
        <f>BA12/BB$3</f>
        <v>0.50906765444354729</v>
      </c>
      <c r="BC12" s="155" t="str">
        <f t="shared" si="13"/>
        <v>FSM</v>
      </c>
      <c r="BD12" s="156">
        <f t="shared" si="15"/>
        <v>0.75101536908391919</v>
      </c>
      <c r="BE12" s="153">
        <f>BD12/BE$3</f>
        <v>0.21088542375313196</v>
      </c>
      <c r="BF12" s="157">
        <f t="shared" si="18"/>
        <v>1921501.9868490747</v>
      </c>
      <c r="BG12" s="158">
        <f t="shared" si="19"/>
        <v>1921502</v>
      </c>
    </row>
    <row r="13" spans="1:59" ht="11.25" customHeight="1" x14ac:dyDescent="0.15">
      <c r="A13" s="171" t="s">
        <v>23</v>
      </c>
      <c r="B13" s="171" t="s">
        <v>24</v>
      </c>
      <c r="C13" s="171">
        <v>94</v>
      </c>
      <c r="D13" s="171" t="s">
        <v>38</v>
      </c>
      <c r="E13" s="171" t="s">
        <v>7</v>
      </c>
      <c r="F13" s="171" t="s">
        <v>25</v>
      </c>
      <c r="G13" s="171" t="s">
        <v>19</v>
      </c>
      <c r="H13" s="149"/>
      <c r="I13" s="149"/>
      <c r="J13" s="149">
        <f>VLOOKUP($D13,[1]Presentación!$B$44:$D$68,2,0)</f>
        <v>109</v>
      </c>
      <c r="K13" s="150">
        <f>VLOOKUP($D13,[1]Presentación!$B$13:$D$37,2,0)</f>
        <v>455</v>
      </c>
      <c r="L13" s="150">
        <f>VLOOKUP($D13,[1]Presentación!$B$13:$D$37,3,0)</f>
        <v>976</v>
      </c>
      <c r="M13" s="149">
        <f>VLOOKUP($B13,'[2]Indicador a)'!$C$2:$H$61,4,0)</f>
        <v>295</v>
      </c>
      <c r="N13" s="149">
        <f>VLOOKUP($B13,'[2]Indicador a)'!$C$2:$H$61,5,0)</f>
        <v>8848</v>
      </c>
      <c r="O13" s="151">
        <f>VLOOKUP($B13,'[2]Indicador c)'!$C$3:$J$62,7,0)</f>
        <v>429.141818181818</v>
      </c>
      <c r="P13" s="151">
        <f>VLOOKUP($B13,'[2]Indicador c)'!$C$3:$J$62,4,0)</f>
        <v>121.20522727272726</v>
      </c>
      <c r="Q13" s="151">
        <f>VLOOKUP($B13,'[2]Indicador c)'!$C$3:$J$62,5,0)</f>
        <v>165.03295454545449</v>
      </c>
      <c r="R13" s="151">
        <f>VLOOKUP($B13,'[2]Indicador c)'!$C$3:$J$62,6,0)</f>
        <v>0.13636363636363635</v>
      </c>
      <c r="S13" s="149"/>
      <c r="T13" s="149"/>
      <c r="U13" s="149"/>
      <c r="V13" s="149"/>
      <c r="W13" s="172">
        <f>VLOOKUP($B13,'[2]Ind g) 2016 con QUINTIL PERFIL'!$E$8:$S$68,11,0)</f>
        <v>1926</v>
      </c>
      <c r="X13" s="172">
        <f>VLOOKUP($B13,'[2]Ind g) 2016 con QUINTIL PERFIL'!$E$8:$S$68,15,0)</f>
        <v>1532</v>
      </c>
      <c r="Y13" s="172">
        <f>VLOOKUP($B13,'[2]Indicador h)'!$D$10:$R$70,11,0)</f>
        <v>1697</v>
      </c>
      <c r="Z13" s="172">
        <f>VLOOKUP($B13,'[2]Indicador h)'!$D$10:$R$70,15,0)</f>
        <v>1437</v>
      </c>
      <c r="AA13" s="173">
        <f>VLOOKUP($B13,'[2]Indicador i. 1)'!$C$10:$Q$71,11,0)</f>
        <v>1647</v>
      </c>
      <c r="AB13" s="173">
        <f>VLOOKUP($B13,'[2]Indicador i. 1)'!$C$10:$Q$71,15,0)</f>
        <v>1053</v>
      </c>
      <c r="AC13" s="173" t="str">
        <f t="shared" si="0"/>
        <v>UCT</v>
      </c>
      <c r="AD13" s="174" t="s">
        <v>32</v>
      </c>
      <c r="AE13" s="174" t="str">
        <f>VLOOKUP(AC13,'Categoria 2017'!$B$8:$J$16,9,0)</f>
        <v>II</v>
      </c>
      <c r="AF13" s="159">
        <f t="shared" si="1"/>
        <v>3.3340867992766725</v>
      </c>
      <c r="AG13" s="153">
        <f>AF13/AG$3</f>
        <v>0.63352222693526028</v>
      </c>
      <c r="AH13" s="159">
        <f t="shared" si="2"/>
        <v>0.28243629993051678</v>
      </c>
      <c r="AI13" s="153">
        <f>AH13/AI$3</f>
        <v>0.53210462508291823</v>
      </c>
      <c r="AJ13" s="159">
        <f t="shared" si="3"/>
        <v>0.66731913162845091</v>
      </c>
      <c r="AK13" s="153">
        <f>AJ13/AK$3</f>
        <v>0.86493558112698998</v>
      </c>
      <c r="AL13" s="159">
        <f t="shared" si="4"/>
        <v>0.25399528869456178</v>
      </c>
      <c r="AM13" s="153">
        <f>AL13/AM$3</f>
        <v>0.32610207884084302</v>
      </c>
      <c r="AN13" s="159">
        <f t="shared" si="5"/>
        <v>0.89930114775277858</v>
      </c>
      <c r="AO13" s="153">
        <f>AN13/AO$3</f>
        <v>0.41938731477474023</v>
      </c>
      <c r="AP13" s="159">
        <f t="shared" si="6"/>
        <v>2.145054945054945</v>
      </c>
      <c r="AQ13" s="153">
        <f>AP13/AQ$3</f>
        <v>0.21393524578500139</v>
      </c>
      <c r="AR13" s="159">
        <f t="shared" si="7"/>
        <v>0.7954309449636553</v>
      </c>
      <c r="AS13" s="153">
        <f>AR13/AS$3</f>
        <v>1</v>
      </c>
      <c r="AT13" s="159">
        <f t="shared" si="8"/>
        <v>0.84678845020624627</v>
      </c>
      <c r="AU13" s="153">
        <f>AT13/AU$3</f>
        <v>1</v>
      </c>
      <c r="AV13" s="159">
        <f t="shared" si="9"/>
        <v>0.63934426229508201</v>
      </c>
      <c r="AW13" s="153">
        <f>AV13/AW$3</f>
        <v>0.98469173672102217</v>
      </c>
      <c r="AX13" s="160" t="e">
        <f t="shared" si="10"/>
        <v>#DIV/0!</v>
      </c>
      <c r="AY13" s="160"/>
      <c r="AZ13" s="153"/>
      <c r="BA13" s="159">
        <f t="shared" si="12"/>
        <v>0</v>
      </c>
      <c r="BB13" s="153">
        <f>BA13/BB$3</f>
        <v>0</v>
      </c>
      <c r="BC13" s="155" t="str">
        <f t="shared" si="13"/>
        <v>UCT</v>
      </c>
      <c r="BD13" s="156">
        <f t="shared" si="15"/>
        <v>0.59746788092667757</v>
      </c>
      <c r="BE13" s="153">
        <f>BD13/BE$3</f>
        <v>0.16776922608361314</v>
      </c>
      <c r="BF13" s="157">
        <f t="shared" si="18"/>
        <v>1528644.7755116911</v>
      </c>
      <c r="BG13" s="158">
        <f t="shared" si="19"/>
        <v>1528645</v>
      </c>
    </row>
    <row r="14" spans="1:59" ht="11.25" customHeight="1" x14ac:dyDescent="0.15">
      <c r="A14" s="171" t="s">
        <v>20</v>
      </c>
      <c r="B14" s="171" t="s">
        <v>21</v>
      </c>
      <c r="C14" s="171">
        <v>93</v>
      </c>
      <c r="D14" s="171" t="s">
        <v>39</v>
      </c>
      <c r="E14" s="171" t="s">
        <v>7</v>
      </c>
      <c r="F14" s="171" t="s">
        <v>22</v>
      </c>
      <c r="G14" s="171" t="s">
        <v>19</v>
      </c>
      <c r="H14" s="149"/>
      <c r="I14" s="149"/>
      <c r="J14" s="149">
        <f>VLOOKUP($D14,[1]Presentación!$B$44:$D$68,2,0)</f>
        <v>80</v>
      </c>
      <c r="K14" s="150">
        <f>VLOOKUP($D14,[1]Presentación!$B$13:$D$37,2,0)</f>
        <v>326</v>
      </c>
      <c r="L14" s="150">
        <f>VLOOKUP($D14,[1]Presentación!$B$13:$D$37,3,0)</f>
        <v>790</v>
      </c>
      <c r="M14" s="149">
        <f>VLOOKUP($B14,'[2]Indicador a)'!$C$2:$H$61,4,0)</f>
        <v>258</v>
      </c>
      <c r="N14" s="149">
        <f>VLOOKUP($B14,'[2]Indicador a)'!$C$2:$H$61,5,0)</f>
        <v>13548</v>
      </c>
      <c r="O14" s="151">
        <f>VLOOKUP($B14,'[2]Indicador c)'!$C$3:$J$62,7,0)</f>
        <v>446.2045454545451</v>
      </c>
      <c r="P14" s="151">
        <f>VLOOKUP($B14,'[2]Indicador c)'!$C$3:$J$62,4,0)</f>
        <v>117.6818181818182</v>
      </c>
      <c r="Q14" s="151">
        <f>VLOOKUP($B14,'[2]Indicador c)'!$C$3:$J$62,5,0)</f>
        <v>154.3181818181819</v>
      </c>
      <c r="R14" s="151">
        <f>VLOOKUP($B14,'[2]Indicador c)'!$C$3:$J$62,6,0)</f>
        <v>24.886363636363637</v>
      </c>
      <c r="S14" s="149"/>
      <c r="T14" s="149"/>
      <c r="U14" s="149"/>
      <c r="V14" s="149"/>
      <c r="W14" s="172">
        <f>VLOOKUP($B14,'[2]Ind g) 2016 con QUINTIL PERFIL'!$E$8:$S$68,11,0)</f>
        <v>1789</v>
      </c>
      <c r="X14" s="172">
        <f>VLOOKUP($B14,'[2]Ind g) 2016 con QUINTIL PERFIL'!$E$8:$S$68,15,0)</f>
        <v>1395</v>
      </c>
      <c r="Y14" s="172">
        <f>VLOOKUP($B14,'[2]Indicador h)'!$D$10:$R$70,11,0)</f>
        <v>1715</v>
      </c>
      <c r="Z14" s="172">
        <f>VLOOKUP($B14,'[2]Indicador h)'!$D$10:$R$70,15,0)</f>
        <v>1459</v>
      </c>
      <c r="AA14" s="173">
        <f>VLOOKUP($B14,'[2]Indicador i. 1)'!$C$10:$Q$71,11,0)</f>
        <v>1876</v>
      </c>
      <c r="AB14" s="173">
        <f>VLOOKUP($B14,'[2]Indicador i. 1)'!$C$10:$Q$71,15,0)</f>
        <v>1290</v>
      </c>
      <c r="AC14" s="173" t="str">
        <f t="shared" si="0"/>
        <v>USC</v>
      </c>
      <c r="AD14" s="174" t="s">
        <v>32</v>
      </c>
      <c r="AE14" s="174" t="str">
        <f>VLOOKUP(AC14,'Categoria 2017'!$B$8:$J$16,9,0)</f>
        <v>III</v>
      </c>
      <c r="AF14" s="152">
        <f t="shared" si="1"/>
        <v>1.9043401240035431</v>
      </c>
      <c r="AG14" s="153">
        <f>AF14/AG$4</f>
        <v>0.49899332917155576</v>
      </c>
      <c r="AH14" s="152">
        <f t="shared" si="2"/>
        <v>0.26373962206489099</v>
      </c>
      <c r="AI14" s="153">
        <f>AH14/AI$4</f>
        <v>0.91395353117473599</v>
      </c>
      <c r="AJ14" s="152">
        <f t="shared" si="3"/>
        <v>0.66535934396169794</v>
      </c>
      <c r="AK14" s="153">
        <f>AJ14/AK$4</f>
        <v>0.86455194631154164</v>
      </c>
      <c r="AL14" s="152">
        <f t="shared" si="4"/>
        <v>0.17928997096724916</v>
      </c>
      <c r="AM14" s="153">
        <f>AL14/AM$4</f>
        <v>1</v>
      </c>
      <c r="AN14" s="152">
        <f t="shared" si="5"/>
        <v>0.67979915025106208</v>
      </c>
      <c r="AO14" s="153">
        <f>AN14/AO$4</f>
        <v>1</v>
      </c>
      <c r="AP14" s="152">
        <f t="shared" si="6"/>
        <v>2.423312883435583</v>
      </c>
      <c r="AQ14" s="153">
        <f>AP14/AQ$4</f>
        <v>0.87260290379676098</v>
      </c>
      <c r="AR14" s="152">
        <f t="shared" si="7"/>
        <v>0.77976523197316938</v>
      </c>
      <c r="AS14" s="153">
        <f>AR14/AS$4</f>
        <v>1</v>
      </c>
      <c r="AT14" s="152">
        <f t="shared" si="8"/>
        <v>0.85072886297376094</v>
      </c>
      <c r="AU14" s="153">
        <f>AT14/AU$4</f>
        <v>0.99977242786595488</v>
      </c>
      <c r="AV14" s="152">
        <f t="shared" si="9"/>
        <v>0.68763326226012789</v>
      </c>
      <c r="AW14" s="153">
        <f>AV14/AW$4</f>
        <v>0.8922860188851659</v>
      </c>
      <c r="AX14" s="160" t="e">
        <f t="shared" si="10"/>
        <v>#DIV/0!</v>
      </c>
      <c r="AY14" s="160"/>
      <c r="AZ14" s="153"/>
      <c r="BA14" s="152">
        <f t="shared" si="12"/>
        <v>0</v>
      </c>
      <c r="BB14" s="153">
        <v>0</v>
      </c>
      <c r="BC14" s="155" t="str">
        <f t="shared" si="13"/>
        <v>USC</v>
      </c>
      <c r="BD14" s="156">
        <f t="shared" si="15"/>
        <v>0.80421601572057155</v>
      </c>
      <c r="BE14" s="153">
        <f>BD14/BE$4</f>
        <v>0.47602305675766243</v>
      </c>
      <c r="BF14" s="157">
        <f>BE14*$BF$4</f>
        <v>867465.59631031286</v>
      </c>
      <c r="BG14" s="158">
        <f t="shared" ref="BG14" si="20">ROUND(BF14,0)</f>
        <v>867466</v>
      </c>
    </row>
    <row r="15" spans="1:59" ht="11.25" customHeight="1" x14ac:dyDescent="0.15">
      <c r="A15" s="171" t="s">
        <v>26</v>
      </c>
      <c r="B15" s="171" t="s">
        <v>27</v>
      </c>
      <c r="C15" s="171">
        <v>92</v>
      </c>
      <c r="D15" s="171" t="s">
        <v>42</v>
      </c>
      <c r="E15" s="171" t="s">
        <v>7</v>
      </c>
      <c r="F15" s="171" t="s">
        <v>28</v>
      </c>
      <c r="G15" s="171" t="s">
        <v>13</v>
      </c>
      <c r="H15" s="149"/>
      <c r="I15" s="149"/>
      <c r="J15" s="149">
        <f>VLOOKUP($D15,[1]Presentación!$B$44:$D$68,2,0)</f>
        <v>66</v>
      </c>
      <c r="K15" s="150">
        <f>VLOOKUP($D15,[1]Presentación!$B$13:$D$37,2,0)</f>
        <v>332</v>
      </c>
      <c r="L15" s="150">
        <f>VLOOKUP($D15,[1]Presentación!$B$13:$D$37,3,0)</f>
        <v>922</v>
      </c>
      <c r="M15" s="149">
        <f>VLOOKUP($B15,'[2]Indicador a)'!$C$2:$H$61,4,0)</f>
        <v>271</v>
      </c>
      <c r="N15" s="149">
        <f>VLOOKUP($B15,'[2]Indicador a)'!$C$2:$H$61,5,0)</f>
        <v>7101</v>
      </c>
      <c r="O15" s="151">
        <f>VLOOKUP($B15,'[2]Indicador c)'!$C$3:$J$62,7,0)</f>
        <v>378.59090909090918</v>
      </c>
      <c r="P15" s="151">
        <f>VLOOKUP($B15,'[2]Indicador c)'!$C$3:$J$62,4,0)</f>
        <v>109.24999999999999</v>
      </c>
      <c r="Q15" s="151">
        <f>VLOOKUP($B15,'[2]Indicador c)'!$C$3:$J$62,5,0)</f>
        <v>150.75000000000009</v>
      </c>
      <c r="R15" s="151">
        <f>VLOOKUP($B15,'[2]Indicador c)'!$C$3:$J$62,6,0)</f>
        <v>31.363636363636367</v>
      </c>
      <c r="S15" s="149"/>
      <c r="T15" s="149"/>
      <c r="U15" s="149"/>
      <c r="V15" s="149"/>
      <c r="W15" s="172">
        <f>VLOOKUP($B15,'[2]Ind g) 2016 con QUINTIL PERFIL'!$E$8:$S$68,11,0)</f>
        <v>1414</v>
      </c>
      <c r="X15" s="172">
        <f>VLOOKUP($B15,'[2]Ind g) 2016 con QUINTIL PERFIL'!$E$8:$S$68,15,0)</f>
        <v>1093</v>
      </c>
      <c r="Y15" s="172">
        <f>VLOOKUP($B15,'[2]Indicador h)'!$D$10:$R$70,11,0)</f>
        <v>1355</v>
      </c>
      <c r="Z15" s="172">
        <f>VLOOKUP($B15,'[2]Indicador h)'!$D$10:$R$70,15,0)</f>
        <v>1153</v>
      </c>
      <c r="AA15" s="173">
        <f>VLOOKUP($B15,'[2]Indicador i. 1)'!$C$10:$Q$71,11,0)</f>
        <v>1308</v>
      </c>
      <c r="AB15" s="173">
        <f>VLOOKUP($B15,'[2]Indicador i. 1)'!$C$10:$Q$71,15,0)</f>
        <v>1008</v>
      </c>
      <c r="AC15" s="173" t="str">
        <f t="shared" si="0"/>
        <v>UCM</v>
      </c>
      <c r="AD15" s="174" t="s">
        <v>32</v>
      </c>
      <c r="AE15" s="174" t="str">
        <f>VLOOKUP(AC15,'Categoria 2017'!$B$8:$J$16,9,0)</f>
        <v>III</v>
      </c>
      <c r="AF15" s="152">
        <f t="shared" si="1"/>
        <v>3.8163638924095196</v>
      </c>
      <c r="AG15" s="153">
        <f>AF15/AG$4</f>
        <v>1</v>
      </c>
      <c r="AH15" s="152">
        <f t="shared" si="2"/>
        <v>0.28857005642934314</v>
      </c>
      <c r="AI15" s="153">
        <f>AH15/AI$4</f>
        <v>1</v>
      </c>
      <c r="AJ15" s="152">
        <f t="shared" si="3"/>
        <v>0.76960019209989194</v>
      </c>
      <c r="AK15" s="153">
        <f>AJ15/AK$4</f>
        <v>1</v>
      </c>
      <c r="AL15" s="152">
        <f t="shared" si="4"/>
        <v>0.17433065193900824</v>
      </c>
      <c r="AM15" s="153">
        <f>AL15/AM$4</f>
        <v>0.97233911634049597</v>
      </c>
      <c r="AN15" s="152">
        <f t="shared" si="5"/>
        <v>0.60411899313501149</v>
      </c>
      <c r="AO15" s="153">
        <f>AN15/AO$4</f>
        <v>0.88867276887871871</v>
      </c>
      <c r="AP15" s="152">
        <f t="shared" si="6"/>
        <v>2.7771084337349397</v>
      </c>
      <c r="AQ15" s="153">
        <f>AP15/AQ$4</f>
        <v>1</v>
      </c>
      <c r="AR15" s="152">
        <f t="shared" si="7"/>
        <v>0.77298444130127297</v>
      </c>
      <c r="AS15" s="153">
        <f>AR15/AS$4</f>
        <v>0.99130406128170423</v>
      </c>
      <c r="AT15" s="152">
        <f t="shared" si="8"/>
        <v>0.85092250922509227</v>
      </c>
      <c r="AU15" s="153">
        <f>AT15/AU$4</f>
        <v>1</v>
      </c>
      <c r="AV15" s="152">
        <f t="shared" si="9"/>
        <v>0.77064220183486243</v>
      </c>
      <c r="AW15" s="153">
        <f>AV15/AW$4</f>
        <v>1</v>
      </c>
      <c r="AX15" s="160" t="e">
        <f t="shared" si="10"/>
        <v>#DIV/0!</v>
      </c>
      <c r="AY15" s="160"/>
      <c r="AZ15" s="153"/>
      <c r="BA15" s="152">
        <f t="shared" si="12"/>
        <v>0</v>
      </c>
      <c r="BB15" s="153">
        <v>0</v>
      </c>
      <c r="BC15" s="155" t="str">
        <f t="shared" si="13"/>
        <v>UCM</v>
      </c>
      <c r="BD15" s="156">
        <f t="shared" si="15"/>
        <v>0.88523159465009194</v>
      </c>
      <c r="BE15" s="153">
        <f>BD15/BE$4</f>
        <v>0.52397694324233757</v>
      </c>
      <c r="BF15" s="157">
        <f t="shared" ref="BF15" si="21">BE15*$BF$4</f>
        <v>954852.8481341314</v>
      </c>
      <c r="BG15" s="158">
        <f t="shared" ref="BG15" si="22">ROUND(BF15,0)</f>
        <v>954853</v>
      </c>
    </row>
  </sheetData>
  <autoFilter ref="A6:BE15"/>
  <sortState ref="A12:GP41">
    <sortCondition ref="E12:E41"/>
    <sortCondition ref="AE12:AE41"/>
  </sortState>
  <mergeCells count="4">
    <mergeCell ref="A2:G2"/>
    <mergeCell ref="H2:I2"/>
    <mergeCell ref="J2:L2"/>
    <mergeCell ref="M2:AC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120" zoomScaleNormal="120" zoomScaleSheetLayoutView="100" workbookViewId="0">
      <selection activeCell="H1" sqref="F1:H1048576"/>
    </sheetView>
  </sheetViews>
  <sheetFormatPr baseColWidth="10" defaultRowHeight="14" x14ac:dyDescent="0.2"/>
  <cols>
    <col min="1" max="1" width="29.1640625" style="2" bestFit="1" customWidth="1"/>
    <col min="2" max="2" width="4.6640625" style="2" bestFit="1" customWidth="1"/>
    <col min="3" max="3" width="8.1640625" style="2" customWidth="1"/>
    <col min="4" max="4" width="7.83203125" style="2" customWidth="1"/>
    <col min="5" max="5" width="10.6640625" style="2" bestFit="1" customWidth="1"/>
    <col min="6" max="6" width="10.83203125" style="2"/>
    <col min="7" max="7" width="9.33203125" style="2" hidden="1" customWidth="1"/>
    <col min="8" max="8" width="9.33203125" style="2" customWidth="1"/>
    <col min="9" max="9" width="8.33203125" style="2" customWidth="1"/>
    <col min="10" max="10" width="10.83203125" style="2"/>
    <col min="11" max="11" width="8.33203125" style="2" bestFit="1" customWidth="1"/>
    <col min="12" max="12" width="6.5" style="2" customWidth="1"/>
    <col min="13" max="13" width="11.5" style="2" customWidth="1"/>
    <col min="14" max="16384" width="10.83203125" style="2"/>
  </cols>
  <sheetData>
    <row r="1" spans="1:15" ht="16" x14ac:dyDescent="0.2">
      <c r="A1" s="12" t="s">
        <v>152</v>
      </c>
    </row>
    <row r="2" spans="1:15" ht="16" x14ac:dyDescent="0.2">
      <c r="A2" s="11" t="s">
        <v>80</v>
      </c>
    </row>
    <row r="3" spans="1:15" x14ac:dyDescent="0.2">
      <c r="A3" s="2" t="s">
        <v>141</v>
      </c>
    </row>
    <row r="4" spans="1:15" ht="13.5" customHeight="1" x14ac:dyDescent="0.2"/>
    <row r="6" spans="1:15" ht="30" customHeight="1" x14ac:dyDescent="0.2">
      <c r="C6" s="222" t="s">
        <v>98</v>
      </c>
      <c r="D6" s="222"/>
      <c r="E6" s="222"/>
      <c r="F6" s="222"/>
      <c r="G6" s="2" t="s">
        <v>108</v>
      </c>
      <c r="H6" s="23">
        <v>42705</v>
      </c>
      <c r="M6" s="14">
        <f>+'BD_Calculo 2017'!H21</f>
        <v>16400866</v>
      </c>
    </row>
    <row r="7" spans="1:15" ht="56" x14ac:dyDescent="0.2">
      <c r="A7" s="177"/>
      <c r="B7" s="177"/>
      <c r="C7" s="178" t="s">
        <v>71</v>
      </c>
      <c r="D7" s="179" t="s">
        <v>70</v>
      </c>
      <c r="E7" s="179" t="s">
        <v>101</v>
      </c>
      <c r="F7" s="179" t="s">
        <v>102</v>
      </c>
      <c r="G7" s="145" t="s">
        <v>103</v>
      </c>
      <c r="H7" s="145" t="s">
        <v>103</v>
      </c>
      <c r="I7" s="145" t="s">
        <v>104</v>
      </c>
      <c r="J7" s="178" t="s">
        <v>69</v>
      </c>
      <c r="K7" s="4" t="s">
        <v>68</v>
      </c>
      <c r="L7" s="5" t="s">
        <v>67</v>
      </c>
      <c r="M7" s="4" t="s">
        <v>99</v>
      </c>
      <c r="N7" s="15" t="s">
        <v>100</v>
      </c>
    </row>
    <row r="8" spans="1:15" x14ac:dyDescent="0.2">
      <c r="A8" s="100" t="s">
        <v>6</v>
      </c>
      <c r="B8" s="100" t="s">
        <v>45</v>
      </c>
      <c r="C8" s="101">
        <v>32</v>
      </c>
      <c r="D8" s="101">
        <v>1</v>
      </c>
      <c r="E8" s="101">
        <v>33</v>
      </c>
      <c r="F8" s="19" t="s">
        <v>14</v>
      </c>
      <c r="G8" s="94">
        <f>VLOOKUP($A8,[4]Presentación!$B$13:$L$37,10,0)</f>
        <v>1851</v>
      </c>
      <c r="H8" s="94">
        <v>1851</v>
      </c>
      <c r="I8" s="18" t="str">
        <f>IF(G8&gt;299,"I",IF(G8&gt;100,"II","III"))</f>
        <v>I</v>
      </c>
      <c r="J8" s="180" t="s">
        <v>14</v>
      </c>
      <c r="K8" s="18">
        <v>3</v>
      </c>
      <c r="L8" s="220" t="s">
        <v>105</v>
      </c>
      <c r="M8" s="217">
        <f>$M6*SUM(K8:K9)/$K$17</f>
        <v>5466955.333333333</v>
      </c>
      <c r="N8" s="215">
        <f>M8/2</f>
        <v>2733477.6666666665</v>
      </c>
      <c r="O8" s="2">
        <f>VALUE(M8)</f>
        <v>5466955.333333333</v>
      </c>
    </row>
    <row r="9" spans="1:15" x14ac:dyDescent="0.2">
      <c r="A9" s="100" t="s">
        <v>34</v>
      </c>
      <c r="B9" s="100" t="s">
        <v>37</v>
      </c>
      <c r="C9" s="101">
        <v>23</v>
      </c>
      <c r="D9" s="101">
        <v>0</v>
      </c>
      <c r="E9" s="101">
        <v>23</v>
      </c>
      <c r="F9" s="19" t="s">
        <v>14</v>
      </c>
      <c r="G9" s="94">
        <f>VLOOKUP($A9,[4]Presentación!$B$13:$L$37,10,0)</f>
        <v>946</v>
      </c>
      <c r="H9" s="94">
        <v>946</v>
      </c>
      <c r="I9" s="18" t="str">
        <f>IF(G9&gt;299,"I",IF(G9&gt;100,"II","III"))</f>
        <v>I</v>
      </c>
      <c r="J9" s="180" t="s">
        <v>14</v>
      </c>
      <c r="K9" s="19">
        <v>3</v>
      </c>
      <c r="L9" s="221"/>
      <c r="M9" s="218"/>
      <c r="N9" s="216"/>
    </row>
    <row r="10" spans="1:15" x14ac:dyDescent="0.2">
      <c r="A10" s="100" t="s">
        <v>17</v>
      </c>
      <c r="B10" s="100" t="s">
        <v>40</v>
      </c>
      <c r="C10" s="101">
        <v>9</v>
      </c>
      <c r="D10" s="101">
        <v>0</v>
      </c>
      <c r="E10" s="101">
        <v>9</v>
      </c>
      <c r="F10" s="19" t="s">
        <v>31</v>
      </c>
      <c r="G10" s="94">
        <f>VLOOKUP($A10,[4]Presentación!$B$13:$L$37,10,0)</f>
        <v>460</v>
      </c>
      <c r="H10" s="94">
        <v>460</v>
      </c>
      <c r="I10" s="18" t="str">
        <f>IF(G10&gt;299,"I",IF(G10&gt;100,"II","III"))</f>
        <v>I</v>
      </c>
      <c r="J10" s="180" t="s">
        <v>31</v>
      </c>
      <c r="K10" s="19">
        <v>2</v>
      </c>
      <c r="L10" s="220" t="s">
        <v>106</v>
      </c>
      <c r="M10" s="217">
        <f>$M6*SUM(K10:K14)/$K$17</f>
        <v>9111592.222222222</v>
      </c>
      <c r="N10" s="219">
        <f>M10/5</f>
        <v>1822318.4444444445</v>
      </c>
      <c r="O10" s="2">
        <f>VALUE(M10)</f>
        <v>9111592.222222222</v>
      </c>
    </row>
    <row r="11" spans="1:15" x14ac:dyDescent="0.2">
      <c r="A11" s="100" t="s">
        <v>11</v>
      </c>
      <c r="B11" s="100" t="s">
        <v>41</v>
      </c>
      <c r="C11" s="101">
        <v>5</v>
      </c>
      <c r="D11" s="101">
        <v>3</v>
      </c>
      <c r="E11" s="101">
        <v>8</v>
      </c>
      <c r="F11" s="19" t="s">
        <v>31</v>
      </c>
      <c r="G11" s="94">
        <f>VLOOKUP($A11,[4]Presentación!$B$13:$L$37,10,0)</f>
        <v>484</v>
      </c>
      <c r="H11" s="94">
        <v>484</v>
      </c>
      <c r="I11" s="18" t="str">
        <f>IF(G11&gt;299,"I",IF(G11&gt;100,"II","III"))</f>
        <v>I</v>
      </c>
      <c r="J11" s="180" t="s">
        <v>31</v>
      </c>
      <c r="K11" s="19">
        <v>2</v>
      </c>
      <c r="L11" s="223"/>
      <c r="M11" s="224"/>
      <c r="N11" s="219"/>
    </row>
    <row r="12" spans="1:15" x14ac:dyDescent="0.2">
      <c r="A12" s="100" t="s">
        <v>30</v>
      </c>
      <c r="B12" s="100" t="s">
        <v>44</v>
      </c>
      <c r="C12" s="101">
        <v>1</v>
      </c>
      <c r="D12" s="101">
        <v>3</v>
      </c>
      <c r="E12" s="101">
        <v>4</v>
      </c>
      <c r="F12" s="19" t="s">
        <v>31</v>
      </c>
      <c r="G12" s="94">
        <f>VLOOKUP($A12,[4]Presentación!$B$13:$L$37,10,0)</f>
        <v>312</v>
      </c>
      <c r="H12" s="94">
        <v>312</v>
      </c>
      <c r="I12" s="18" t="s">
        <v>14</v>
      </c>
      <c r="J12" s="180" t="s">
        <v>31</v>
      </c>
      <c r="K12" s="19">
        <v>2</v>
      </c>
      <c r="L12" s="223"/>
      <c r="M12" s="224"/>
      <c r="N12" s="219"/>
    </row>
    <row r="13" spans="1:15" x14ac:dyDescent="0.2">
      <c r="A13" s="100" t="s">
        <v>36</v>
      </c>
      <c r="B13" s="100" t="s">
        <v>43</v>
      </c>
      <c r="C13" s="101">
        <v>2</v>
      </c>
      <c r="D13" s="101">
        <v>2</v>
      </c>
      <c r="E13" s="101">
        <v>4</v>
      </c>
      <c r="F13" s="19" t="s">
        <v>31</v>
      </c>
      <c r="G13" s="94">
        <f>VLOOKUP($A13,[4]Presentación!$B$13:$L$37,10,0)</f>
        <v>495</v>
      </c>
      <c r="H13" s="94">
        <v>495</v>
      </c>
      <c r="I13" s="18" t="s">
        <v>14</v>
      </c>
      <c r="J13" s="180" t="s">
        <v>31</v>
      </c>
      <c r="K13" s="19">
        <v>2</v>
      </c>
      <c r="L13" s="223"/>
      <c r="M13" s="224"/>
      <c r="N13" s="219"/>
    </row>
    <row r="14" spans="1:15" x14ac:dyDescent="0.2">
      <c r="A14" s="100" t="s">
        <v>24</v>
      </c>
      <c r="B14" s="100" t="s">
        <v>38</v>
      </c>
      <c r="C14" s="101">
        <v>1</v>
      </c>
      <c r="D14" s="101">
        <v>0</v>
      </c>
      <c r="E14" s="101">
        <v>1</v>
      </c>
      <c r="F14" s="19" t="s">
        <v>31</v>
      </c>
      <c r="G14" s="94">
        <f>VLOOKUP($A14,[4]Presentación!$B$13:$L$37,10,0)</f>
        <v>109</v>
      </c>
      <c r="H14" s="94">
        <v>109</v>
      </c>
      <c r="I14" s="18" t="s">
        <v>31</v>
      </c>
      <c r="J14" s="180" t="s">
        <v>31</v>
      </c>
      <c r="K14" s="19">
        <v>2</v>
      </c>
      <c r="L14" s="221"/>
      <c r="M14" s="218"/>
      <c r="N14" s="219"/>
    </row>
    <row r="15" spans="1:15" x14ac:dyDescent="0.2">
      <c r="A15" s="100" t="s">
        <v>21</v>
      </c>
      <c r="B15" s="100" t="s">
        <v>39</v>
      </c>
      <c r="C15" s="101"/>
      <c r="D15" s="101"/>
      <c r="E15" s="101">
        <v>0</v>
      </c>
      <c r="F15" s="19" t="s">
        <v>32</v>
      </c>
      <c r="G15" s="94">
        <f>VLOOKUP($A15,[4]Presentación!$B$13:$L$37,10,0)</f>
        <v>80</v>
      </c>
      <c r="H15" s="94">
        <v>80</v>
      </c>
      <c r="I15" s="18" t="s">
        <v>32</v>
      </c>
      <c r="J15" s="180" t="s">
        <v>32</v>
      </c>
      <c r="K15" s="19">
        <v>1</v>
      </c>
      <c r="L15" s="220" t="s">
        <v>107</v>
      </c>
      <c r="M15" s="217">
        <f>$M6*SUM(K15:K16)/$K$17</f>
        <v>1822318.4444444445</v>
      </c>
      <c r="N15" s="215">
        <f>M15/2</f>
        <v>911159.22222222225</v>
      </c>
      <c r="O15" s="2">
        <f>VALUE(M15)</f>
        <v>1822318.4444444445</v>
      </c>
    </row>
    <row r="16" spans="1:15" x14ac:dyDescent="0.2">
      <c r="A16" s="100" t="s">
        <v>27</v>
      </c>
      <c r="B16" s="100" t="s">
        <v>42</v>
      </c>
      <c r="C16" s="101"/>
      <c r="D16" s="101"/>
      <c r="E16" s="101">
        <v>0</v>
      </c>
      <c r="F16" s="19" t="s">
        <v>32</v>
      </c>
      <c r="G16" s="94">
        <f>VLOOKUP($A16,[4]Presentación!$B$13:$L$37,10,0)</f>
        <v>66</v>
      </c>
      <c r="H16" s="94">
        <v>66</v>
      </c>
      <c r="I16" s="18" t="str">
        <f>IF(G16&gt;299,"I",IF(G16&gt;100,"II","III"))</f>
        <v>III</v>
      </c>
      <c r="J16" s="180" t="s">
        <v>32</v>
      </c>
      <c r="K16" s="19">
        <v>1</v>
      </c>
      <c r="L16" s="221"/>
      <c r="M16" s="218"/>
      <c r="N16" s="216"/>
    </row>
    <row r="17" spans="5:14" x14ac:dyDescent="0.2">
      <c r="E17" s="2">
        <f>SUM(E8:E16)</f>
        <v>82</v>
      </c>
      <c r="G17" s="13">
        <f>SUM(G8:G16)</f>
        <v>4803</v>
      </c>
      <c r="H17" s="13">
        <f>SUM(H8:H16)</f>
        <v>4803</v>
      </c>
      <c r="K17" s="48">
        <f>SUM(K8:K16)</f>
        <v>18</v>
      </c>
      <c r="M17" s="21">
        <f>SUM(M8:M16)</f>
        <v>16400866</v>
      </c>
      <c r="N17" s="20">
        <f>M17/9</f>
        <v>1822318.4444444445</v>
      </c>
    </row>
    <row r="18" spans="5:14" x14ac:dyDescent="0.2">
      <c r="G18" s="22" t="e">
        <f>+G17+#REF!</f>
        <v>#REF!</v>
      </c>
      <c r="H18" s="22"/>
    </row>
  </sheetData>
  <mergeCells count="10">
    <mergeCell ref="C6:F6"/>
    <mergeCell ref="L10:L14"/>
    <mergeCell ref="M10:M14"/>
    <mergeCell ref="L15:L16"/>
    <mergeCell ref="M15:M16"/>
    <mergeCell ref="N15:N16"/>
    <mergeCell ref="M8:M9"/>
    <mergeCell ref="N8:N9"/>
    <mergeCell ref="N10:N14"/>
    <mergeCell ref="L8:L9"/>
  </mergeCells>
  <pageMargins left="1.299212598425197" right="0.11811023622047245" top="0.35433070866141736" bottom="0.15748031496062992" header="0.31496062992125984" footer="0.31496062992125984"/>
  <pageSetup paperSize="14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BD_Calculo 2017</vt:lpstr>
      <vt:lpstr>AFI 2016</vt:lpstr>
      <vt:lpstr>Complejidad</vt:lpstr>
      <vt:lpstr>Desempeño</vt:lpstr>
      <vt:lpstr>Categoria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Acuña Molina</dc:creator>
  <cp:lastModifiedBy>Usuario de Microsoft Office</cp:lastModifiedBy>
  <cp:lastPrinted>2017-12-18T18:35:03Z</cp:lastPrinted>
  <dcterms:created xsi:type="dcterms:W3CDTF">2015-08-26T13:33:54Z</dcterms:created>
  <dcterms:modified xsi:type="dcterms:W3CDTF">2017-12-21T13:15:15Z</dcterms:modified>
</cp:coreProperties>
</file>