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540" yWindow="1515" windowWidth="12735" windowHeight="8085" tabRatio="659"/>
  </bookViews>
  <sheets>
    <sheet name="Detalle CM 2016" sheetId="9" r:id="rId1"/>
    <sheet name="DATOS Indicadores (DESEMPEÑO)" sheetId="8" r:id="rId2"/>
    <sheet name="Categoria 2016" sheetId="13" r:id="rId3"/>
  </sheets>
  <definedNames>
    <definedName name="_xlnm._FilterDatabase" localSheetId="1" hidden="1">'DATOS Indicadores (DESEMPEÑO)'!$A$9:$BI$25</definedName>
    <definedName name="_xlnm.Print_Titles" localSheetId="1">'DATOS Indicadores (DESEMPEÑO)'!$D:$D</definedName>
  </definedNames>
  <calcPr calcId="145621"/>
</workbook>
</file>

<file path=xl/calcChain.xml><?xml version="1.0" encoding="utf-8"?>
<calcChain xmlns="http://schemas.openxmlformats.org/spreadsheetml/2006/main">
  <c r="BA10" i="8" l="1"/>
  <c r="BA12" i="8"/>
  <c r="AX12" i="8"/>
  <c r="AV14" i="8"/>
  <c r="AV12" i="8"/>
  <c r="AT12" i="8"/>
  <c r="AR12" i="8"/>
  <c r="AR13" i="8"/>
  <c r="AP12" i="8"/>
  <c r="AN12" i="8"/>
  <c r="AN13" i="8"/>
  <c r="AL11" i="8"/>
  <c r="AL10" i="8"/>
  <c r="AJ11" i="8"/>
  <c r="AH13" i="8"/>
  <c r="AF11" i="8"/>
  <c r="B10" i="9" l="1"/>
  <c r="B11" i="9"/>
  <c r="B12" i="9"/>
  <c r="B13" i="9"/>
  <c r="B14" i="9"/>
  <c r="B15" i="9"/>
  <c r="B17" i="9"/>
  <c r="B16" i="9"/>
  <c r="B18" i="9"/>
  <c r="B19" i="9"/>
  <c r="B20" i="9"/>
  <c r="B21" i="9"/>
  <c r="B22" i="9"/>
  <c r="B23" i="9"/>
  <c r="B24" i="9"/>
  <c r="B9" i="9"/>
  <c r="K48" i="13"/>
  <c r="I47" i="13"/>
  <c r="I46" i="13"/>
  <c r="I45" i="13"/>
  <c r="M44" i="13"/>
  <c r="I44" i="13"/>
  <c r="M43" i="13"/>
  <c r="M48" i="13" s="1"/>
  <c r="I43" i="13"/>
  <c r="K38" i="13"/>
  <c r="M35" i="13" s="1"/>
  <c r="I37" i="13"/>
  <c r="I36" i="13"/>
  <c r="I35" i="13"/>
  <c r="I34" i="13"/>
  <c r="I33" i="13"/>
  <c r="I32" i="13"/>
  <c r="M31" i="13"/>
  <c r="I31" i="13"/>
  <c r="I30" i="13"/>
  <c r="H38" i="13"/>
  <c r="K24" i="13"/>
  <c r="M8" i="13" s="1"/>
  <c r="I23" i="13"/>
  <c r="I22" i="13"/>
  <c r="I21" i="13"/>
  <c r="I20" i="13"/>
  <c r="I19" i="13"/>
  <c r="I18" i="13"/>
  <c r="I17" i="13"/>
  <c r="M16" i="13"/>
  <c r="I16" i="13"/>
  <c r="I15" i="13"/>
  <c r="I14" i="13"/>
  <c r="I13" i="13"/>
  <c r="I12" i="13"/>
  <c r="I11" i="13"/>
  <c r="M10" i="13"/>
  <c r="I10" i="13"/>
  <c r="I9" i="13"/>
  <c r="M29" i="13" l="1"/>
  <c r="M38" i="13" s="1"/>
  <c r="D24" i="13"/>
  <c r="E38" i="13"/>
  <c r="E24" i="13"/>
  <c r="H24" i="13"/>
  <c r="I29" i="13"/>
  <c r="D38" i="13"/>
  <c r="D48" i="13"/>
  <c r="E48" i="13"/>
  <c r="I8" i="13"/>
  <c r="M24" i="13"/>
  <c r="H48" i="13"/>
  <c r="F48" i="13" l="1"/>
  <c r="F24" i="13"/>
  <c r="F38" i="13"/>
  <c r="I29" i="9" l="1"/>
  <c r="J30" i="9" s="1"/>
  <c r="X25" i="9"/>
  <c r="AG25" i="9" s="1"/>
  <c r="K25" i="9"/>
  <c r="X24" i="9"/>
  <c r="AG24" i="9" s="1"/>
  <c r="G24" i="9"/>
  <c r="H24" i="9" s="1"/>
  <c r="J24" i="9" s="1"/>
  <c r="X23" i="9"/>
  <c r="G23" i="9"/>
  <c r="H23" i="9" s="1"/>
  <c r="J23" i="9" s="1"/>
  <c r="X22" i="9"/>
  <c r="G22" i="9"/>
  <c r="H22" i="9" s="1"/>
  <c r="J22" i="9" s="1"/>
  <c r="X21" i="9"/>
  <c r="AG21" i="9" s="1"/>
  <c r="G21" i="9"/>
  <c r="H21" i="9" s="1"/>
  <c r="J21" i="9" s="1"/>
  <c r="X20" i="9"/>
  <c r="G20" i="9"/>
  <c r="H20" i="9" s="1"/>
  <c r="J20" i="9" s="1"/>
  <c r="X19" i="9"/>
  <c r="G19" i="9"/>
  <c r="H19" i="9" s="1"/>
  <c r="J19" i="9" s="1"/>
  <c r="X18" i="9"/>
  <c r="G18" i="9"/>
  <c r="H18" i="9" s="1"/>
  <c r="J18" i="9" s="1"/>
  <c r="X16" i="9"/>
  <c r="G16" i="9"/>
  <c r="H16" i="9" s="1"/>
  <c r="J16" i="9" s="1"/>
  <c r="X17" i="9"/>
  <c r="G17" i="9"/>
  <c r="H17" i="9" s="1"/>
  <c r="J17" i="9" s="1"/>
  <c r="M17" i="9" s="1"/>
  <c r="X15" i="9"/>
  <c r="G15" i="9"/>
  <c r="H15" i="9" s="1"/>
  <c r="J15" i="9" s="1"/>
  <c r="X14" i="9"/>
  <c r="G14" i="9"/>
  <c r="H14" i="9" s="1"/>
  <c r="J14" i="9" s="1"/>
  <c r="X13" i="9"/>
  <c r="G13" i="9"/>
  <c r="H13" i="9" s="1"/>
  <c r="J13" i="9" s="1"/>
  <c r="X12" i="9"/>
  <c r="G12" i="9"/>
  <c r="H12" i="9" s="1"/>
  <c r="J12" i="9" s="1"/>
  <c r="X11" i="9"/>
  <c r="AG11" i="9" s="1"/>
  <c r="G11" i="9"/>
  <c r="H11" i="9" s="1"/>
  <c r="J11" i="9" s="1"/>
  <c r="X10" i="9"/>
  <c r="AG10" i="9" s="1"/>
  <c r="G10" i="9"/>
  <c r="H10" i="9" s="1"/>
  <c r="J10" i="9" s="1"/>
  <c r="X9" i="9"/>
  <c r="G9" i="9"/>
  <c r="M16" i="9" l="1"/>
  <c r="M13" i="9"/>
  <c r="I25" i="9"/>
  <c r="M10" i="9"/>
  <c r="M15" i="9"/>
  <c r="M19" i="9"/>
  <c r="M20" i="9"/>
  <c r="AG12" i="9"/>
  <c r="AG15" i="9"/>
  <c r="E25" i="9"/>
  <c r="L25" i="9"/>
  <c r="AG9" i="9"/>
  <c r="AG22" i="9"/>
  <c r="M24" i="9"/>
  <c r="M12" i="9"/>
  <c r="M22" i="9"/>
  <c r="AG23" i="9"/>
  <c r="G25" i="9"/>
  <c r="AG16" i="9"/>
  <c r="AG19" i="9"/>
  <c r="M11" i="9"/>
  <c r="F25" i="9"/>
  <c r="M14" i="9"/>
  <c r="AG14" i="9"/>
  <c r="M18" i="9"/>
  <c r="M21" i="9"/>
  <c r="M23" i="9"/>
  <c r="AG17" i="9"/>
  <c r="AG18" i="9"/>
  <c r="T25" i="9"/>
  <c r="U12" i="9" s="1"/>
  <c r="V12" i="9" s="1"/>
  <c r="D25" i="9"/>
  <c r="H9" i="9"/>
  <c r="AG13" i="9"/>
  <c r="AG20" i="9"/>
  <c r="AD25" i="9" l="1"/>
  <c r="AE25" i="9"/>
  <c r="AC25" i="9"/>
  <c r="AB25" i="9"/>
  <c r="U9" i="9"/>
  <c r="V9" i="9" s="1"/>
  <c r="U24" i="9"/>
  <c r="V24" i="9" s="1"/>
  <c r="U14" i="9"/>
  <c r="V14" i="9" s="1"/>
  <c r="U21" i="9"/>
  <c r="V21" i="9" s="1"/>
  <c r="U16" i="9"/>
  <c r="V16" i="9" s="1"/>
  <c r="U15" i="9"/>
  <c r="V15" i="9" s="1"/>
  <c r="U13" i="9"/>
  <c r="V13" i="9" s="1"/>
  <c r="U11" i="9"/>
  <c r="V11" i="9" s="1"/>
  <c r="U18" i="9"/>
  <c r="V18" i="9" s="1"/>
  <c r="U23" i="9"/>
  <c r="V23" i="9" s="1"/>
  <c r="U10" i="9"/>
  <c r="V10" i="9" s="1"/>
  <c r="U19" i="9"/>
  <c r="V19" i="9" s="1"/>
  <c r="U17" i="9"/>
  <c r="V17" i="9" s="1"/>
  <c r="H25" i="9"/>
  <c r="J9" i="9"/>
  <c r="U22" i="9"/>
  <c r="V22" i="9" s="1"/>
  <c r="U20" i="9"/>
  <c r="V20" i="9" s="1"/>
  <c r="J25" i="9" l="1"/>
  <c r="M9" i="9"/>
  <c r="U25" i="9"/>
  <c r="V25" i="9"/>
  <c r="M25" i="9" l="1"/>
  <c r="M29" i="9" l="1"/>
  <c r="M30" i="9" s="1"/>
  <c r="N17" i="9"/>
  <c r="N12" i="9"/>
  <c r="N19" i="9"/>
  <c r="N18" i="9"/>
  <c r="N22" i="9"/>
  <c r="N20" i="9"/>
  <c r="N13" i="9"/>
  <c r="N11" i="9"/>
  <c r="N10" i="9"/>
  <c r="N21" i="9"/>
  <c r="N23" i="9"/>
  <c r="N15" i="9"/>
  <c r="N24" i="9"/>
  <c r="N14" i="9"/>
  <c r="N16" i="9"/>
  <c r="N9" i="9"/>
  <c r="BA25" i="8"/>
  <c r="AX25" i="8"/>
  <c r="AV25" i="8"/>
  <c r="AT25" i="8"/>
  <c r="AR25" i="8"/>
  <c r="AP25" i="8"/>
  <c r="AN25" i="8"/>
  <c r="AL25" i="8"/>
  <c r="AJ25" i="8"/>
  <c r="AH25" i="8"/>
  <c r="AF25" i="8"/>
  <c r="AE25" i="8"/>
  <c r="AD25" i="8"/>
  <c r="BF25" i="8" s="1"/>
  <c r="BA24" i="8"/>
  <c r="AX24" i="8"/>
  <c r="AV24" i="8"/>
  <c r="AT24" i="8"/>
  <c r="AR24" i="8"/>
  <c r="AP24" i="8"/>
  <c r="AN24" i="8"/>
  <c r="AL24" i="8"/>
  <c r="AJ24" i="8"/>
  <c r="AH24" i="8"/>
  <c r="AF24" i="8"/>
  <c r="AE24" i="8"/>
  <c r="AD24" i="8"/>
  <c r="BF24" i="8" s="1"/>
  <c r="BA23" i="8"/>
  <c r="AY23" i="8"/>
  <c r="AX23" i="8"/>
  <c r="AV23" i="8"/>
  <c r="AT23" i="8"/>
  <c r="AR23" i="8"/>
  <c r="AP23" i="8"/>
  <c r="AN23" i="8"/>
  <c r="AL23" i="8"/>
  <c r="AJ23" i="8"/>
  <c r="AH23" i="8"/>
  <c r="AF23" i="8"/>
  <c r="AE23" i="8"/>
  <c r="AD23" i="8"/>
  <c r="BF23" i="8" s="1"/>
  <c r="BA22" i="8"/>
  <c r="AX22" i="8"/>
  <c r="AV22" i="8"/>
  <c r="AT22" i="8"/>
  <c r="AR22" i="8"/>
  <c r="AP22" i="8"/>
  <c r="AN22" i="8"/>
  <c r="AL22" i="8"/>
  <c r="AJ22" i="8"/>
  <c r="AH22" i="8"/>
  <c r="AF22" i="8"/>
  <c r="AE22" i="8"/>
  <c r="AD22" i="8"/>
  <c r="BF22" i="8" s="1"/>
  <c r="BA21" i="8"/>
  <c r="AX21" i="8"/>
  <c r="AV21" i="8"/>
  <c r="AT21" i="8"/>
  <c r="AR21" i="8"/>
  <c r="AP21" i="8"/>
  <c r="AN21" i="8"/>
  <c r="AL21" i="8"/>
  <c r="AJ21" i="8"/>
  <c r="AH21" i="8"/>
  <c r="AF21" i="8"/>
  <c r="AE21" i="8"/>
  <c r="AD21" i="8"/>
  <c r="BF21" i="8" s="1"/>
  <c r="BA20" i="8"/>
  <c r="AY20" i="8"/>
  <c r="AX20" i="8"/>
  <c r="AV20" i="8"/>
  <c r="AT20" i="8"/>
  <c r="AR20" i="8"/>
  <c r="AP20" i="8"/>
  <c r="AN20" i="8"/>
  <c r="AL20" i="8"/>
  <c r="AJ20" i="8"/>
  <c r="AH20" i="8"/>
  <c r="AF20" i="8"/>
  <c r="AE20" i="8"/>
  <c r="AD20" i="8"/>
  <c r="BF20" i="8" s="1"/>
  <c r="BA19" i="8"/>
  <c r="AX19" i="8"/>
  <c r="AV19" i="8"/>
  <c r="AT19" i="8"/>
  <c r="AR19" i="8"/>
  <c r="AP19" i="8"/>
  <c r="AN19" i="8"/>
  <c r="AL19" i="8"/>
  <c r="AJ19" i="8"/>
  <c r="AH19" i="8"/>
  <c r="AF19" i="8"/>
  <c r="AE19" i="8"/>
  <c r="AD19" i="8"/>
  <c r="BF19" i="8" s="1"/>
  <c r="BA18" i="8"/>
  <c r="AX18" i="8"/>
  <c r="AV18" i="8"/>
  <c r="AT18" i="8"/>
  <c r="AR18" i="8"/>
  <c r="AP18" i="8"/>
  <c r="AN18" i="8"/>
  <c r="AL18" i="8"/>
  <c r="AJ18" i="8"/>
  <c r="AH18" i="8"/>
  <c r="AF18" i="8"/>
  <c r="AE18" i="8"/>
  <c r="AD18" i="8"/>
  <c r="BF18" i="8" s="1"/>
  <c r="BA17" i="8"/>
  <c r="AX17" i="8"/>
  <c r="AV17" i="8"/>
  <c r="AT17" i="8"/>
  <c r="AR17" i="8"/>
  <c r="AP17" i="8"/>
  <c r="AN17" i="8"/>
  <c r="AL17" i="8"/>
  <c r="AJ17" i="8"/>
  <c r="AH17" i="8"/>
  <c r="AF17" i="8"/>
  <c r="AE17" i="8"/>
  <c r="AD17" i="8"/>
  <c r="BF17" i="8" s="1"/>
  <c r="BA16" i="8"/>
  <c r="AY16" i="8"/>
  <c r="AX16" i="8"/>
  <c r="AV16" i="8"/>
  <c r="AT16" i="8"/>
  <c r="AR16" i="8"/>
  <c r="AP16" i="8"/>
  <c r="AN16" i="8"/>
  <c r="AL16" i="8"/>
  <c r="AJ16" i="8"/>
  <c r="AH16" i="8"/>
  <c r="AF16" i="8"/>
  <c r="AE16" i="8"/>
  <c r="AD16" i="8"/>
  <c r="BF16" i="8" s="1"/>
  <c r="BA15" i="8"/>
  <c r="AY15" i="8"/>
  <c r="AX15" i="8"/>
  <c r="AV15" i="8"/>
  <c r="AT15" i="8"/>
  <c r="AR15" i="8"/>
  <c r="AP15" i="8"/>
  <c r="AN15" i="8"/>
  <c r="AL15" i="8"/>
  <c r="AJ15" i="8"/>
  <c r="AH15" i="8"/>
  <c r="AF15" i="8"/>
  <c r="AE15" i="8"/>
  <c r="AD15" i="8"/>
  <c r="BF15" i="8" s="1"/>
  <c r="AY14" i="8"/>
  <c r="AX14" i="8"/>
  <c r="AT14" i="8"/>
  <c r="AR14" i="8"/>
  <c r="AP14" i="8"/>
  <c r="AN14" i="8"/>
  <c r="AL14" i="8"/>
  <c r="AJ14" i="8"/>
  <c r="AH14" i="8"/>
  <c r="AF14" i="8"/>
  <c r="AE14" i="8"/>
  <c r="AD14" i="8"/>
  <c r="BF14" i="8" s="1"/>
  <c r="J14" i="8"/>
  <c r="BA13" i="8"/>
  <c r="AY13" i="8"/>
  <c r="AX13" i="8"/>
  <c r="AV13" i="8"/>
  <c r="AT13" i="8"/>
  <c r="AP13" i="8"/>
  <c r="AL13" i="8"/>
  <c r="AJ13" i="8"/>
  <c r="AF13" i="8"/>
  <c r="AE13" i="8"/>
  <c r="AD13" i="8"/>
  <c r="BF13" i="8" s="1"/>
  <c r="AY12" i="8"/>
  <c r="AL12" i="8"/>
  <c r="AJ12" i="8"/>
  <c r="AH12" i="8"/>
  <c r="AF12" i="8"/>
  <c r="AE12" i="8"/>
  <c r="AD12" i="8"/>
  <c r="BF12" i="8" s="1"/>
  <c r="BA11" i="8"/>
  <c r="AY11" i="8"/>
  <c r="AX11" i="8"/>
  <c r="AV11" i="8"/>
  <c r="AT11" i="8"/>
  <c r="AR11" i="8"/>
  <c r="AP11" i="8"/>
  <c r="AN11" i="8"/>
  <c r="AM3" i="8"/>
  <c r="AM10" i="8" s="1"/>
  <c r="AH11" i="8"/>
  <c r="AE11" i="8"/>
  <c r="AD11" i="8"/>
  <c r="BF11" i="8" s="1"/>
  <c r="AY10" i="8"/>
  <c r="AX10" i="8"/>
  <c r="AV10" i="8"/>
  <c r="AT10" i="8"/>
  <c r="AR10" i="8"/>
  <c r="AP10" i="8"/>
  <c r="AN10" i="8"/>
  <c r="AJ10" i="8"/>
  <c r="AH10" i="8"/>
  <c r="AF10" i="8"/>
  <c r="AE10" i="8"/>
  <c r="AD10" i="8"/>
  <c r="BF10" i="8" s="1"/>
  <c r="BD5" i="8"/>
  <c r="BH5" i="8" s="1"/>
  <c r="BD4" i="8"/>
  <c r="BH4" i="8" s="1"/>
  <c r="BD3" i="8"/>
  <c r="N25" i="9" l="1"/>
  <c r="AI3" i="8"/>
  <c r="AI10" i="8" s="1"/>
  <c r="AZ5" i="8"/>
  <c r="AZ24" i="8" s="1"/>
  <c r="AI4" i="8"/>
  <c r="AI16" i="8" s="1"/>
  <c r="AQ3" i="8"/>
  <c r="AQ10" i="8" s="1"/>
  <c r="P23" i="9"/>
  <c r="P11" i="9"/>
  <c r="AU3" i="8"/>
  <c r="AU10" i="8" s="1"/>
  <c r="BE3" i="8"/>
  <c r="BH3" i="8"/>
  <c r="BB3" i="8"/>
  <c r="BB11" i="8" s="1"/>
  <c r="AQ4" i="8"/>
  <c r="AQ16" i="8" s="1"/>
  <c r="AG3" i="8"/>
  <c r="AG10" i="8" s="1"/>
  <c r="AO3" i="8"/>
  <c r="AO10" i="8" s="1"/>
  <c r="AW3" i="8"/>
  <c r="AW10" i="8" s="1"/>
  <c r="AK3" i="8"/>
  <c r="AK10" i="8" s="1"/>
  <c r="AS3" i="8"/>
  <c r="AS10" i="8" s="1"/>
  <c r="AZ3" i="8"/>
  <c r="AZ11" i="8" s="1"/>
  <c r="AG4" i="8"/>
  <c r="AG16" i="8" s="1"/>
  <c r="AO4" i="8"/>
  <c r="AO16" i="8" s="1"/>
  <c r="AW4" i="8"/>
  <c r="AW16" i="8" s="1"/>
  <c r="AK4" i="8"/>
  <c r="AK16" i="8" s="1"/>
  <c r="AS4" i="8"/>
  <c r="AS16" i="8" s="1"/>
  <c r="AZ4" i="8"/>
  <c r="AZ15" i="8" s="1"/>
  <c r="AM4" i="8"/>
  <c r="AM16" i="8" s="1"/>
  <c r="AU4" i="8"/>
  <c r="AU16" i="8" s="1"/>
  <c r="AI5" i="8"/>
  <c r="AI24" i="8" s="1"/>
  <c r="AQ5" i="8"/>
  <c r="AQ18" i="8" s="1"/>
  <c r="AG5" i="8"/>
  <c r="AG23" i="8" s="1"/>
  <c r="AO5" i="8"/>
  <c r="AO23" i="8" s="1"/>
  <c r="AW5" i="8"/>
  <c r="AW20" i="8" s="1"/>
  <c r="AK5" i="8"/>
  <c r="AK18" i="8" s="1"/>
  <c r="AS5" i="8"/>
  <c r="AS20" i="8" s="1"/>
  <c r="AM5" i="8"/>
  <c r="AM18" i="8" s="1"/>
  <c r="AU5" i="8"/>
  <c r="AU22" i="8" s="1"/>
  <c r="BB5" i="8"/>
  <c r="AI11" i="8"/>
  <c r="AQ11" i="8"/>
  <c r="AM11" i="8"/>
  <c r="BA14" i="8"/>
  <c r="AU21" i="8" l="1"/>
  <c r="AW24" i="8"/>
  <c r="AW22" i="8"/>
  <c r="AU23" i="8"/>
  <c r="AS15" i="8"/>
  <c r="AW21" i="8"/>
  <c r="AW18" i="8"/>
  <c r="AS13" i="8"/>
  <c r="AI13" i="8"/>
  <c r="AU19" i="8"/>
  <c r="AU20" i="8"/>
  <c r="AW25" i="8"/>
  <c r="AU18" i="8"/>
  <c r="AS14" i="8"/>
  <c r="AW19" i="8"/>
  <c r="AW23" i="8"/>
  <c r="AS17" i="8"/>
  <c r="AU15" i="8"/>
  <c r="BH1" i="8"/>
  <c r="AU12" i="8"/>
  <c r="AO22" i="8"/>
  <c r="AU13" i="8"/>
  <c r="AK17" i="8"/>
  <c r="AU14" i="8"/>
  <c r="AW11" i="8"/>
  <c r="AO24" i="8"/>
  <c r="AO18" i="8"/>
  <c r="AO19" i="8"/>
  <c r="AU17" i="8"/>
  <c r="AU11" i="8"/>
  <c r="AZ10" i="8"/>
  <c r="AZ20" i="8"/>
  <c r="AZ23" i="8"/>
  <c r="AG21" i="8"/>
  <c r="AI14" i="8"/>
  <c r="AI12" i="8"/>
  <c r="AI15" i="8"/>
  <c r="AI17" i="8"/>
  <c r="AU25" i="8"/>
  <c r="AU24" i="8"/>
  <c r="AS12" i="8"/>
  <c r="AQ25" i="8"/>
  <c r="AQ22" i="8"/>
  <c r="AS25" i="8"/>
  <c r="AS23" i="8"/>
  <c r="AO12" i="8"/>
  <c r="AS19" i="8"/>
  <c r="AS21" i="8"/>
  <c r="AG18" i="8"/>
  <c r="AS24" i="8"/>
  <c r="AS18" i="8"/>
  <c r="AQ23" i="8"/>
  <c r="AQ21" i="8"/>
  <c r="AG19" i="8"/>
  <c r="AG25" i="8"/>
  <c r="AO15" i="8"/>
  <c r="AO17" i="8"/>
  <c r="AS22" i="8"/>
  <c r="AG22" i="8"/>
  <c r="AQ24" i="8"/>
  <c r="AQ20" i="8"/>
  <c r="AG24" i="8"/>
  <c r="AO14" i="8"/>
  <c r="AW12" i="8"/>
  <c r="AG20" i="8"/>
  <c r="AK24" i="8"/>
  <c r="AQ19" i="8"/>
  <c r="AG11" i="8"/>
  <c r="AK11" i="8"/>
  <c r="AO13" i="8"/>
  <c r="AG12" i="8"/>
  <c r="AG14" i="8"/>
  <c r="AM13" i="8"/>
  <c r="AZ14" i="8"/>
  <c r="AO21" i="8"/>
  <c r="AK25" i="8"/>
  <c r="AK21" i="8"/>
  <c r="AO25" i="8"/>
  <c r="AQ15" i="8"/>
  <c r="AK13" i="8"/>
  <c r="AK19" i="8"/>
  <c r="AK20" i="8"/>
  <c r="AQ14" i="8"/>
  <c r="AO20" i="8"/>
  <c r="AK15" i="8"/>
  <c r="AW14" i="8"/>
  <c r="AQ17" i="8"/>
  <c r="AW15" i="8"/>
  <c r="AQ13" i="8"/>
  <c r="AW13" i="8"/>
  <c r="AK22" i="8"/>
  <c r="AQ12" i="8"/>
  <c r="AK23" i="8"/>
  <c r="AK12" i="8"/>
  <c r="AO11" i="8"/>
  <c r="AK14" i="8"/>
  <c r="AS11" i="8"/>
  <c r="AW17" i="8"/>
  <c r="AM19" i="8"/>
  <c r="AM24" i="8"/>
  <c r="AM21" i="8"/>
  <c r="AM20" i="8"/>
  <c r="AI19" i="8"/>
  <c r="AZ17" i="8"/>
  <c r="AM22" i="8"/>
  <c r="AI21" i="8"/>
  <c r="AI20" i="8"/>
  <c r="AG17" i="8"/>
  <c r="AZ12" i="8"/>
  <c r="AI25" i="8"/>
  <c r="AM25" i="8"/>
  <c r="AZ16" i="8"/>
  <c r="AG15" i="8"/>
  <c r="AM15" i="8"/>
  <c r="AG13" i="8"/>
  <c r="AI23" i="8"/>
  <c r="AM23" i="8"/>
  <c r="AI22" i="8"/>
  <c r="AZ13" i="8"/>
  <c r="AM12" i="8"/>
  <c r="AI18" i="8"/>
  <c r="AM14" i="8"/>
  <c r="AM17" i="8"/>
  <c r="BB10" i="8"/>
  <c r="BB4" i="8"/>
  <c r="BB14" i="8" s="1"/>
  <c r="BC19" i="8" l="1"/>
  <c r="BC11" i="8"/>
  <c r="BC24" i="8"/>
  <c r="BC23" i="8"/>
  <c r="BC25" i="8"/>
  <c r="BC21" i="8"/>
  <c r="BC20" i="8"/>
  <c r="BC10" i="8"/>
  <c r="BC18" i="8"/>
  <c r="BC22" i="8"/>
  <c r="BC14" i="8"/>
  <c r="BB15" i="8"/>
  <c r="BB13" i="8"/>
  <c r="BB17" i="8"/>
  <c r="BB12" i="8"/>
  <c r="BB16" i="8"/>
  <c r="BC5" i="8" l="1"/>
  <c r="BD24" i="8" s="1"/>
  <c r="BE24" i="8" s="1"/>
  <c r="BC3" i="8"/>
  <c r="BD11" i="8" s="1"/>
  <c r="BC12" i="8"/>
  <c r="BC17" i="8"/>
  <c r="BC13" i="8"/>
  <c r="BC16" i="8"/>
  <c r="BC15" i="8"/>
  <c r="BH24" i="8" l="1"/>
  <c r="Y23" i="9"/>
  <c r="AH23" i="9" s="1"/>
  <c r="AI23" i="9" s="1"/>
  <c r="BG24" i="8"/>
  <c r="BD18" i="8"/>
  <c r="BE18" i="8" s="1"/>
  <c r="BG18" i="8" s="1"/>
  <c r="BD23" i="8"/>
  <c r="BH23" i="8" s="1"/>
  <c r="BI23" i="8" s="1"/>
  <c r="P22" i="9" s="1"/>
  <c r="BD22" i="8"/>
  <c r="BH22" i="8" s="1"/>
  <c r="BI22" i="8" s="1"/>
  <c r="P21" i="9" s="1"/>
  <c r="BD21" i="8"/>
  <c r="BH21" i="8" s="1"/>
  <c r="BI21" i="8" s="1"/>
  <c r="P17" i="9" s="1"/>
  <c r="BD25" i="8"/>
  <c r="BH25" i="8" s="1"/>
  <c r="BI25" i="8" s="1"/>
  <c r="P19" i="9" s="1"/>
  <c r="BD19" i="8"/>
  <c r="BH19" i="8" s="1"/>
  <c r="BI19" i="8" s="1"/>
  <c r="P24" i="9" s="1"/>
  <c r="BH11" i="8"/>
  <c r="BI11" i="8" s="1"/>
  <c r="P10" i="9" s="1"/>
  <c r="BD20" i="8"/>
  <c r="BE20" i="8" s="1"/>
  <c r="BG20" i="8" s="1"/>
  <c r="BE19" i="8"/>
  <c r="BG19" i="8" s="1"/>
  <c r="BE11" i="8"/>
  <c r="BG11" i="8" s="1"/>
  <c r="BD10" i="8"/>
  <c r="BE21" i="8"/>
  <c r="BG21" i="8" s="1"/>
  <c r="BE23" i="8"/>
  <c r="BG23" i="8" s="1"/>
  <c r="BC4" i="8"/>
  <c r="BD14" i="8" s="1"/>
  <c r="BH18" i="8" l="1"/>
  <c r="BI18" i="8" s="1"/>
  <c r="P18" i="9" s="1"/>
  <c r="BH20" i="8"/>
  <c r="BI20" i="8" s="1"/>
  <c r="P20" i="9" s="1"/>
  <c r="BE25" i="8"/>
  <c r="BG25" i="8" s="1"/>
  <c r="BE10" i="8"/>
  <c r="BG10" i="8" s="1"/>
  <c r="BH10" i="8"/>
  <c r="BI10" i="8" s="1"/>
  <c r="Y19" i="9"/>
  <c r="AH19" i="9" s="1"/>
  <c r="AI19" i="9" s="1"/>
  <c r="BE22" i="8"/>
  <c r="BG22" i="8" s="1"/>
  <c r="Y24" i="9"/>
  <c r="AH24" i="9" s="1"/>
  <c r="AI24" i="9" s="1"/>
  <c r="Y17" i="9"/>
  <c r="AH17" i="9" s="1"/>
  <c r="AI17" i="9" s="1"/>
  <c r="Y21" i="9"/>
  <c r="AH21" i="9" s="1"/>
  <c r="AI21" i="9" s="1"/>
  <c r="Y22" i="9"/>
  <c r="AH22" i="9" s="1"/>
  <c r="AI22" i="9" s="1"/>
  <c r="Y10" i="9"/>
  <c r="AH10" i="9" s="1"/>
  <c r="AI10" i="9" s="1"/>
  <c r="BE14" i="8"/>
  <c r="BH14" i="8"/>
  <c r="BD17" i="8"/>
  <c r="BD12" i="8"/>
  <c r="BD15" i="8"/>
  <c r="BD16" i="8"/>
  <c r="BD13" i="8"/>
  <c r="Y20" i="9" l="1"/>
  <c r="AH20" i="9" s="1"/>
  <c r="AI20" i="9" s="1"/>
  <c r="Y18" i="9"/>
  <c r="AH18" i="9" s="1"/>
  <c r="AI18" i="9" s="1"/>
  <c r="Y11" i="9"/>
  <c r="BG14" i="8"/>
  <c r="P9" i="9"/>
  <c r="BE13" i="8"/>
  <c r="BG13" i="8" s="1"/>
  <c r="BH13" i="8"/>
  <c r="BI13" i="8" s="1"/>
  <c r="P12" i="9" s="1"/>
  <c r="BE12" i="8"/>
  <c r="BG12" i="8" s="1"/>
  <c r="BH12" i="8"/>
  <c r="BI12" i="8" s="1"/>
  <c r="P16" i="9" s="1"/>
  <c r="BE17" i="8"/>
  <c r="BG17" i="8" s="1"/>
  <c r="BH17" i="8"/>
  <c r="BI17" i="8" s="1"/>
  <c r="P15" i="9" s="1"/>
  <c r="BE16" i="8"/>
  <c r="BG16" i="8" s="1"/>
  <c r="BH16" i="8"/>
  <c r="BI16" i="8" s="1"/>
  <c r="P14" i="9" s="1"/>
  <c r="BE15" i="8"/>
  <c r="BG15" i="8" s="1"/>
  <c r="BH15" i="8"/>
  <c r="BI15" i="8" s="1"/>
  <c r="P13" i="9" s="1"/>
  <c r="AH11" i="9"/>
  <c r="AI11" i="9" s="1"/>
  <c r="Y9" i="9" l="1"/>
  <c r="AH9" i="9" s="1"/>
  <c r="AI9" i="9" s="1"/>
  <c r="Y15" i="9"/>
  <c r="AH15" i="9" s="1"/>
  <c r="AI15" i="9" s="1"/>
  <c r="Y13" i="9"/>
  <c r="AH13" i="9" s="1"/>
  <c r="AI13" i="9" s="1"/>
  <c r="Y12" i="9"/>
  <c r="AH12" i="9" s="1"/>
  <c r="AI12" i="9" s="1"/>
  <c r="Y14" i="9"/>
  <c r="AH14" i="9" s="1"/>
  <c r="AI14" i="9" s="1"/>
  <c r="Y16" i="9"/>
  <c r="P25" i="9" l="1"/>
  <c r="AH16" i="9"/>
  <c r="AI16" i="9" s="1"/>
  <c r="Y25" i="9"/>
  <c r="Q11" i="9" l="1"/>
  <c r="Q23" i="9"/>
  <c r="Q19" i="9"/>
  <c r="Q10" i="9"/>
  <c r="Q24" i="9"/>
  <c r="Q22" i="9"/>
  <c r="Q17" i="9"/>
  <c r="Q21" i="9"/>
  <c r="Q20" i="9"/>
  <c r="Q18" i="9"/>
  <c r="Q16" i="9"/>
  <c r="Q13" i="9"/>
  <c r="Q14" i="9"/>
  <c r="Q15" i="9"/>
  <c r="Q12" i="9"/>
  <c r="Q9" i="9"/>
  <c r="AH25" i="9"/>
  <c r="Z9" i="9"/>
  <c r="Z10" i="9"/>
  <c r="Z23" i="9"/>
  <c r="Z24" i="9"/>
  <c r="Z19" i="9"/>
  <c r="Z22" i="9"/>
  <c r="Z17" i="9"/>
  <c r="Z20" i="9"/>
  <c r="Z21" i="9"/>
  <c r="Z18" i="9"/>
  <c r="Z11" i="9"/>
  <c r="Z13" i="9"/>
  <c r="Z15" i="9"/>
  <c r="Z14" i="9"/>
  <c r="Z12" i="9"/>
  <c r="Z16" i="9"/>
  <c r="Q25" i="9" l="1"/>
</calcChain>
</file>

<file path=xl/sharedStrings.xml><?xml version="1.0" encoding="utf-8"?>
<sst xmlns="http://schemas.openxmlformats.org/spreadsheetml/2006/main" count="507" uniqueCount="257">
  <si>
    <t>Instituciones</t>
  </si>
  <si>
    <t>AFD 5%</t>
  </si>
  <si>
    <t>AFD 95%</t>
  </si>
  <si>
    <t>TOTAL</t>
  </si>
  <si>
    <t>UCH</t>
  </si>
  <si>
    <t>U.de Chile</t>
  </si>
  <si>
    <t>PUC</t>
  </si>
  <si>
    <t>P.U. Católica de Chile</t>
  </si>
  <si>
    <t>UCO</t>
  </si>
  <si>
    <t>U. de Concepción</t>
  </si>
  <si>
    <t>UCV</t>
  </si>
  <si>
    <t>P.U. Católica de Valparaíso</t>
  </si>
  <si>
    <t>FSM</t>
  </si>
  <si>
    <t>U. Téc. Federico Sta.Maria</t>
  </si>
  <si>
    <t>USA</t>
  </si>
  <si>
    <t>U. de Santiago</t>
  </si>
  <si>
    <t>AUS</t>
  </si>
  <si>
    <t>U. Austral</t>
  </si>
  <si>
    <t>UCN</t>
  </si>
  <si>
    <t>U. Católica del Norte</t>
  </si>
  <si>
    <t>UVA</t>
  </si>
  <si>
    <t>U. de Valparaíso</t>
  </si>
  <si>
    <t>ANT</t>
  </si>
  <si>
    <t>U. de Antofagasta</t>
  </si>
  <si>
    <t>ULS</t>
  </si>
  <si>
    <t>U. de la Serena</t>
  </si>
  <si>
    <t>UBB</t>
  </si>
  <si>
    <t>U. de Bio Bio</t>
  </si>
  <si>
    <t>FRO</t>
  </si>
  <si>
    <t>U. de la Frontera</t>
  </si>
  <si>
    <t>MAG</t>
  </si>
  <si>
    <t>U. de Magallanes</t>
  </si>
  <si>
    <t>TAL</t>
  </si>
  <si>
    <t>U. de Talca</t>
  </si>
  <si>
    <t>ATA</t>
  </si>
  <si>
    <t>U. de Atacama</t>
  </si>
  <si>
    <t>UTA</t>
  </si>
  <si>
    <t>U. de Tarapacá</t>
  </si>
  <si>
    <t>UAP</t>
  </si>
  <si>
    <t>U. Arturo Prat</t>
  </si>
  <si>
    <t>UMC</t>
  </si>
  <si>
    <t>U. Metropolitana</t>
  </si>
  <si>
    <t>UPA</t>
  </si>
  <si>
    <t>U. de Playa Ancha</t>
  </si>
  <si>
    <t>UTM</t>
  </si>
  <si>
    <t>U.Tecnológica Metropolitana</t>
  </si>
  <si>
    <t>ULA</t>
  </si>
  <si>
    <t>U. de Los Lagos</t>
  </si>
  <si>
    <t>UCM</t>
  </si>
  <si>
    <t>U. Católica de Maule</t>
  </si>
  <si>
    <t>UCT</t>
  </si>
  <si>
    <t>U. Católica de Temuco</t>
  </si>
  <si>
    <t>USC</t>
  </si>
  <si>
    <t>U. C.de la Sant.Concepción</t>
  </si>
  <si>
    <t>INSTITUCIÓN</t>
  </si>
  <si>
    <t>IES</t>
  </si>
  <si>
    <t>UNIVERSIDAD ARTURO PRAT</t>
  </si>
  <si>
    <t>U. ARTURO PRAT</t>
  </si>
  <si>
    <t>UNIVERSIDAD DE ANTOFAGASTA</t>
  </si>
  <si>
    <t>U. DE ANTOFAGASTA</t>
  </si>
  <si>
    <t>UNIVERSIDAD DE ATACAMA</t>
  </si>
  <si>
    <t>U. DE ATACAMA</t>
  </si>
  <si>
    <t>UNIVERSIDAD DE CHILE</t>
  </si>
  <si>
    <t>U. DE CHILE</t>
  </si>
  <si>
    <t>UNIVERSIDAD DE LA FRONTERA</t>
  </si>
  <si>
    <t>U. DE LA FRONTERA</t>
  </si>
  <si>
    <t>UNIVERSIDAD DE LA SERENA</t>
  </si>
  <si>
    <t>U. DE LA SERENA</t>
  </si>
  <si>
    <t>UNIVERSIDAD DE LOS LAGOS</t>
  </si>
  <si>
    <t>U. DE LOS LAGOS</t>
  </si>
  <si>
    <t>UNIVERSIDAD DE MAGALLANES</t>
  </si>
  <si>
    <t>U. DE MAGALLANES</t>
  </si>
  <si>
    <t>UNIVERSIDAD DE PLAYA ANCHA DE CIENCIAS DE LA EDUCACION</t>
  </si>
  <si>
    <t>U. DE PLAYA ANCHA DE CS. DE LA ED.</t>
  </si>
  <si>
    <t>UNIVERSIDAD DE SANTIAGO DE CHILE</t>
  </si>
  <si>
    <t>U. DE SANTIAGO</t>
  </si>
  <si>
    <t>UNIVERSIDAD DE TALCA</t>
  </si>
  <si>
    <t>U. DE TALCA</t>
  </si>
  <si>
    <t>UNIVERSIDAD DE TARAPACA</t>
  </si>
  <si>
    <t>U. DE TARAPACÁ</t>
  </si>
  <si>
    <t>UNIVERSIDAD DE VALPARAISO</t>
  </si>
  <si>
    <t>U. DE VALPARAÍSO</t>
  </si>
  <si>
    <t>UNIVERSIDAD DEL BIO-BIO</t>
  </si>
  <si>
    <t>U. DEL BÍO-BÍO</t>
  </si>
  <si>
    <t>UNIVERSIDAD METROPOLITANA DE CIENCIAS DE LA EDUCACION</t>
  </si>
  <si>
    <t>U. METROPOLITANA DE CS. DE LA ED.</t>
  </si>
  <si>
    <t>UNIVERSIDAD TECNOLOGICA METROPOLITANA</t>
  </si>
  <si>
    <t>U. TECNOLÓGICA METROPOLITANA</t>
  </si>
  <si>
    <t>U. ALBERTO HURTADO</t>
  </si>
  <si>
    <t>UAH</t>
  </si>
  <si>
    <t>U. AUTÓNOMA DE CHILE</t>
  </si>
  <si>
    <t>UAU</t>
  </si>
  <si>
    <t>U. C. SILVA HENRÍQUEZ</t>
  </si>
  <si>
    <t>UCS</t>
  </si>
  <si>
    <t>U. DIEGO PORTALES</t>
  </si>
  <si>
    <t>UDP</t>
  </si>
  <si>
    <t>U. FINIS TERRAE</t>
  </si>
  <si>
    <t>UFT</t>
  </si>
  <si>
    <t>Cod</t>
  </si>
  <si>
    <t>Tipo</t>
  </si>
  <si>
    <t>Total Estatal</t>
  </si>
  <si>
    <t>5 % Total AFD 2015</t>
  </si>
  <si>
    <t>AFD  2015</t>
  </si>
  <si>
    <t>5 % Total AFD 2015
Reajustado 4,1%</t>
  </si>
  <si>
    <t>a)</t>
  </si>
  <si>
    <t>b)</t>
  </si>
  <si>
    <t>c)</t>
  </si>
  <si>
    <t>5 % Total AFD 2015
Reajustado 4,1%
S/decimales
M$</t>
  </si>
  <si>
    <t>AFI 2016
M$</t>
  </si>
  <si>
    <t>Diagnóstico Pedagogía
M$</t>
  </si>
  <si>
    <t>d)</t>
  </si>
  <si>
    <t>Tutoras
M$</t>
  </si>
  <si>
    <t>a + b + c + d</t>
  </si>
  <si>
    <t>Elemento Mixto ESTATALES</t>
  </si>
  <si>
    <t>Elemento Desempeño</t>
  </si>
  <si>
    <t>CRUCH Est.</t>
  </si>
  <si>
    <t>Menos de 4 años</t>
  </si>
  <si>
    <t>Monto por Universidad</t>
  </si>
  <si>
    <t>Total mejora Acreditación</t>
  </si>
  <si>
    <t>4. Metropolitana</t>
  </si>
  <si>
    <t>RM</t>
  </si>
  <si>
    <t>2. Centro</t>
  </si>
  <si>
    <t>V</t>
  </si>
  <si>
    <t>3. Sur</t>
  </si>
  <si>
    <t>VIII</t>
  </si>
  <si>
    <t>X</t>
  </si>
  <si>
    <t>VII</t>
  </si>
  <si>
    <t>1. Norte</t>
  </si>
  <si>
    <t>II</t>
  </si>
  <si>
    <t>IX</t>
  </si>
  <si>
    <t>IV</t>
  </si>
  <si>
    <t>III</t>
  </si>
  <si>
    <t>XV</t>
  </si>
  <si>
    <t>XII</t>
  </si>
  <si>
    <t>I</t>
  </si>
  <si>
    <t>Institución</t>
  </si>
  <si>
    <t>Mejora de Acreditación Institucional
(Acreditación Inferior a 4 años)</t>
  </si>
  <si>
    <t>Convenio Marco</t>
  </si>
  <si>
    <t>Ley de Presupuesto 2016 (M$)</t>
  </si>
  <si>
    <t>Ley Corta 2016 (M$)</t>
  </si>
  <si>
    <t>CM</t>
  </si>
  <si>
    <t>Años de Acreditación 
(web CNA 
04-05-16)</t>
  </si>
  <si>
    <t>Total Elemento Mixto
CM M$</t>
  </si>
  <si>
    <t>CÁLCULO CONVENIO MARCO 2016</t>
  </si>
  <si>
    <t>UNIVERSIDADES ESTATALES</t>
  </si>
  <si>
    <t>UdA-DFI</t>
  </si>
  <si>
    <t>d) e)</t>
  </si>
  <si>
    <t>f)</t>
  </si>
  <si>
    <t>b) c) e)</t>
  </si>
  <si>
    <t>j)</t>
  </si>
  <si>
    <t>g)</t>
  </si>
  <si>
    <t>h)</t>
  </si>
  <si>
    <t>i)</t>
  </si>
  <si>
    <t>Max Categoria</t>
  </si>
  <si>
    <t>SUMA Categoria</t>
  </si>
  <si>
    <t>INAPI</t>
  </si>
  <si>
    <t>CONICYT</t>
  </si>
  <si>
    <t>SIES</t>
  </si>
  <si>
    <t>Estatal I</t>
  </si>
  <si>
    <t>Estatal II</t>
  </si>
  <si>
    <t>Estatal III</t>
  </si>
  <si>
    <t>SOLICITUD PATENTES NACIONALES</t>
  </si>
  <si>
    <t>PUBLICACIONES SCOPUS Y CITAS (DATO U. Privadas CORREGIDO desde CONICYT el 04sep15)</t>
  </si>
  <si>
    <t>ACADEMICOS JC POR CADA 100 MATRICULADOS (A)</t>
  </si>
  <si>
    <t>ACADEMICOS JCE CON PDH-MAG-ESP.MED RESPECTO DEL TOTAL (C)</t>
  </si>
  <si>
    <t>GRADUACIÓN Phd al 5to AÑO(J)</t>
  </si>
  <si>
    <t>PORCENTAJE Q1Q2Q3 EN MATRICULA PRIMER AÑO (G)</t>
  </si>
  <si>
    <t>RETENCIÓN AL CUARTO AÑO (i)</t>
  </si>
  <si>
    <t>NOMB_INST</t>
  </si>
  <si>
    <t>NOMB_INST2</t>
  </si>
  <si>
    <t>Cod_SIES</t>
  </si>
  <si>
    <t>COD_INST</t>
  </si>
  <si>
    <t>Categoría 2016
(11ene2015)</t>
  </si>
  <si>
    <t>Tipo_INST</t>
  </si>
  <si>
    <t>Region_INST</t>
  </si>
  <si>
    <t>ZONA_Reg_INST</t>
  </si>
  <si>
    <t>Solicitud_ pat_nac_2013</t>
  </si>
  <si>
    <t>Solicitud_ pat_nac_2014</t>
  </si>
  <si>
    <t>Publicaciones  (citables)
2014</t>
  </si>
  <si>
    <t>Publicaciones 2010_2014 (citables)</t>
  </si>
  <si>
    <t>Citas 2010_2014</t>
  </si>
  <si>
    <t>JC_2014</t>
  </si>
  <si>
    <t>MAT_2014</t>
  </si>
  <si>
    <t>JCE 2014</t>
  </si>
  <si>
    <t>JCE Doctor 2014</t>
  </si>
  <si>
    <t>JCE Magister 2014</t>
  </si>
  <si>
    <t>JCE Esp. Med._Odont. 2014</t>
  </si>
  <si>
    <t>TOTAL MAT PhD 2010</t>
  </si>
  <si>
    <t>Grad_PhD_2010_al_2014</t>
  </si>
  <si>
    <t>MAT_1año_2014(g)</t>
  </si>
  <si>
    <t>Q1_Q2_Q3_MAT_1año_2014</t>
  </si>
  <si>
    <t>MAT_1año_2013(h)</t>
  </si>
  <si>
    <t>MAT_2013_Ret_1er_enMAT_2014</t>
  </si>
  <si>
    <t>MAT_1año_2011(i)</t>
  </si>
  <si>
    <t>MAT_2011_Ret_4to_enMAT_2014</t>
  </si>
  <si>
    <t>a) Corregido</t>
  </si>
  <si>
    <t>b) Corregido</t>
  </si>
  <si>
    <t>c) Corregido</t>
  </si>
  <si>
    <t>d) Corregido</t>
  </si>
  <si>
    <t>e)</t>
  </si>
  <si>
    <t>e) Corregido</t>
  </si>
  <si>
    <t>f) Corregido</t>
  </si>
  <si>
    <t>g) Corregido</t>
  </si>
  <si>
    <t>h) Corregido</t>
  </si>
  <si>
    <t>i) Corregido</t>
  </si>
  <si>
    <t>j) Corregido</t>
  </si>
  <si>
    <t>k)</t>
  </si>
  <si>
    <t>k) Corregido</t>
  </si>
  <si>
    <t>Promedio corregidos</t>
  </si>
  <si>
    <t>FACTOR 2016
% del promedio</t>
  </si>
  <si>
    <t>Monto 
M$</t>
  </si>
  <si>
    <t>DESEMPEÑO
Monto SIN decimales
M$</t>
  </si>
  <si>
    <t>Total Universidad
CM M$</t>
  </si>
  <si>
    <t>Universidad
Estatal</t>
  </si>
  <si>
    <t>Total Elemento Desempeño
CM M$</t>
  </si>
  <si>
    <t xml:space="preserve">% </t>
  </si>
  <si>
    <t>CONVENIO MARCO 2016</t>
  </si>
  <si>
    <t>CM 2015</t>
  </si>
  <si>
    <t>Proporción CM 2015</t>
  </si>
  <si>
    <t>40% del 2016</t>
  </si>
  <si>
    <t>40% del 2016
Sin Decimales</t>
  </si>
  <si>
    <t>Saldo por transferir</t>
  </si>
  <si>
    <t>Adelanto 40% del total 2016 según proporción 2015</t>
  </si>
  <si>
    <t>M$</t>
  </si>
  <si>
    <t>Individual</t>
  </si>
  <si>
    <t>CATEGORIAS UNIVERSIDADES CM-BD-FI 2016</t>
  </si>
  <si>
    <t>Acreditación Programas de Doctorado
(web CNA al 31-dic-2015)</t>
  </si>
  <si>
    <t>N° Conjunto desde 5 años</t>
  </si>
  <si>
    <t>N°
Individual + Cjto &gt;de 4 años</t>
  </si>
  <si>
    <t>Categoría
Individual + Cjto &gt;de 4 años</t>
  </si>
  <si>
    <t>Categoría
Publicaciones  (citables)
2014</t>
  </si>
  <si>
    <t>CATEGORÍA</t>
  </si>
  <si>
    <t>Peso categoría</t>
  </si>
  <si>
    <t>proporción</t>
  </si>
  <si>
    <t>Monto categoría</t>
  </si>
  <si>
    <t>Est.</t>
  </si>
  <si>
    <t xml:space="preserve"> _ 6/26</t>
  </si>
  <si>
    <t xml:space="preserve"> _ 12/26</t>
  </si>
  <si>
    <t xml:space="preserve"> _ 8/26</t>
  </si>
  <si>
    <t>Priv.</t>
  </si>
  <si>
    <t xml:space="preserve"> _ 6/17</t>
  </si>
  <si>
    <t>_ 8/17</t>
  </si>
  <si>
    <t>_ 3/17</t>
  </si>
  <si>
    <t>Total Privada CRUCH</t>
  </si>
  <si>
    <t>Privada</t>
  </si>
  <si>
    <t xml:space="preserve"> _ 2/6</t>
  </si>
  <si>
    <t>_ 4/6</t>
  </si>
  <si>
    <t>Total Privada</t>
  </si>
  <si>
    <t>Categoría</t>
  </si>
  <si>
    <t>b) c) d) k)</t>
  </si>
  <si>
    <t>K)</t>
  </si>
  <si>
    <t>Santiago, junio de 2016</t>
  </si>
  <si>
    <t>RETENCIÓN DE PRIMER AÑO (H)
PREGRADO
PLAN REGULAR
DURACION CARRERA &gt;=8
CONSIDERAR MAT RETENCION</t>
  </si>
  <si>
    <t>TOTAL MAT PhD 2008</t>
  </si>
  <si>
    <t>TOTAL MAT PhD 2009</t>
  </si>
  <si>
    <t>j)(verificado 2008-2009-2010)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</si>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</sst>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-;\-* #,##0.00_-;_-* &quot;-&quot;??_-;_-@_-"/>
    <numFmt numFmtId="165" formatCode="#,##0.0"/>
    <numFmt numFmtId="166" formatCode="0.0%"/>
    <numFmt numFmtId="167" formatCode="0.0000000000_ ;\-0.0000000000\ "/>
    <numFmt numFmtId="168" formatCode="0.0"/>
    <numFmt numFmtId="169" formatCode="0.0_ ;\-0.0\ "/>
    <numFmt numFmtId="170" formatCode="0.00000000000_ ;\-0.00000000000\ "/>
    <numFmt numFmtId="171" formatCode="#,##0.000_ ;\-#,##0.000\ "/>
    <numFmt numFmtId="172" formatCode="#,##0.00_ ;\-#,##0.00\ "/>
    <numFmt numFmtId="173" formatCode="#,##0.0000"/>
    <numFmt numFmtId="174" formatCode="#,##0.0000000"/>
    <numFmt numFmtId="175" formatCode="#,##0.0000_ ;\-#,##0.0000\ 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CC00FF"/>
      <name val="Calibri"/>
      <family val="2"/>
      <scheme val="minor"/>
    </font>
    <font>
      <b/>
      <sz val="12"/>
      <color rgb="FF6600FF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rgb="FFCC00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CC00FF"/>
      <name val="Calibri"/>
      <family val="2"/>
      <scheme val="minor"/>
    </font>
    <font>
      <sz val="8"/>
      <name val="Calibri"/>
      <family val="2"/>
      <scheme val="minor"/>
    </font>
    <font>
      <b/>
      <sz val="15"/>
      <color rgb="FF0000FF"/>
      <name val="Calibri"/>
      <family val="2"/>
      <scheme val="minor"/>
    </font>
    <font>
      <b/>
      <sz val="15"/>
      <color rgb="FFCC00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CC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CC00FF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7A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5"/>
      <name val="Calibri"/>
      <family val="2"/>
      <scheme val="minor"/>
    </font>
    <font>
      <b/>
      <sz val="1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6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3" fontId="5" fillId="0" borderId="1" xfId="0" applyNumberFormat="1" applyFont="1" applyBorder="1"/>
    <xf numFmtId="165" fontId="5" fillId="0" borderId="1" xfId="0" applyNumberFormat="1" applyFont="1" applyBorder="1"/>
    <xf numFmtId="3" fontId="6" fillId="0" borderId="1" xfId="0" applyNumberFormat="1" applyFont="1" applyBorder="1"/>
    <xf numFmtId="165" fontId="6" fillId="0" borderId="1" xfId="0" applyNumberFormat="1" applyFont="1" applyBorder="1"/>
    <xf numFmtId="0" fontId="0" fillId="0" borderId="1" xfId="0" applyFill="1" applyBorder="1"/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6" fillId="2" borderId="1" xfId="0" applyNumberFormat="1" applyFont="1" applyFill="1" applyBorder="1"/>
    <xf numFmtId="165" fontId="5" fillId="2" borderId="1" xfId="0" applyNumberFormat="1" applyFont="1" applyFill="1" applyBorder="1"/>
    <xf numFmtId="165" fontId="5" fillId="3" borderId="1" xfId="0" applyNumberFormat="1" applyFont="1" applyFill="1" applyBorder="1"/>
    <xf numFmtId="165" fontId="6" fillId="3" borderId="1" xfId="0" applyNumberFormat="1" applyFont="1" applyFill="1" applyBorder="1"/>
    <xf numFmtId="0" fontId="5" fillId="5" borderId="1" xfId="0" applyFont="1" applyFill="1" applyBorder="1"/>
    <xf numFmtId="3" fontId="6" fillId="4" borderId="1" xfId="0" applyNumberFormat="1" applyFont="1" applyFill="1" applyBorder="1"/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165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/>
    <xf numFmtId="3" fontId="11" fillId="0" borderId="0" xfId="0" applyNumberFormat="1" applyFont="1" applyFill="1" applyBorder="1"/>
    <xf numFmtId="0" fontId="5" fillId="0" borderId="0" xfId="0" applyFont="1" applyFill="1"/>
    <xf numFmtId="165" fontId="5" fillId="0" borderId="3" xfId="0" applyNumberFormat="1" applyFont="1" applyBorder="1"/>
    <xf numFmtId="165" fontId="6" fillId="0" borderId="3" xfId="0" applyNumberFormat="1" applyFont="1" applyBorder="1"/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15" fillId="0" borderId="7" xfId="0" applyFont="1" applyFill="1" applyBorder="1"/>
    <xf numFmtId="9" fontId="5" fillId="0" borderId="10" xfId="1" applyFont="1" applyFill="1" applyBorder="1"/>
    <xf numFmtId="0" fontId="5" fillId="0" borderId="11" xfId="0" applyFont="1" applyBorder="1"/>
    <xf numFmtId="0" fontId="5" fillId="0" borderId="5" xfId="0" applyFont="1" applyBorder="1"/>
    <xf numFmtId="3" fontId="5" fillId="0" borderId="7" xfId="0" applyNumberFormat="1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6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165" fontId="6" fillId="0" borderId="10" xfId="0" applyNumberFormat="1" applyFont="1" applyBorder="1"/>
    <xf numFmtId="0" fontId="6" fillId="0" borderId="9" xfId="0" applyFont="1" applyBorder="1"/>
    <xf numFmtId="165" fontId="6" fillId="4" borderId="1" xfId="0" applyNumberFormat="1" applyFont="1" applyFill="1" applyBorder="1"/>
    <xf numFmtId="0" fontId="5" fillId="0" borderId="4" xfId="0" applyFont="1" applyFill="1" applyBorder="1"/>
    <xf numFmtId="0" fontId="5" fillId="0" borderId="8" xfId="0" applyFont="1" applyFill="1" applyBorder="1"/>
    <xf numFmtId="3" fontId="5" fillId="0" borderId="9" xfId="0" applyNumberFormat="1" applyFont="1" applyFill="1" applyBorder="1"/>
    <xf numFmtId="0" fontId="8" fillId="0" borderId="0" xfId="0" applyFont="1"/>
    <xf numFmtId="9" fontId="5" fillId="0" borderId="0" xfId="1" applyFont="1"/>
    <xf numFmtId="14" fontId="0" fillId="0" borderId="0" xfId="0" applyNumberFormat="1" applyAlignment="1">
      <alignment horizontal="left"/>
    </xf>
    <xf numFmtId="165" fontId="5" fillId="7" borderId="1" xfId="0" applyNumberFormat="1" applyFont="1" applyFill="1" applyBorder="1"/>
    <xf numFmtId="165" fontId="6" fillId="7" borderId="1" xfId="0" applyNumberFormat="1" applyFont="1" applyFill="1" applyBorder="1"/>
    <xf numFmtId="3" fontId="6" fillId="0" borderId="1" xfId="0" applyNumberFormat="1" applyFont="1" applyFill="1" applyBorder="1"/>
    <xf numFmtId="166" fontId="5" fillId="0" borderId="1" xfId="1" applyNumberFormat="1" applyFont="1" applyBorder="1"/>
    <xf numFmtId="0" fontId="5" fillId="0" borderId="1" xfId="0" applyFont="1" applyBorder="1"/>
    <xf numFmtId="0" fontId="10" fillId="0" borderId="0" xfId="4" applyFont="1"/>
    <xf numFmtId="0" fontId="10" fillId="0" borderId="0" xfId="4" applyFont="1" applyAlignment="1">
      <alignment horizontal="center"/>
    </xf>
    <xf numFmtId="0" fontId="10" fillId="0" borderId="0" xfId="4" applyFont="1" applyFill="1"/>
    <xf numFmtId="0" fontId="17" fillId="0" borderId="0" xfId="4" applyFont="1" applyFill="1"/>
    <xf numFmtId="0" fontId="18" fillId="0" borderId="0" xfId="4" applyFont="1" applyFill="1"/>
    <xf numFmtId="0" fontId="12" fillId="0" borderId="0" xfId="4" applyFont="1"/>
    <xf numFmtId="0" fontId="12" fillId="0" borderId="0" xfId="4" applyFont="1" applyAlignment="1">
      <alignment horizontal="center"/>
    </xf>
    <xf numFmtId="0" fontId="12" fillId="0" borderId="0" xfId="4" applyFont="1" applyFill="1"/>
    <xf numFmtId="0" fontId="20" fillId="0" borderId="0" xfId="4" applyFont="1" applyFill="1" applyAlignment="1">
      <alignment horizontal="center"/>
    </xf>
    <xf numFmtId="0" fontId="21" fillId="0" borderId="0" xfId="4" applyFont="1" applyFill="1"/>
    <xf numFmtId="0" fontId="22" fillId="0" borderId="0" xfId="4" applyFont="1" applyAlignment="1">
      <alignment vertical="center"/>
    </xf>
    <xf numFmtId="0" fontId="24" fillId="0" borderId="0" xfId="4" applyFont="1" applyFill="1" applyAlignment="1">
      <alignment horizontal="center" vertical="center" wrapText="1"/>
    </xf>
    <xf numFmtId="167" fontId="25" fillId="0" borderId="0" xfId="4" applyNumberFormat="1" applyFont="1" applyFill="1" applyAlignment="1">
      <alignment horizontal="center" vertical="center"/>
    </xf>
    <xf numFmtId="0" fontId="23" fillId="0" borderId="0" xfId="4" applyFont="1" applyFill="1" applyAlignment="1">
      <alignment horizontal="center" vertical="center" wrapText="1"/>
    </xf>
    <xf numFmtId="167" fontId="26" fillId="0" borderId="0" xfId="4" applyNumberFormat="1" applyFont="1" applyFill="1" applyAlignment="1">
      <alignment horizontal="center" vertical="center"/>
    </xf>
    <xf numFmtId="3" fontId="27" fillId="0" borderId="0" xfId="4" applyNumberFormat="1" applyFont="1" applyFill="1" applyAlignment="1">
      <alignment horizontal="center" vertical="center" wrapText="1"/>
    </xf>
    <xf numFmtId="0" fontId="28" fillId="0" borderId="0" xfId="4" applyFont="1" applyFill="1" applyAlignment="1">
      <alignment horizontal="center" vertical="center" wrapText="1"/>
    </xf>
    <xf numFmtId="0" fontId="29" fillId="0" borderId="0" xfId="4" applyFont="1" applyFill="1" applyAlignment="1">
      <alignment horizontal="center" vertical="center" wrapText="1"/>
    </xf>
    <xf numFmtId="0" fontId="16" fillId="0" borderId="0" xfId="4" applyFont="1" applyFill="1" applyAlignment="1">
      <alignment horizontal="center" vertical="center"/>
    </xf>
    <xf numFmtId="0" fontId="16" fillId="0" borderId="5" xfId="4" applyFont="1" applyBorder="1" applyAlignment="1">
      <alignment horizontal="center" vertical="center"/>
    </xf>
    <xf numFmtId="0" fontId="31" fillId="0" borderId="0" xfId="4" applyFont="1" applyFill="1" applyAlignment="1">
      <alignment horizontal="center" vertical="center"/>
    </xf>
    <xf numFmtId="0" fontId="32" fillId="0" borderId="0" xfId="4" applyFont="1" applyFill="1" applyAlignment="1">
      <alignment horizontal="center" vertical="center"/>
    </xf>
    <xf numFmtId="0" fontId="9" fillId="0" borderId="1" xfId="4" applyFont="1" applyFill="1" applyBorder="1" applyAlignment="1">
      <alignment horizontal="center" vertical="top" wrapText="1"/>
    </xf>
    <xf numFmtId="0" fontId="33" fillId="0" borderId="1" xfId="4" applyFont="1" applyFill="1" applyBorder="1" applyAlignment="1">
      <alignment horizontal="center" vertical="top" wrapText="1"/>
    </xf>
    <xf numFmtId="0" fontId="34" fillId="0" borderId="1" xfId="4" applyFont="1" applyFill="1" applyBorder="1" applyAlignment="1">
      <alignment horizontal="center" vertical="top" wrapText="1"/>
    </xf>
    <xf numFmtId="0" fontId="10" fillId="11" borderId="1" xfId="4" applyFont="1" applyFill="1" applyBorder="1"/>
    <xf numFmtId="0" fontId="10" fillId="11" borderId="1" xfId="4" applyFont="1" applyFill="1" applyBorder="1" applyAlignment="1">
      <alignment horizontal="center"/>
    </xf>
    <xf numFmtId="167" fontId="10" fillId="8" borderId="1" xfId="8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165" fontId="36" fillId="15" borderId="1" xfId="0" applyNumberFormat="1" applyFont="1" applyFill="1" applyBorder="1"/>
    <xf numFmtId="0" fontId="36" fillId="15" borderId="1" xfId="0" applyFont="1" applyFill="1" applyBorder="1" applyAlignment="1">
      <alignment horizontal="center" vertical="center" wrapText="1"/>
    </xf>
    <xf numFmtId="173" fontId="36" fillId="15" borderId="1" xfId="0" applyNumberFormat="1" applyFont="1" applyFill="1" applyBorder="1"/>
    <xf numFmtId="0" fontId="36" fillId="15" borderId="1" xfId="0" applyFont="1" applyFill="1" applyBorder="1" applyAlignment="1">
      <alignment vertical="center" wrapText="1"/>
    </xf>
    <xf numFmtId="0" fontId="7" fillId="14" borderId="1" xfId="0" applyFont="1" applyFill="1" applyBorder="1" applyAlignment="1">
      <alignment horizontal="center" vertical="center" wrapText="1"/>
    </xf>
    <xf numFmtId="165" fontId="7" fillId="14" borderId="1" xfId="0" applyNumberFormat="1" applyFont="1" applyFill="1" applyBorder="1"/>
    <xf numFmtId="4" fontId="7" fillId="14" borderId="1" xfId="0" applyNumberFormat="1" applyFont="1" applyFill="1" applyBorder="1"/>
    <xf numFmtId="4" fontId="5" fillId="0" borderId="1" xfId="0" applyNumberFormat="1" applyFont="1" applyBorder="1"/>
    <xf numFmtId="4" fontId="6" fillId="0" borderId="1" xfId="0" applyNumberFormat="1" applyFont="1" applyBorder="1"/>
    <xf numFmtId="0" fontId="6" fillId="0" borderId="1" xfId="0" applyFont="1" applyFill="1" applyBorder="1" applyAlignment="1">
      <alignment vertical="center" wrapText="1"/>
    </xf>
    <xf numFmtId="174" fontId="36" fillId="15" borderId="1" xfId="0" applyNumberFormat="1" applyFont="1" applyFill="1" applyBorder="1"/>
    <xf numFmtId="9" fontId="5" fillId="0" borderId="0" xfId="0" applyNumberFormat="1" applyFont="1"/>
    <xf numFmtId="0" fontId="6" fillId="0" borderId="2" xfId="0" applyFont="1" applyBorder="1" applyAlignment="1">
      <alignment horizontal="center" vertical="center"/>
    </xf>
    <xf numFmtId="9" fontId="5" fillId="0" borderId="0" xfId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2" fontId="16" fillId="0" borderId="0" xfId="4" applyNumberFormat="1" applyFont="1" applyFill="1" applyAlignment="1">
      <alignment horizontal="center" vertical="center"/>
    </xf>
    <xf numFmtId="165" fontId="19" fillId="0" borderId="0" xfId="4" applyNumberFormat="1" applyFont="1" applyFill="1" applyAlignment="1">
      <alignment horizontal="center" vertical="center"/>
    </xf>
    <xf numFmtId="165" fontId="21" fillId="0" borderId="0" xfId="4" applyNumberFormat="1" applyFont="1" applyFill="1"/>
    <xf numFmtId="165" fontId="16" fillId="0" borderId="0" xfId="4" applyNumberFormat="1" applyFont="1" applyFill="1" applyAlignment="1">
      <alignment horizontal="center" vertical="center"/>
    </xf>
    <xf numFmtId="172" fontId="10" fillId="0" borderId="0" xfId="4" applyNumberFormat="1" applyFont="1" applyFill="1"/>
    <xf numFmtId="0" fontId="9" fillId="6" borderId="1" xfId="4" applyFont="1" applyFill="1" applyBorder="1" applyAlignment="1">
      <alignment horizontal="center" vertical="top" wrapText="1"/>
    </xf>
    <xf numFmtId="0" fontId="16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7" fillId="0" borderId="0" xfId="0" applyFont="1"/>
    <xf numFmtId="165" fontId="5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1" xfId="4" applyFont="1" applyFill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8" borderId="1" xfId="0" applyFont="1" applyFill="1" applyBorder="1"/>
    <xf numFmtId="0" fontId="10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/>
    </xf>
    <xf numFmtId="0" fontId="41" fillId="8" borderId="1" xfId="0" applyFont="1" applyFill="1" applyBorder="1" applyAlignment="1">
      <alignment horizontal="center"/>
    </xf>
    <xf numFmtId="3" fontId="5" fillId="8" borderId="1" xfId="0" applyNumberFormat="1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5" fillId="11" borderId="1" xfId="0" applyFont="1" applyFill="1" applyBorder="1"/>
    <xf numFmtId="0" fontId="10" fillId="11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horizontal="center"/>
    </xf>
    <xf numFmtId="0" fontId="41" fillId="11" borderId="1" xfId="0" applyFont="1" applyFill="1" applyBorder="1" applyAlignment="1">
      <alignment horizontal="center"/>
    </xf>
    <xf numFmtId="3" fontId="5" fillId="11" borderId="1" xfId="0" applyNumberFormat="1" applyFont="1" applyFill="1" applyBorder="1" applyAlignment="1">
      <alignment horizontal="center"/>
    </xf>
    <xf numFmtId="0" fontId="25" fillId="11" borderId="1" xfId="0" applyFont="1" applyFill="1" applyBorder="1" applyAlignment="1">
      <alignment horizontal="center"/>
    </xf>
    <xf numFmtId="0" fontId="5" fillId="7" borderId="1" xfId="0" applyFont="1" applyFill="1" applyBorder="1"/>
    <xf numFmtId="0" fontId="10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/>
    </xf>
    <xf numFmtId="0" fontId="41" fillId="7" borderId="1" xfId="0" applyFont="1" applyFill="1" applyBorder="1" applyAlignment="1">
      <alignment horizontal="center"/>
    </xf>
    <xf numFmtId="3" fontId="5" fillId="7" borderId="1" xfId="0" applyNumberFormat="1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5" fontId="14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5" fillId="9" borderId="1" xfId="0" applyFont="1" applyFill="1" applyBorder="1"/>
    <xf numFmtId="0" fontId="10" fillId="9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/>
    </xf>
    <xf numFmtId="0" fontId="41" fillId="9" borderId="1" xfId="0" applyFont="1" applyFill="1" applyBorder="1" applyAlignment="1">
      <alignment horizontal="center"/>
    </xf>
    <xf numFmtId="3" fontId="5" fillId="9" borderId="1" xfId="0" applyNumberFormat="1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/>
    </xf>
    <xf numFmtId="0" fontId="5" fillId="10" borderId="1" xfId="0" applyFont="1" applyFill="1" applyBorder="1"/>
    <xf numFmtId="0" fontId="10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center"/>
    </xf>
    <xf numFmtId="0" fontId="41" fillId="10" borderId="1" xfId="0" applyFont="1" applyFill="1" applyBorder="1" applyAlignment="1">
      <alignment horizontal="center"/>
    </xf>
    <xf numFmtId="3" fontId="5" fillId="10" borderId="1" xfId="0" applyNumberFormat="1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/>
    </xf>
    <xf numFmtId="0" fontId="5" fillId="12" borderId="1" xfId="0" applyFont="1" applyFill="1" applyBorder="1"/>
    <xf numFmtId="0" fontId="10" fillId="12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horizontal="center"/>
    </xf>
    <xf numFmtId="0" fontId="41" fillId="12" borderId="1" xfId="0" applyFont="1" applyFill="1" applyBorder="1" applyAlignment="1">
      <alignment horizontal="center"/>
    </xf>
    <xf numFmtId="3" fontId="5" fillId="12" borderId="1" xfId="0" applyNumberFormat="1" applyFont="1" applyFill="1" applyBorder="1" applyAlignment="1">
      <alignment horizontal="center"/>
    </xf>
    <xf numFmtId="0" fontId="25" fillId="12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3" fontId="42" fillId="0" borderId="1" xfId="0" applyNumberFormat="1" applyFont="1" applyFill="1" applyBorder="1" applyAlignment="1">
      <alignment horizontal="center"/>
    </xf>
    <xf numFmtId="0" fontId="5" fillId="13" borderId="1" xfId="0" applyFont="1" applyFill="1" applyBorder="1"/>
    <xf numFmtId="0" fontId="10" fillId="13" borderId="1" xfId="0" applyFont="1" applyFill="1" applyBorder="1" applyAlignment="1">
      <alignment vertical="center"/>
    </xf>
    <xf numFmtId="0" fontId="5" fillId="13" borderId="1" xfId="0" applyFont="1" applyFill="1" applyBorder="1" applyAlignment="1">
      <alignment horizontal="center"/>
    </xf>
    <xf numFmtId="3" fontId="5" fillId="13" borderId="1" xfId="0" applyNumberFormat="1" applyFont="1" applyFill="1" applyBorder="1" applyAlignment="1">
      <alignment horizontal="center"/>
    </xf>
    <xf numFmtId="0" fontId="41" fillId="13" borderId="1" xfId="0" applyFont="1" applyFill="1" applyBorder="1" applyAlignment="1">
      <alignment horizontal="center"/>
    </xf>
    <xf numFmtId="0" fontId="25" fillId="13" borderId="1" xfId="0" applyFont="1" applyFill="1" applyBorder="1" applyAlignment="1">
      <alignment horizontal="center"/>
    </xf>
    <xf numFmtId="3" fontId="13" fillId="13" borderId="1" xfId="0" applyNumberFormat="1" applyFont="1" applyFill="1" applyBorder="1" applyAlignment="1">
      <alignment horizontal="right"/>
    </xf>
    <xf numFmtId="165" fontId="5" fillId="13" borderId="1" xfId="0" applyNumberFormat="1" applyFont="1" applyFill="1" applyBorder="1" applyAlignment="1">
      <alignment horizontal="right"/>
    </xf>
    <xf numFmtId="0" fontId="5" fillId="4" borderId="1" xfId="0" applyFont="1" applyFill="1" applyBorder="1"/>
    <xf numFmtId="0" fontId="10" fillId="4" borderId="1" xfId="0" applyFont="1" applyFill="1" applyBorder="1"/>
    <xf numFmtId="0" fontId="5" fillId="4" borderId="1" xfId="0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0" fontId="41" fillId="4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9" fillId="0" borderId="1" xfId="4" applyFont="1" applyFill="1" applyBorder="1" applyAlignment="1">
      <alignment vertical="top"/>
    </xf>
    <xf numFmtId="0" fontId="9" fillId="0" borderId="1" xfId="6" applyFont="1" applyFill="1" applyBorder="1" applyAlignment="1">
      <alignment vertical="top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4" applyFont="1" applyFill="1" applyBorder="1" applyAlignment="1">
      <alignment horizontal="left" vertical="top" wrapText="1"/>
    </xf>
    <xf numFmtId="0" fontId="9" fillId="0" borderId="1" xfId="4" applyNumberFormat="1" applyFont="1" applyFill="1" applyBorder="1" applyAlignment="1">
      <alignment horizontal="center" vertical="top" wrapText="1"/>
    </xf>
    <xf numFmtId="0" fontId="10" fillId="0" borderId="0" xfId="4" applyFont="1" applyFill="1" applyAlignment="1">
      <alignment vertical="top"/>
    </xf>
    <xf numFmtId="165" fontId="43" fillId="0" borderId="0" xfId="4" applyNumberFormat="1" applyFont="1" applyFill="1" applyAlignment="1">
      <alignment horizontal="center" vertical="center"/>
    </xf>
    <xf numFmtId="165" fontId="44" fillId="0" borderId="0" xfId="4" applyNumberFormat="1" applyFont="1" applyFill="1"/>
    <xf numFmtId="165" fontId="30" fillId="0" borderId="0" xfId="4" applyNumberFormat="1" applyFont="1" applyFill="1" applyAlignment="1">
      <alignment horizontal="center" vertical="center"/>
    </xf>
    <xf numFmtId="0" fontId="45" fillId="0" borderId="0" xfId="4" applyFont="1" applyFill="1" applyAlignment="1">
      <alignment horizontal="center" vertical="center"/>
    </xf>
    <xf numFmtId="0" fontId="47" fillId="0" borderId="0" xfId="4" applyFont="1" applyFill="1" applyAlignment="1">
      <alignment horizontal="center" vertical="center"/>
    </xf>
    <xf numFmtId="167" fontId="20" fillId="0" borderId="0" xfId="4" applyNumberFormat="1" applyFont="1" applyFill="1" applyAlignment="1">
      <alignment horizontal="center" vertical="center"/>
    </xf>
    <xf numFmtId="167" fontId="21" fillId="0" borderId="0" xfId="4" applyNumberFormat="1" applyFont="1" applyFill="1" applyAlignment="1">
      <alignment horizontal="center" vertical="center"/>
    </xf>
    <xf numFmtId="4" fontId="48" fillId="0" borderId="0" xfId="4" applyNumberFormat="1" applyFont="1" applyFill="1" applyAlignment="1">
      <alignment horizontal="center" vertical="center"/>
    </xf>
    <xf numFmtId="3" fontId="49" fillId="0" borderId="0" xfId="4" applyNumberFormat="1" applyFont="1" applyFill="1" applyAlignment="1">
      <alignment horizontal="center" vertical="center" wrapText="1"/>
    </xf>
    <xf numFmtId="165" fontId="45" fillId="0" borderId="0" xfId="4" applyNumberFormat="1" applyFont="1" applyFill="1" applyAlignment="1">
      <alignment horizontal="center" vertical="center"/>
    </xf>
    <xf numFmtId="0" fontId="50" fillId="0" borderId="0" xfId="4" applyFont="1" applyFill="1" applyBorder="1" applyAlignment="1">
      <alignment horizontal="center" vertical="center"/>
    </xf>
    <xf numFmtId="0" fontId="50" fillId="0" borderId="0" xfId="4" applyFont="1" applyFill="1" applyAlignment="1">
      <alignment horizontal="center" vertical="center" wrapText="1"/>
    </xf>
    <xf numFmtId="0" fontId="15" fillId="0" borderId="6" xfId="4" applyFont="1" applyBorder="1" applyAlignment="1">
      <alignment vertical="center"/>
    </xf>
    <xf numFmtId="0" fontId="22" fillId="0" borderId="11" xfId="4" applyFont="1" applyBorder="1" applyAlignment="1">
      <alignment vertical="center"/>
    </xf>
    <xf numFmtId="0" fontId="45" fillId="0" borderId="9" xfId="4" applyFont="1" applyBorder="1" applyAlignment="1">
      <alignment vertical="center"/>
    </xf>
    <xf numFmtId="0" fontId="45" fillId="0" borderId="5" xfId="4" applyFont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0" fontId="36" fillId="0" borderId="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51" fillId="0" borderId="0" xfId="4" applyFont="1" applyFill="1" applyAlignment="1">
      <alignment horizontal="center" vertical="center" wrapText="1"/>
    </xf>
    <xf numFmtId="0" fontId="10" fillId="7" borderId="1" xfId="4" applyFont="1" applyFill="1" applyBorder="1"/>
    <xf numFmtId="0" fontId="10" fillId="7" borderId="1" xfId="4" applyFont="1" applyFill="1" applyBorder="1" applyAlignment="1">
      <alignment horizontal="center"/>
    </xf>
    <xf numFmtId="168" fontId="10" fillId="7" borderId="1" xfId="4" applyNumberFormat="1" applyFont="1" applyFill="1" applyBorder="1" applyAlignment="1">
      <alignment horizontal="center"/>
    </xf>
    <xf numFmtId="169" fontId="10" fillId="7" borderId="1" xfId="4" applyNumberFormat="1" applyFont="1" applyFill="1" applyBorder="1" applyAlignment="1">
      <alignment horizontal="center" vertical="center"/>
    </xf>
    <xf numFmtId="169" fontId="10" fillId="7" borderId="1" xfId="8" applyNumberFormat="1" applyFont="1" applyFill="1" applyBorder="1"/>
    <xf numFmtId="169" fontId="10" fillId="7" borderId="1" xfId="8" applyNumberFormat="1" applyFont="1" applyFill="1" applyBorder="1" applyAlignment="1">
      <alignment horizontal="center"/>
    </xf>
    <xf numFmtId="167" fontId="10" fillId="7" borderId="1" xfId="8" applyNumberFormat="1" applyFont="1" applyFill="1" applyBorder="1" applyAlignment="1">
      <alignment horizontal="center"/>
    </xf>
    <xf numFmtId="170" fontId="17" fillId="7" borderId="1" xfId="8" applyNumberFormat="1" applyFont="1" applyFill="1" applyBorder="1" applyAlignment="1">
      <alignment horizontal="center"/>
    </xf>
    <xf numFmtId="170" fontId="18" fillId="7" borderId="1" xfId="8" applyNumberFormat="1" applyFont="1" applyFill="1" applyBorder="1" applyAlignment="1">
      <alignment horizontal="center"/>
    </xf>
    <xf numFmtId="171" fontId="10" fillId="7" borderId="1" xfId="8" applyNumberFormat="1" applyFont="1" applyFill="1" applyBorder="1" applyAlignment="1">
      <alignment horizontal="center"/>
    </xf>
    <xf numFmtId="172" fontId="10" fillId="7" borderId="1" xfId="8" applyNumberFormat="1" applyFont="1" applyFill="1" applyBorder="1" applyAlignment="1">
      <alignment horizontal="center"/>
    </xf>
    <xf numFmtId="175" fontId="10" fillId="7" borderId="1" xfId="8" applyNumberFormat="1" applyFont="1" applyFill="1" applyBorder="1" applyAlignment="1">
      <alignment horizontal="center"/>
    </xf>
    <xf numFmtId="0" fontId="10" fillId="8" borderId="1" xfId="4" applyFont="1" applyFill="1" applyBorder="1"/>
    <xf numFmtId="0" fontId="10" fillId="8" borderId="1" xfId="4" applyFont="1" applyFill="1" applyBorder="1" applyAlignment="1">
      <alignment horizontal="center"/>
    </xf>
    <xf numFmtId="168" fontId="10" fillId="8" borderId="1" xfId="4" applyNumberFormat="1" applyFont="1" applyFill="1" applyBorder="1" applyAlignment="1">
      <alignment horizontal="center"/>
    </xf>
    <xf numFmtId="169" fontId="10" fillId="8" borderId="1" xfId="4" applyNumberFormat="1" applyFont="1" applyFill="1" applyBorder="1" applyAlignment="1">
      <alignment horizontal="center" vertical="center"/>
    </xf>
    <xf numFmtId="169" fontId="10" fillId="8" borderId="1" xfId="8" applyNumberFormat="1" applyFont="1" applyFill="1" applyBorder="1"/>
    <xf numFmtId="169" fontId="10" fillId="8" borderId="1" xfId="8" applyNumberFormat="1" applyFont="1" applyFill="1" applyBorder="1" applyAlignment="1">
      <alignment horizontal="center"/>
    </xf>
    <xf numFmtId="170" fontId="17" fillId="8" borderId="1" xfId="8" applyNumberFormat="1" applyFont="1" applyFill="1" applyBorder="1" applyAlignment="1">
      <alignment horizontal="center"/>
    </xf>
    <xf numFmtId="170" fontId="18" fillId="8" borderId="1" xfId="8" applyNumberFormat="1" applyFont="1" applyFill="1" applyBorder="1" applyAlignment="1">
      <alignment horizontal="center"/>
    </xf>
    <xf numFmtId="171" fontId="10" fillId="8" borderId="1" xfId="8" applyNumberFormat="1" applyFont="1" applyFill="1" applyBorder="1" applyAlignment="1">
      <alignment horizontal="center"/>
    </xf>
    <xf numFmtId="172" fontId="10" fillId="8" borderId="1" xfId="8" applyNumberFormat="1" applyFont="1" applyFill="1" applyBorder="1" applyAlignment="1">
      <alignment horizontal="center"/>
    </xf>
    <xf numFmtId="175" fontId="10" fillId="8" borderId="1" xfId="8" applyNumberFormat="1" applyFont="1" applyFill="1" applyBorder="1" applyAlignment="1">
      <alignment horizontal="center"/>
    </xf>
    <xf numFmtId="172" fontId="35" fillId="7" borderId="1" xfId="8" applyNumberFormat="1" applyFont="1" applyFill="1" applyBorder="1" applyAlignment="1">
      <alignment horizontal="center"/>
    </xf>
    <xf numFmtId="168" fontId="10" fillId="11" borderId="1" xfId="4" applyNumberFormat="1" applyFont="1" applyFill="1" applyBorder="1" applyAlignment="1">
      <alignment horizontal="center"/>
    </xf>
    <xf numFmtId="169" fontId="10" fillId="11" borderId="1" xfId="4" applyNumberFormat="1" applyFont="1" applyFill="1" applyBorder="1" applyAlignment="1">
      <alignment horizontal="center" vertical="center"/>
    </xf>
    <xf numFmtId="169" fontId="10" fillId="11" borderId="1" xfId="8" applyNumberFormat="1" applyFont="1" applyFill="1" applyBorder="1"/>
    <xf numFmtId="169" fontId="10" fillId="11" borderId="1" xfId="8" applyNumberFormat="1" applyFont="1" applyFill="1" applyBorder="1" applyAlignment="1">
      <alignment horizontal="center"/>
    </xf>
    <xf numFmtId="167" fontId="10" fillId="11" borderId="1" xfId="8" applyNumberFormat="1" applyFont="1" applyFill="1" applyBorder="1" applyAlignment="1">
      <alignment horizontal="center"/>
    </xf>
    <xf numFmtId="170" fontId="17" fillId="11" borderId="1" xfId="8" applyNumberFormat="1" applyFont="1" applyFill="1" applyBorder="1" applyAlignment="1">
      <alignment horizontal="center"/>
    </xf>
    <xf numFmtId="170" fontId="18" fillId="11" borderId="1" xfId="8" applyNumberFormat="1" applyFont="1" applyFill="1" applyBorder="1" applyAlignment="1">
      <alignment horizontal="center"/>
    </xf>
    <xf numFmtId="171" fontId="10" fillId="11" borderId="1" xfId="8" applyNumberFormat="1" applyFont="1" applyFill="1" applyBorder="1" applyAlignment="1">
      <alignment horizontal="center"/>
    </xf>
    <xf numFmtId="172" fontId="10" fillId="11" borderId="1" xfId="8" applyNumberFormat="1" applyFont="1" applyFill="1" applyBorder="1" applyAlignment="1">
      <alignment horizontal="center"/>
    </xf>
    <xf numFmtId="175" fontId="10" fillId="11" borderId="1" xfId="8" applyNumberFormat="1" applyFont="1" applyFill="1" applyBorder="1" applyAlignment="1">
      <alignment horizontal="center"/>
    </xf>
    <xf numFmtId="172" fontId="35" fillId="11" borderId="1" xfId="8" applyNumberFormat="1" applyFont="1" applyFill="1" applyBorder="1" applyAlignment="1">
      <alignment horizontal="center"/>
    </xf>
    <xf numFmtId="167" fontId="27" fillId="11" borderId="1" xfId="8" applyNumberFormat="1" applyFont="1" applyFill="1" applyBorder="1" applyAlignment="1">
      <alignment horizontal="center"/>
    </xf>
    <xf numFmtId="167" fontId="27" fillId="7" borderId="1" xfId="8" applyNumberFormat="1" applyFont="1" applyFill="1" applyBorder="1" applyAlignment="1">
      <alignment horizontal="center"/>
    </xf>
    <xf numFmtId="167" fontId="17" fillId="7" borderId="1" xfId="8" applyNumberFormat="1" applyFont="1" applyFill="1" applyBorder="1" applyAlignment="1">
      <alignment horizontal="center"/>
    </xf>
    <xf numFmtId="0" fontId="22" fillId="0" borderId="0" xfId="4" applyFont="1" applyFill="1" applyAlignment="1">
      <alignment vertical="center"/>
    </xf>
    <xf numFmtId="0" fontId="45" fillId="0" borderId="0" xfId="4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5" fillId="0" borderId="0" xfId="0" applyFont="1" applyBorder="1"/>
    <xf numFmtId="165" fontId="6" fillId="0" borderId="0" xfId="0" applyNumberFormat="1" applyFont="1" applyBorder="1"/>
    <xf numFmtId="9" fontId="6" fillId="3" borderId="1" xfId="1" applyFont="1" applyFill="1" applyBorder="1"/>
    <xf numFmtId="166" fontId="5" fillId="3" borderId="1" xfId="1" applyNumberFormat="1" applyFont="1" applyFill="1" applyBorder="1"/>
    <xf numFmtId="9" fontId="6" fillId="7" borderId="1" xfId="1" applyFont="1" applyFill="1" applyBorder="1"/>
    <xf numFmtId="166" fontId="5" fillId="7" borderId="1" xfId="1" applyNumberFormat="1" applyFont="1" applyFill="1" applyBorder="1"/>
    <xf numFmtId="166" fontId="5" fillId="0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0" fillId="0" borderId="1" xfId="4" applyFont="1" applyFill="1" applyBorder="1" applyAlignment="1">
      <alignment horizontal="center" vertical="center"/>
    </xf>
    <xf numFmtId="0" fontId="46" fillId="0" borderId="1" xfId="4" applyFont="1" applyFill="1" applyBorder="1" applyAlignment="1">
      <alignment horizontal="center" vertical="center" wrapText="1"/>
    </xf>
    <xf numFmtId="0" fontId="50" fillId="0" borderId="1" xfId="4" applyFont="1" applyFill="1" applyBorder="1" applyAlignment="1">
      <alignment horizontal="center" vertical="center" wrapText="1"/>
    </xf>
    <xf numFmtId="17" fontId="16" fillId="0" borderId="0" xfId="4" applyNumberFormat="1" applyFont="1" applyFill="1" applyAlignment="1">
      <alignment horizontal="left" vertical="center"/>
    </xf>
    <xf numFmtId="0" fontId="46" fillId="0" borderId="3" xfId="4" applyFont="1" applyFill="1" applyBorder="1" applyAlignment="1">
      <alignment horizontal="center" vertical="center" wrapText="1"/>
    </xf>
    <xf numFmtId="0" fontId="46" fillId="0" borderId="15" xfId="4" applyFont="1" applyFill="1" applyBorder="1" applyAlignment="1">
      <alignment horizontal="center" vertical="center" wrapText="1"/>
    </xf>
    <xf numFmtId="0" fontId="46" fillId="0" borderId="14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3" fontId="14" fillId="8" borderId="12" xfId="0" applyNumberFormat="1" applyFont="1" applyFill="1" applyBorder="1" applyAlignment="1">
      <alignment horizontal="right" vertical="center"/>
    </xf>
    <xf numFmtId="13" fontId="14" fillId="8" borderId="2" xfId="0" applyNumberFormat="1" applyFont="1" applyFill="1" applyBorder="1" applyAlignment="1">
      <alignment horizontal="right" vertical="center"/>
    </xf>
    <xf numFmtId="165" fontId="5" fillId="8" borderId="12" xfId="0" applyNumberFormat="1" applyFont="1" applyFill="1" applyBorder="1" applyAlignment="1">
      <alignment horizontal="right" vertical="center"/>
    </xf>
    <xf numFmtId="165" fontId="5" fillId="8" borderId="2" xfId="0" applyNumberFormat="1" applyFont="1" applyFill="1" applyBorder="1" applyAlignment="1">
      <alignment horizontal="right" vertical="center"/>
    </xf>
    <xf numFmtId="165" fontId="14" fillId="11" borderId="12" xfId="0" applyNumberFormat="1" applyFont="1" applyFill="1" applyBorder="1" applyAlignment="1">
      <alignment horizontal="right" vertical="center"/>
    </xf>
    <xf numFmtId="165" fontId="14" fillId="11" borderId="13" xfId="0" applyNumberFormat="1" applyFont="1" applyFill="1" applyBorder="1" applyAlignment="1">
      <alignment horizontal="right" vertical="center"/>
    </xf>
    <xf numFmtId="165" fontId="14" fillId="11" borderId="2" xfId="0" applyNumberFormat="1" applyFont="1" applyFill="1" applyBorder="1" applyAlignment="1">
      <alignment horizontal="right" vertical="center"/>
    </xf>
    <xf numFmtId="165" fontId="5" fillId="11" borderId="12" xfId="0" applyNumberFormat="1" applyFont="1" applyFill="1" applyBorder="1" applyAlignment="1">
      <alignment horizontal="right" vertical="center"/>
    </xf>
    <xf numFmtId="165" fontId="5" fillId="11" borderId="13" xfId="0" applyNumberFormat="1" applyFont="1" applyFill="1" applyBorder="1" applyAlignment="1">
      <alignment horizontal="right" vertical="center"/>
    </xf>
    <xf numFmtId="165" fontId="5" fillId="11" borderId="2" xfId="0" applyNumberFormat="1" applyFont="1" applyFill="1" applyBorder="1" applyAlignment="1">
      <alignment horizontal="right" vertical="center"/>
    </xf>
    <xf numFmtId="165" fontId="14" fillId="7" borderId="12" xfId="0" applyNumberFormat="1" applyFont="1" applyFill="1" applyBorder="1" applyAlignment="1">
      <alignment horizontal="right" vertical="center"/>
    </xf>
    <xf numFmtId="165" fontId="14" fillId="7" borderId="13" xfId="0" applyNumberFormat="1" applyFont="1" applyFill="1" applyBorder="1" applyAlignment="1">
      <alignment horizontal="right" vertical="center"/>
    </xf>
    <xf numFmtId="165" fontId="14" fillId="7" borderId="2" xfId="0" applyNumberFormat="1" applyFont="1" applyFill="1" applyBorder="1" applyAlignment="1">
      <alignment horizontal="right" vertical="center"/>
    </xf>
    <xf numFmtId="165" fontId="5" fillId="7" borderId="12" xfId="0" applyNumberFormat="1" applyFont="1" applyFill="1" applyBorder="1" applyAlignment="1">
      <alignment horizontal="right" vertical="center"/>
    </xf>
    <xf numFmtId="165" fontId="5" fillId="7" borderId="13" xfId="0" applyNumberFormat="1" applyFont="1" applyFill="1" applyBorder="1" applyAlignment="1">
      <alignment horizontal="right" vertical="center"/>
    </xf>
    <xf numFmtId="165" fontId="5" fillId="7" borderId="2" xfId="0" applyNumberFormat="1" applyFont="1" applyFill="1" applyBorder="1" applyAlignment="1">
      <alignment horizontal="right" vertical="center"/>
    </xf>
    <xf numFmtId="3" fontId="13" fillId="9" borderId="1" xfId="0" applyNumberFormat="1" applyFont="1" applyFill="1" applyBorder="1" applyAlignment="1">
      <alignment horizontal="right" vertical="center"/>
    </xf>
    <xf numFmtId="165" fontId="5" fillId="9" borderId="1" xfId="0" applyNumberFormat="1" applyFont="1" applyFill="1" applyBorder="1" applyAlignment="1">
      <alignment horizontal="right" vertical="center"/>
    </xf>
    <xf numFmtId="3" fontId="13" fillId="4" borderId="1" xfId="0" applyNumberFormat="1" applyFont="1" applyFill="1" applyBorder="1" applyAlignment="1">
      <alignment horizontal="right" vertical="center"/>
    </xf>
    <xf numFmtId="165" fontId="5" fillId="4" borderId="1" xfId="0" applyNumberFormat="1" applyFont="1" applyFill="1" applyBorder="1" applyAlignment="1">
      <alignment horizontal="right" vertical="center"/>
    </xf>
    <xf numFmtId="3" fontId="13" fillId="10" borderId="1" xfId="0" applyNumberFormat="1" applyFont="1" applyFill="1" applyBorder="1" applyAlignment="1">
      <alignment horizontal="right" vertical="center"/>
    </xf>
    <xf numFmtId="165" fontId="5" fillId="10" borderId="1" xfId="0" applyNumberFormat="1" applyFont="1" applyFill="1" applyBorder="1" applyAlignment="1">
      <alignment horizontal="right" vertical="center"/>
    </xf>
    <xf numFmtId="3" fontId="13" fillId="12" borderId="1" xfId="0" applyNumberFormat="1" applyFont="1" applyFill="1" applyBorder="1" applyAlignment="1">
      <alignment horizontal="right" vertical="center"/>
    </xf>
    <xf numFmtId="165" fontId="5" fillId="12" borderId="1" xfId="0" applyNumberFormat="1" applyFont="1" applyFill="1" applyBorder="1" applyAlignment="1">
      <alignment horizontal="right" vertical="center"/>
    </xf>
  </cellXfs>
  <cellStyles count="10">
    <cellStyle name="Millares 2" xfId="3"/>
    <cellStyle name="Millares 2 2" xfId="8"/>
    <cellStyle name="Normal" xfId="0" builtinId="0"/>
    <cellStyle name="Normal 2" xfId="4"/>
    <cellStyle name="Normal 2 2" xfId="6"/>
    <cellStyle name="Normal 3" xfId="2"/>
    <cellStyle name="Normal 3 2" xfId="5"/>
    <cellStyle name="Porcentaje" xfId="1" builtinId="5"/>
    <cellStyle name="Porcentaje 2" xfId="7"/>
    <cellStyle name="Porcentaje 2 2" xfId="9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0"/>
  <sheetViews>
    <sheetView tabSelected="1" zoomScale="90" zoomScaleNormal="90" workbookViewId="0">
      <selection activeCell="C3" sqref="C3"/>
    </sheetView>
  </sheetViews>
  <sheetFormatPr baseColWidth="10" defaultRowHeight="15" x14ac:dyDescent="0.25"/>
  <cols>
    <col min="1" max="1" width="7" customWidth="1"/>
    <col min="2" max="2" width="8.85546875" bestFit="1" customWidth="1"/>
    <col min="3" max="3" width="24.7109375" bestFit="1" customWidth="1"/>
    <col min="4" max="4" width="8.85546875" style="3" bestFit="1" customWidth="1"/>
    <col min="5" max="6" width="10.85546875" style="3" bestFit="1" customWidth="1"/>
    <col min="7" max="7" width="11.42578125" style="3"/>
    <col min="8" max="8" width="12" style="3" customWidth="1"/>
    <col min="9" max="9" width="11" style="3" customWidth="1"/>
    <col min="10" max="10" width="11.85546875" style="3" customWidth="1"/>
    <col min="11" max="11" width="10.42578125" style="3" customWidth="1"/>
    <col min="12" max="12" width="11.42578125" style="3"/>
    <col min="13" max="13" width="12.85546875" style="3" customWidth="1"/>
    <col min="14" max="14" width="6.28515625" style="3" bestFit="1" customWidth="1"/>
    <col min="15" max="15" width="1" style="3" customWidth="1"/>
    <col min="16" max="16" width="11.42578125" style="3"/>
    <col min="17" max="17" width="5.85546875" style="3" bestFit="1" customWidth="1"/>
    <col min="18" max="18" width="1" style="3" customWidth="1"/>
    <col min="19" max="19" width="11.140625" style="3" customWidth="1"/>
    <col min="20" max="20" width="11.5703125" style="3" customWidth="1"/>
    <col min="21" max="21" width="10.140625" style="3" customWidth="1"/>
    <col min="22" max="22" width="11.42578125" style="3"/>
    <col min="23" max="23" width="1" style="26" customWidth="1"/>
    <col min="24" max="24" width="10.42578125" style="26" bestFit="1" customWidth="1"/>
    <col min="25" max="25" width="11.42578125" style="3"/>
    <col min="26" max="26" width="5.7109375" style="3" bestFit="1" customWidth="1"/>
    <col min="27" max="27" width="1" style="3" customWidth="1"/>
    <col min="28" max="29" width="11.42578125" style="3"/>
    <col min="30" max="31" width="13.7109375" style="3" bestFit="1" customWidth="1"/>
    <col min="32" max="32" width="1" style="3" customWidth="1"/>
    <col min="33" max="33" width="10.140625" style="3" bestFit="1" customWidth="1"/>
    <col min="34" max="34" width="12.28515625" style="3" bestFit="1" customWidth="1"/>
    <col min="35" max="35" width="11.42578125" style="85"/>
    <col min="36" max="46" width="11.42578125" style="3"/>
  </cols>
  <sheetData>
    <row r="1" spans="1:35" ht="18.75" x14ac:dyDescent="0.3">
      <c r="C1" s="49" t="s">
        <v>143</v>
      </c>
    </row>
    <row r="2" spans="1:35" x14ac:dyDescent="0.25">
      <c r="C2" s="1" t="s">
        <v>145</v>
      </c>
    </row>
    <row r="3" spans="1:35" x14ac:dyDescent="0.25">
      <c r="C3" s="51"/>
    </row>
    <row r="4" spans="1:35" x14ac:dyDescent="0.25">
      <c r="A4" s="51"/>
      <c r="B4" s="51"/>
    </row>
    <row r="5" spans="1:35" ht="15" customHeight="1" x14ac:dyDescent="0.25">
      <c r="A5" s="1" t="s">
        <v>144</v>
      </c>
      <c r="B5" s="1"/>
      <c r="I5" s="268" t="s">
        <v>113</v>
      </c>
      <c r="J5" s="268"/>
      <c r="K5" s="268"/>
      <c r="L5" s="268"/>
      <c r="M5" s="268"/>
      <c r="P5" s="269" t="s">
        <v>114</v>
      </c>
      <c r="S5" s="271" t="s">
        <v>136</v>
      </c>
      <c r="T5" s="271"/>
      <c r="U5" s="271"/>
      <c r="V5" s="271"/>
      <c r="W5" s="22"/>
      <c r="X5" s="272" t="s">
        <v>216</v>
      </c>
      <c r="Y5" s="273"/>
      <c r="Z5" s="274"/>
      <c r="AB5" s="278" t="s">
        <v>222</v>
      </c>
      <c r="AC5" s="278"/>
      <c r="AD5" s="278"/>
      <c r="AE5" s="278"/>
      <c r="AG5" s="263" t="s">
        <v>221</v>
      </c>
      <c r="AH5" s="263"/>
    </row>
    <row r="6" spans="1:35" x14ac:dyDescent="0.25">
      <c r="I6" s="29" t="s">
        <v>104</v>
      </c>
      <c r="J6" s="29" t="s">
        <v>105</v>
      </c>
      <c r="K6" s="29" t="s">
        <v>106</v>
      </c>
      <c r="L6" s="29" t="s">
        <v>110</v>
      </c>
      <c r="M6" s="30" t="s">
        <v>112</v>
      </c>
      <c r="P6" s="270"/>
      <c r="S6" s="271"/>
      <c r="T6" s="271"/>
      <c r="U6" s="271"/>
      <c r="V6" s="271"/>
      <c r="W6" s="23"/>
      <c r="X6" s="275"/>
      <c r="Y6" s="276"/>
      <c r="Z6" s="277"/>
      <c r="AB6" s="278"/>
      <c r="AC6" s="278"/>
      <c r="AD6" s="278"/>
      <c r="AE6" s="278"/>
      <c r="AG6" s="263"/>
      <c r="AH6" s="263"/>
    </row>
    <row r="7" spans="1:35" ht="36.75" customHeight="1" x14ac:dyDescent="0.25">
      <c r="D7" s="282" t="s">
        <v>102</v>
      </c>
      <c r="E7" s="282"/>
      <c r="F7" s="282"/>
      <c r="G7" s="263" t="s">
        <v>101</v>
      </c>
      <c r="H7" s="283" t="s">
        <v>103</v>
      </c>
      <c r="I7" s="264" t="s">
        <v>108</v>
      </c>
      <c r="J7" s="264" t="s">
        <v>107</v>
      </c>
      <c r="K7" s="264" t="s">
        <v>111</v>
      </c>
      <c r="L7" s="264" t="s">
        <v>109</v>
      </c>
      <c r="M7" s="265" t="s">
        <v>142</v>
      </c>
      <c r="N7" s="265" t="s">
        <v>256</v>
      </c>
      <c r="P7" s="266" t="s">
        <v>214</v>
      </c>
      <c r="Q7" s="266" t="s">
        <v>256</v>
      </c>
      <c r="S7" s="267" t="s">
        <v>141</v>
      </c>
      <c r="T7" s="267" t="s">
        <v>116</v>
      </c>
      <c r="U7" s="267" t="s">
        <v>117</v>
      </c>
      <c r="V7" s="281" t="s">
        <v>118</v>
      </c>
      <c r="W7" s="31"/>
      <c r="X7" s="279" t="s">
        <v>213</v>
      </c>
      <c r="Y7" s="279" t="s">
        <v>212</v>
      </c>
      <c r="Z7" s="279" t="s">
        <v>215</v>
      </c>
      <c r="AB7" s="278"/>
      <c r="AC7" s="278"/>
      <c r="AD7" s="278"/>
      <c r="AE7" s="278"/>
      <c r="AG7" s="263"/>
      <c r="AH7" s="263"/>
    </row>
    <row r="8" spans="1:35" ht="36.75" customHeight="1" x14ac:dyDescent="0.25">
      <c r="A8" s="10" t="s">
        <v>98</v>
      </c>
      <c r="B8" s="185" t="s">
        <v>248</v>
      </c>
      <c r="C8" s="2" t="s">
        <v>0</v>
      </c>
      <c r="D8" s="21" t="s">
        <v>1</v>
      </c>
      <c r="E8" s="21" t="s">
        <v>2</v>
      </c>
      <c r="F8" s="21" t="s">
        <v>3</v>
      </c>
      <c r="G8" s="263"/>
      <c r="H8" s="283"/>
      <c r="I8" s="264"/>
      <c r="J8" s="264"/>
      <c r="K8" s="264"/>
      <c r="L8" s="264"/>
      <c r="M8" s="265"/>
      <c r="N8" s="265"/>
      <c r="P8" s="266"/>
      <c r="Q8" s="266"/>
      <c r="S8" s="267"/>
      <c r="T8" s="267"/>
      <c r="U8" s="267"/>
      <c r="V8" s="281"/>
      <c r="W8" s="31"/>
      <c r="X8" s="280"/>
      <c r="Y8" s="280"/>
      <c r="Z8" s="280"/>
      <c r="AB8" s="90" t="s">
        <v>217</v>
      </c>
      <c r="AC8" s="90" t="s">
        <v>218</v>
      </c>
      <c r="AD8" s="88" t="s">
        <v>219</v>
      </c>
      <c r="AE8" s="91" t="s">
        <v>220</v>
      </c>
      <c r="AG8" s="96" t="s">
        <v>213</v>
      </c>
      <c r="AH8" s="99" t="s">
        <v>223</v>
      </c>
    </row>
    <row r="9" spans="1:35" x14ac:dyDescent="0.25">
      <c r="A9" s="8" t="s">
        <v>4</v>
      </c>
      <c r="B9" s="186" t="str">
        <f>VLOOKUP(A9,'Categoria 2016'!$A$8:$J$23,10,0)</f>
        <v>I</v>
      </c>
      <c r="C9" s="9" t="s">
        <v>5</v>
      </c>
      <c r="D9" s="4">
        <v>1346101</v>
      </c>
      <c r="E9" s="4">
        <v>37559904</v>
      </c>
      <c r="F9" s="4">
        <v>38906005</v>
      </c>
      <c r="G9" s="5">
        <f t="shared" ref="G9:G24" si="0">F9*0.05</f>
        <v>1945300.25</v>
      </c>
      <c r="H9" s="27">
        <f t="shared" ref="H9:H24" si="1">G9*1.041</f>
        <v>2025057.5602499999</v>
      </c>
      <c r="I9" s="12">
        <v>2533255</v>
      </c>
      <c r="J9" s="12">
        <f t="shared" ref="J9:J24" si="2" xml:space="preserve"> ROUND(H9,0)</f>
        <v>2025058</v>
      </c>
      <c r="K9" s="12">
        <v>400000</v>
      </c>
      <c r="L9" s="12">
        <v>100000</v>
      </c>
      <c r="M9" s="13">
        <f t="shared" ref="M9:M24" si="3">SUM(I9:L9)</f>
        <v>5058313</v>
      </c>
      <c r="N9" s="259">
        <f>+M9/$M$25</f>
        <v>0.42032144208033112</v>
      </c>
      <c r="P9" s="52">
        <f>VLOOKUP($A9,'DATOS Indicadores (DESEMPEÑO)'!$BF$10:$BI$25,4,0)</f>
        <v>3877755</v>
      </c>
      <c r="Q9" s="261">
        <f>+P9/$P$25</f>
        <v>0.12116014765349707</v>
      </c>
      <c r="S9" s="17">
        <v>7</v>
      </c>
      <c r="T9" s="17">
        <v>0</v>
      </c>
      <c r="U9" s="18">
        <f t="shared" ref="U9:U24" si="4">T9*($U$27/$T$25)</f>
        <v>0</v>
      </c>
      <c r="V9" s="16">
        <f t="shared" ref="V9:V16" si="5">ROUND(U9,0)</f>
        <v>0</v>
      </c>
      <c r="W9" s="24"/>
      <c r="X9" s="54" t="str">
        <f t="shared" ref="X9:X25" si="6">+A9</f>
        <v>UCH</v>
      </c>
      <c r="Y9" s="5">
        <f t="shared" ref="Y9:Y24" si="7">+M9+P9+V9</f>
        <v>8936068</v>
      </c>
      <c r="Z9" s="55">
        <f t="shared" ref="Z9:Z24" si="8">+Y9/$Y$25</f>
        <v>0.19201001607384061</v>
      </c>
      <c r="AB9" s="87">
        <v>5609256</v>
      </c>
      <c r="AC9" s="97">
        <v>0.16459084507042254</v>
      </c>
      <c r="AD9" s="89">
        <v>2899405.663043662</v>
      </c>
      <c r="AE9" s="93">
        <v>2899406</v>
      </c>
      <c r="AG9" s="4" t="str">
        <f>+X9</f>
        <v>UCH</v>
      </c>
      <c r="AH9" s="94">
        <f>Y9-AE9</f>
        <v>6036662</v>
      </c>
      <c r="AI9" s="100">
        <f>AH9/Y9</f>
        <v>0.67553895068837888</v>
      </c>
    </row>
    <row r="10" spans="1:35" x14ac:dyDescent="0.25">
      <c r="A10" s="8" t="s">
        <v>14</v>
      </c>
      <c r="B10" s="186" t="str">
        <f>VLOOKUP(A10,'Categoria 2016'!$A$8:$J$23,10,0)</f>
        <v>I</v>
      </c>
      <c r="C10" s="9" t="s">
        <v>15</v>
      </c>
      <c r="D10" s="4">
        <v>315954</v>
      </c>
      <c r="E10" s="4">
        <v>11980813</v>
      </c>
      <c r="F10" s="4">
        <v>12296767</v>
      </c>
      <c r="G10" s="5">
        <f t="shared" si="0"/>
        <v>614838.35</v>
      </c>
      <c r="H10" s="27">
        <f t="shared" si="1"/>
        <v>640046.72234999994</v>
      </c>
      <c r="I10" s="12">
        <v>654779</v>
      </c>
      <c r="J10" s="12">
        <f t="shared" si="2"/>
        <v>640047</v>
      </c>
      <c r="K10" s="12"/>
      <c r="L10" s="12">
        <v>100000</v>
      </c>
      <c r="M10" s="13">
        <f t="shared" si="3"/>
        <v>1394826</v>
      </c>
      <c r="N10" s="259">
        <f t="shared" ref="N10:N24" si="9">+M10/$M$25</f>
        <v>0.11590332108177961</v>
      </c>
      <c r="P10" s="52">
        <f>VLOOKUP($A10,'DATOS Indicadores (DESEMPEÑO)'!$BF$10:$BI$25,4,0)</f>
        <v>3508061</v>
      </c>
      <c r="Q10" s="261">
        <f t="shared" ref="Q10:Q24" si="10">+P10/$P$25</f>
        <v>0.10960908792264458</v>
      </c>
      <c r="S10" s="17">
        <v>6</v>
      </c>
      <c r="T10" s="17">
        <v>0</v>
      </c>
      <c r="U10" s="18">
        <f t="shared" si="4"/>
        <v>0</v>
      </c>
      <c r="V10" s="16">
        <f t="shared" si="5"/>
        <v>0</v>
      </c>
      <c r="W10" s="24"/>
      <c r="X10" s="54" t="str">
        <f t="shared" si="6"/>
        <v>USA</v>
      </c>
      <c r="Y10" s="5">
        <f t="shared" si="7"/>
        <v>4902887</v>
      </c>
      <c r="Z10" s="55">
        <f t="shared" si="8"/>
        <v>0.10534872962898494</v>
      </c>
      <c r="AB10" s="87">
        <v>3059502</v>
      </c>
      <c r="AC10" s="97">
        <v>8.9774119718309855E-2</v>
      </c>
      <c r="AD10" s="89">
        <v>1581446.349550352</v>
      </c>
      <c r="AE10" s="93">
        <v>1581446</v>
      </c>
      <c r="AG10" s="4" t="str">
        <f t="shared" ref="AG10:AG25" si="11">+X10</f>
        <v>USA</v>
      </c>
      <c r="AH10" s="94">
        <f t="shared" ref="AH10:AH24" si="12">Y10-AE10</f>
        <v>3321441</v>
      </c>
      <c r="AI10" s="100">
        <f t="shared" ref="AI10:AI24" si="13">AH10/Y10</f>
        <v>0.67744596194038331</v>
      </c>
    </row>
    <row r="11" spans="1:35" x14ac:dyDescent="0.25">
      <c r="A11" s="8" t="s">
        <v>32</v>
      </c>
      <c r="B11" s="186" t="str">
        <f>VLOOKUP(A11,'Categoria 2016'!$A$8:$J$23,10,0)</f>
        <v>II</v>
      </c>
      <c r="C11" s="9" t="s">
        <v>33</v>
      </c>
      <c r="D11" s="4">
        <v>963883</v>
      </c>
      <c r="E11" s="4">
        <v>12974533</v>
      </c>
      <c r="F11" s="4">
        <v>13938416</v>
      </c>
      <c r="G11" s="5">
        <f t="shared" si="0"/>
        <v>696920.8</v>
      </c>
      <c r="H11" s="27">
        <f t="shared" si="1"/>
        <v>725494.55279999995</v>
      </c>
      <c r="I11" s="12">
        <v>224727</v>
      </c>
      <c r="J11" s="12">
        <f t="shared" si="2"/>
        <v>725495</v>
      </c>
      <c r="K11" s="12"/>
      <c r="L11" s="12">
        <v>100000</v>
      </c>
      <c r="M11" s="13">
        <f t="shared" si="3"/>
        <v>1050222</v>
      </c>
      <c r="N11" s="259">
        <f t="shared" si="9"/>
        <v>8.7268388797705779E-2</v>
      </c>
      <c r="P11" s="52">
        <f>VLOOKUP($A11,'DATOS Indicadores (DESEMPEÑO)'!$BF$10:$BI$25,4,0)</f>
        <v>3040526</v>
      </c>
      <c r="Q11" s="261">
        <f t="shared" si="10"/>
        <v>9.5000993900928976E-2</v>
      </c>
      <c r="S11" s="17">
        <v>5</v>
      </c>
      <c r="T11" s="17">
        <v>0</v>
      </c>
      <c r="U11" s="18">
        <f t="shared" si="4"/>
        <v>0</v>
      </c>
      <c r="V11" s="16">
        <f t="shared" si="5"/>
        <v>0</v>
      </c>
      <c r="W11" s="24"/>
      <c r="X11" s="54" t="str">
        <f t="shared" si="6"/>
        <v>TAL</v>
      </c>
      <c r="Y11" s="5">
        <f t="shared" si="7"/>
        <v>4090748</v>
      </c>
      <c r="Z11" s="55">
        <f t="shared" si="8"/>
        <v>8.7898233231218842E-2</v>
      </c>
      <c r="AB11" s="87">
        <v>3193145</v>
      </c>
      <c r="AC11" s="97">
        <v>9.3695569248826285E-2</v>
      </c>
      <c r="AD11" s="89">
        <v>1650525.9692051054</v>
      </c>
      <c r="AE11" s="93">
        <v>1650526</v>
      </c>
      <c r="AG11" s="4" t="str">
        <f t="shared" si="11"/>
        <v>TAL</v>
      </c>
      <c r="AH11" s="94">
        <f t="shared" si="12"/>
        <v>2440222</v>
      </c>
      <c r="AI11" s="100">
        <f t="shared" si="13"/>
        <v>0.59652220082977492</v>
      </c>
    </row>
    <row r="12" spans="1:35" x14ac:dyDescent="0.25">
      <c r="A12" s="8" t="s">
        <v>28</v>
      </c>
      <c r="B12" s="186" t="str">
        <f>VLOOKUP(A12,'Categoria 2016'!$A$8:$J$23,10,0)</f>
        <v>II</v>
      </c>
      <c r="C12" s="9" t="s">
        <v>29</v>
      </c>
      <c r="D12" s="4">
        <v>1345142</v>
      </c>
      <c r="E12" s="4">
        <v>7335435</v>
      </c>
      <c r="F12" s="4">
        <v>8680577</v>
      </c>
      <c r="G12" s="5">
        <f t="shared" si="0"/>
        <v>434028.85000000003</v>
      </c>
      <c r="H12" s="27">
        <f t="shared" si="1"/>
        <v>451824.03285000002</v>
      </c>
      <c r="I12" s="12">
        <v>227255</v>
      </c>
      <c r="J12" s="12">
        <f t="shared" si="2"/>
        <v>451824</v>
      </c>
      <c r="K12" s="12"/>
      <c r="L12" s="12"/>
      <c r="M12" s="13">
        <f t="shared" si="3"/>
        <v>679079</v>
      </c>
      <c r="N12" s="259">
        <f t="shared" si="9"/>
        <v>5.6428193464198272E-2</v>
      </c>
      <c r="P12" s="52">
        <f>VLOOKUP($A12,'DATOS Indicadores (DESEMPEÑO)'!$BF$10:$BI$25,4,0)</f>
        <v>2950284</v>
      </c>
      <c r="Q12" s="261">
        <f t="shared" si="10"/>
        <v>9.2181389762826679E-2</v>
      </c>
      <c r="S12" s="17">
        <v>5</v>
      </c>
      <c r="T12" s="17">
        <v>0</v>
      </c>
      <c r="U12" s="18">
        <f t="shared" si="4"/>
        <v>0</v>
      </c>
      <c r="V12" s="16">
        <f t="shared" si="5"/>
        <v>0</v>
      </c>
      <c r="W12" s="24"/>
      <c r="X12" s="54" t="str">
        <f t="shared" si="6"/>
        <v>FRO</v>
      </c>
      <c r="Y12" s="5">
        <f t="shared" si="7"/>
        <v>3629363</v>
      </c>
      <c r="Z12" s="55">
        <f t="shared" si="8"/>
        <v>7.7984416408626522E-2</v>
      </c>
      <c r="AB12" s="87">
        <v>3109714</v>
      </c>
      <c r="AC12" s="97">
        <v>9.1247476525821603E-2</v>
      </c>
      <c r="AD12" s="89">
        <v>1607400.7643876763</v>
      </c>
      <c r="AE12" s="93">
        <v>1607401</v>
      </c>
      <c r="AG12" s="4" t="str">
        <f t="shared" si="11"/>
        <v>FRO</v>
      </c>
      <c r="AH12" s="94">
        <f t="shared" si="12"/>
        <v>2021962</v>
      </c>
      <c r="AI12" s="100">
        <f t="shared" si="13"/>
        <v>0.55711208826452463</v>
      </c>
    </row>
    <row r="13" spans="1:35" x14ac:dyDescent="0.25">
      <c r="A13" s="8" t="s">
        <v>36</v>
      </c>
      <c r="B13" s="186" t="str">
        <f>VLOOKUP(A13,'Categoria 2016'!$A$8:$J$23,10,0)</f>
        <v>II</v>
      </c>
      <c r="C13" s="9" t="s">
        <v>37</v>
      </c>
      <c r="D13" s="4">
        <v>729607</v>
      </c>
      <c r="E13" s="4">
        <v>8260372</v>
      </c>
      <c r="F13" s="4">
        <v>8989979</v>
      </c>
      <c r="G13" s="5">
        <f t="shared" si="0"/>
        <v>449498.95</v>
      </c>
      <c r="H13" s="27">
        <f t="shared" si="1"/>
        <v>467928.40694999998</v>
      </c>
      <c r="I13" s="12">
        <v>25944</v>
      </c>
      <c r="J13" s="12">
        <f t="shared" si="2"/>
        <v>467928</v>
      </c>
      <c r="K13" s="12"/>
      <c r="L13" s="12">
        <v>100000</v>
      </c>
      <c r="M13" s="13">
        <f t="shared" si="3"/>
        <v>593872</v>
      </c>
      <c r="N13" s="259">
        <f t="shared" si="9"/>
        <v>4.9347902245497739E-2</v>
      </c>
      <c r="P13" s="52">
        <f>VLOOKUP($A13,'DATOS Indicadores (DESEMPEÑO)'!$BF$10:$BI$25,4,0)</f>
        <v>2221981</v>
      </c>
      <c r="Q13" s="261">
        <f t="shared" si="10"/>
        <v>6.9425620247608497E-2</v>
      </c>
      <c r="S13" s="17">
        <v>5</v>
      </c>
      <c r="T13" s="17">
        <v>0</v>
      </c>
      <c r="U13" s="18">
        <f t="shared" si="4"/>
        <v>0</v>
      </c>
      <c r="V13" s="16">
        <f t="shared" si="5"/>
        <v>0</v>
      </c>
      <c r="W13" s="24"/>
      <c r="X13" s="54" t="str">
        <f t="shared" si="6"/>
        <v>UTA</v>
      </c>
      <c r="Y13" s="5">
        <f t="shared" si="7"/>
        <v>2815853</v>
      </c>
      <c r="Z13" s="55">
        <f t="shared" si="8"/>
        <v>6.0504461222941938E-2</v>
      </c>
      <c r="AB13" s="87">
        <v>2144629</v>
      </c>
      <c r="AC13" s="97">
        <v>6.2929254694835679E-2</v>
      </c>
      <c r="AD13" s="89">
        <v>1108551.5561649648</v>
      </c>
      <c r="AE13" s="93">
        <v>1108552</v>
      </c>
      <c r="AG13" s="4" t="str">
        <f t="shared" si="11"/>
        <v>UTA</v>
      </c>
      <c r="AH13" s="94">
        <f t="shared" si="12"/>
        <v>1707301</v>
      </c>
      <c r="AI13" s="100">
        <f t="shared" si="13"/>
        <v>0.6063175172851708</v>
      </c>
    </row>
    <row r="14" spans="1:35" x14ac:dyDescent="0.25">
      <c r="A14" s="8" t="s">
        <v>20</v>
      </c>
      <c r="B14" s="186" t="str">
        <f>VLOOKUP(A14,'Categoria 2016'!$A$8:$J$23,10,0)</f>
        <v>II</v>
      </c>
      <c r="C14" s="9" t="s">
        <v>21</v>
      </c>
      <c r="D14" s="4">
        <v>164023</v>
      </c>
      <c r="E14" s="4">
        <v>3856998</v>
      </c>
      <c r="F14" s="4">
        <v>4021021</v>
      </c>
      <c r="G14" s="5">
        <f t="shared" si="0"/>
        <v>201051.05000000002</v>
      </c>
      <c r="H14" s="27">
        <f t="shared" si="1"/>
        <v>209294.14305000001</v>
      </c>
      <c r="I14" s="12">
        <v>281374</v>
      </c>
      <c r="J14" s="12">
        <f t="shared" si="2"/>
        <v>209294</v>
      </c>
      <c r="K14" s="12"/>
      <c r="L14" s="12">
        <v>100000</v>
      </c>
      <c r="M14" s="13">
        <f t="shared" si="3"/>
        <v>590668</v>
      </c>
      <c r="N14" s="259">
        <f t="shared" si="9"/>
        <v>4.9081665280639022E-2</v>
      </c>
      <c r="P14" s="52">
        <f>VLOOKUP($A14,'DATOS Indicadores (DESEMPEÑO)'!$BF$10:$BI$25,4,0)</f>
        <v>2170903</v>
      </c>
      <c r="Q14" s="261">
        <f t="shared" si="10"/>
        <v>6.7829692185664064E-2</v>
      </c>
      <c r="S14" s="17">
        <v>5</v>
      </c>
      <c r="T14" s="17">
        <v>0</v>
      </c>
      <c r="U14" s="18">
        <f t="shared" si="4"/>
        <v>0</v>
      </c>
      <c r="V14" s="16">
        <f t="shared" si="5"/>
        <v>0</v>
      </c>
      <c r="W14" s="24"/>
      <c r="X14" s="54" t="str">
        <f t="shared" si="6"/>
        <v>UVA</v>
      </c>
      <c r="Y14" s="5">
        <f t="shared" si="7"/>
        <v>2761571</v>
      </c>
      <c r="Z14" s="55">
        <f t="shared" si="8"/>
        <v>5.9338099497346274E-2</v>
      </c>
      <c r="AB14" s="87">
        <v>2678770</v>
      </c>
      <c r="AC14" s="97">
        <v>7.8602406103286379E-2</v>
      </c>
      <c r="AD14" s="89">
        <v>1384647.2523257041</v>
      </c>
      <c r="AE14" s="93">
        <v>1384647</v>
      </c>
      <c r="AG14" s="4" t="str">
        <f t="shared" si="11"/>
        <v>UVA</v>
      </c>
      <c r="AH14" s="94">
        <f t="shared" si="12"/>
        <v>1376924</v>
      </c>
      <c r="AI14" s="100">
        <f t="shared" si="13"/>
        <v>0.4986017017125397</v>
      </c>
    </row>
    <row r="15" spans="1:35" x14ac:dyDescent="0.25">
      <c r="A15" s="8" t="s">
        <v>26</v>
      </c>
      <c r="B15" s="186" t="str">
        <f>VLOOKUP(A15,'Categoria 2016'!$A$8:$J$23,10,0)</f>
        <v>II</v>
      </c>
      <c r="C15" s="9" t="s">
        <v>27</v>
      </c>
      <c r="D15" s="4">
        <v>509430</v>
      </c>
      <c r="E15" s="4">
        <v>4974651</v>
      </c>
      <c r="F15" s="4">
        <v>5484081</v>
      </c>
      <c r="G15" s="5">
        <f t="shared" si="0"/>
        <v>274204.05</v>
      </c>
      <c r="H15" s="27">
        <f t="shared" si="1"/>
        <v>285446.41604999994</v>
      </c>
      <c r="I15" s="12">
        <v>99466</v>
      </c>
      <c r="J15" s="12">
        <f t="shared" si="2"/>
        <v>285446</v>
      </c>
      <c r="K15" s="12"/>
      <c r="L15" s="12"/>
      <c r="M15" s="13">
        <f t="shared" si="3"/>
        <v>384912</v>
      </c>
      <c r="N15" s="259">
        <f t="shared" si="9"/>
        <v>3.1984332901903147E-2</v>
      </c>
      <c r="P15" s="52">
        <f>VLOOKUP($A15,'DATOS Indicadores (DESEMPEÑO)'!$BF$10:$BI$25,4,0)</f>
        <v>2277705</v>
      </c>
      <c r="Q15" s="261">
        <f t="shared" si="10"/>
        <v>7.1166712211346142E-2</v>
      </c>
      <c r="S15" s="17">
        <v>5</v>
      </c>
      <c r="T15" s="17">
        <v>0</v>
      </c>
      <c r="U15" s="18">
        <f t="shared" si="4"/>
        <v>0</v>
      </c>
      <c r="V15" s="16">
        <f t="shared" si="5"/>
        <v>0</v>
      </c>
      <c r="W15" s="24"/>
      <c r="X15" s="54" t="str">
        <f t="shared" si="6"/>
        <v>UBB</v>
      </c>
      <c r="Y15" s="5">
        <f t="shared" si="7"/>
        <v>2662617</v>
      </c>
      <c r="Z15" s="55">
        <f t="shared" si="8"/>
        <v>5.7211866893636137E-2</v>
      </c>
      <c r="AB15" s="87">
        <v>1779283</v>
      </c>
      <c r="AC15" s="97">
        <v>5.2209008215962444E-2</v>
      </c>
      <c r="AD15" s="89">
        <v>919705.43087306339</v>
      </c>
      <c r="AE15" s="93">
        <v>919705</v>
      </c>
      <c r="AG15" s="4" t="str">
        <f t="shared" si="11"/>
        <v>UBB</v>
      </c>
      <c r="AH15" s="94">
        <f t="shared" si="12"/>
        <v>1742912</v>
      </c>
      <c r="AI15" s="100">
        <f t="shared" si="13"/>
        <v>0.6545860707717257</v>
      </c>
    </row>
    <row r="16" spans="1:35" x14ac:dyDescent="0.25">
      <c r="A16" s="8" t="s">
        <v>22</v>
      </c>
      <c r="B16" s="186" t="str">
        <f>VLOOKUP(A16,'Categoria 2016'!$A$8:$J$23,10,0)</f>
        <v>II</v>
      </c>
      <c r="C16" s="9" t="s">
        <v>23</v>
      </c>
      <c r="D16" s="4">
        <v>139205</v>
      </c>
      <c r="E16" s="4">
        <v>3710718</v>
      </c>
      <c r="F16" s="4">
        <v>3849923</v>
      </c>
      <c r="G16" s="5">
        <f t="shared" si="0"/>
        <v>192496.15000000002</v>
      </c>
      <c r="H16" s="27">
        <f t="shared" si="1"/>
        <v>200388.49215000001</v>
      </c>
      <c r="I16" s="12">
        <v>64006</v>
      </c>
      <c r="J16" s="12">
        <f t="shared" si="2"/>
        <v>200388</v>
      </c>
      <c r="K16" s="12"/>
      <c r="L16" s="12"/>
      <c r="M16" s="13">
        <f t="shared" si="3"/>
        <v>264394</v>
      </c>
      <c r="N16" s="259">
        <f t="shared" si="9"/>
        <v>2.1969867692526551E-2</v>
      </c>
      <c r="P16" s="52">
        <f>VLOOKUP($A16,'DATOS Indicadores (DESEMPEÑO)'!$BF$10:$BI$25,4,0)</f>
        <v>2110233</v>
      </c>
      <c r="Q16" s="261">
        <f t="shared" si="10"/>
        <v>6.593406284390893E-2</v>
      </c>
      <c r="S16" s="17">
        <v>4</v>
      </c>
      <c r="T16" s="17">
        <v>0</v>
      </c>
      <c r="U16" s="18">
        <f t="shared" si="4"/>
        <v>0</v>
      </c>
      <c r="V16" s="16">
        <f t="shared" si="5"/>
        <v>0</v>
      </c>
      <c r="W16" s="24"/>
      <c r="X16" s="54" t="str">
        <f t="shared" si="6"/>
        <v>ANT</v>
      </c>
      <c r="Y16" s="5">
        <f t="shared" si="7"/>
        <v>2374627</v>
      </c>
      <c r="Z16" s="55">
        <f t="shared" si="8"/>
        <v>5.1023802464280253E-2</v>
      </c>
      <c r="AB16" s="87">
        <v>2169063</v>
      </c>
      <c r="AC16" s="97">
        <v>6.3646214788732391E-2</v>
      </c>
      <c r="AD16" s="89">
        <v>1121181.4090315141</v>
      </c>
      <c r="AE16" s="93">
        <v>1121181</v>
      </c>
      <c r="AG16" s="4" t="str">
        <f t="shared" si="11"/>
        <v>ANT</v>
      </c>
      <c r="AH16" s="94">
        <f t="shared" si="12"/>
        <v>1253446</v>
      </c>
      <c r="AI16" s="100">
        <f t="shared" si="13"/>
        <v>0.52784963701667675</v>
      </c>
    </row>
    <row r="17" spans="1:35" x14ac:dyDescent="0.25">
      <c r="A17" s="8" t="s">
        <v>46</v>
      </c>
      <c r="B17" s="186" t="str">
        <f>VLOOKUP(A17,'Categoria 2016'!$A$8:$J$23,10,0)</f>
        <v>III</v>
      </c>
      <c r="C17" s="9" t="s">
        <v>47</v>
      </c>
      <c r="D17" s="4">
        <v>86939</v>
      </c>
      <c r="E17" s="4">
        <v>2594328</v>
      </c>
      <c r="F17" s="4">
        <v>2681267</v>
      </c>
      <c r="G17" s="5">
        <f>F17*0.05</f>
        <v>134063.35</v>
      </c>
      <c r="H17" s="27">
        <f>G17*1.041</f>
        <v>139559.94735</v>
      </c>
      <c r="I17" s="12">
        <v>9441</v>
      </c>
      <c r="J17" s="12">
        <f xml:space="preserve"> ROUND(H17,0)</f>
        <v>139560</v>
      </c>
      <c r="K17" s="12"/>
      <c r="L17" s="12">
        <v>100000</v>
      </c>
      <c r="M17" s="13">
        <f>SUM(I17:L17)</f>
        <v>249001</v>
      </c>
      <c r="N17" s="259">
        <f t="shared" si="9"/>
        <v>2.0690783547685665E-2</v>
      </c>
      <c r="P17" s="52">
        <f>VLOOKUP($A17,'DATOS Indicadores (DESEMPEÑO)'!$BF$10:$BI$25,4,0)</f>
        <v>1293889</v>
      </c>
      <c r="Q17" s="261">
        <f t="shared" si="10"/>
        <v>4.0427459261153861E-2</v>
      </c>
      <c r="S17" s="17">
        <v>3</v>
      </c>
      <c r="T17" s="17">
        <v>1</v>
      </c>
      <c r="U17" s="19">
        <f t="shared" si="4"/>
        <v>833333.33333333337</v>
      </c>
      <c r="V17" s="16">
        <f>ROUND(U17,0)</f>
        <v>833333</v>
      </c>
      <c r="W17" s="24"/>
      <c r="X17" s="54" t="str">
        <f>+A17</f>
        <v>ULA</v>
      </c>
      <c r="Y17" s="5">
        <f>+M17+P17+V17</f>
        <v>2376223</v>
      </c>
      <c r="Z17" s="55">
        <f t="shared" si="8"/>
        <v>5.1058095845402003E-2</v>
      </c>
      <c r="AB17" s="87">
        <v>1458370</v>
      </c>
      <c r="AC17" s="97">
        <v>4.279254694835681E-2</v>
      </c>
      <c r="AD17" s="89">
        <v>753826.57464964793</v>
      </c>
      <c r="AE17" s="93">
        <v>753827</v>
      </c>
      <c r="AG17" s="4" t="str">
        <f>+X17</f>
        <v>ULA</v>
      </c>
      <c r="AH17" s="94">
        <f>Y17-AE17</f>
        <v>1622396</v>
      </c>
      <c r="AI17" s="100">
        <f>AH17/Y17</f>
        <v>0.68276251850099923</v>
      </c>
    </row>
    <row r="18" spans="1:35" x14ac:dyDescent="0.25">
      <c r="A18" s="8" t="s">
        <v>38</v>
      </c>
      <c r="B18" s="186" t="str">
        <f>VLOOKUP(A18,'Categoria 2016'!$A$8:$J$23,10,0)</f>
        <v>III</v>
      </c>
      <c r="C18" s="9" t="s">
        <v>39</v>
      </c>
      <c r="D18" s="4">
        <v>49482</v>
      </c>
      <c r="E18" s="4">
        <v>2454090</v>
      </c>
      <c r="F18" s="4">
        <v>2503572</v>
      </c>
      <c r="G18" s="5">
        <f t="shared" si="0"/>
        <v>125178.6</v>
      </c>
      <c r="H18" s="27">
        <f t="shared" si="1"/>
        <v>130310.92259999999</v>
      </c>
      <c r="I18" s="12">
        <v>15240</v>
      </c>
      <c r="J18" s="12">
        <f t="shared" si="2"/>
        <v>130311</v>
      </c>
      <c r="K18" s="12"/>
      <c r="L18" s="12">
        <v>100000</v>
      </c>
      <c r="M18" s="13">
        <f t="shared" si="3"/>
        <v>245551</v>
      </c>
      <c r="N18" s="259">
        <f t="shared" si="9"/>
        <v>2.0404105167922067E-2</v>
      </c>
      <c r="P18" s="52">
        <f>VLOOKUP($A18,'DATOS Indicadores (DESEMPEÑO)'!$BF$10:$BI$25,4,0)</f>
        <v>1169345</v>
      </c>
      <c r="Q18" s="261">
        <f t="shared" si="10"/>
        <v>3.6536091851568378E-2</v>
      </c>
      <c r="S18" s="17">
        <v>3</v>
      </c>
      <c r="T18" s="17">
        <v>1</v>
      </c>
      <c r="U18" s="19">
        <f t="shared" si="4"/>
        <v>833333.33333333337</v>
      </c>
      <c r="V18" s="16">
        <f t="shared" ref="V18:V24" si="14">ROUND(U18,0)</f>
        <v>833333</v>
      </c>
      <c r="W18" s="25"/>
      <c r="X18" s="54" t="str">
        <f t="shared" si="6"/>
        <v>UAP</v>
      </c>
      <c r="Y18" s="5">
        <f t="shared" si="7"/>
        <v>2248229</v>
      </c>
      <c r="Z18" s="55">
        <f t="shared" si="8"/>
        <v>4.8307878412258566E-2</v>
      </c>
      <c r="AB18" s="87">
        <v>821677</v>
      </c>
      <c r="AC18" s="97">
        <v>2.411024061032864E-2</v>
      </c>
      <c r="AD18" s="89">
        <v>424722.09273257043</v>
      </c>
      <c r="AE18" s="93">
        <v>424722</v>
      </c>
      <c r="AG18" s="4" t="str">
        <f t="shared" si="11"/>
        <v>UAP</v>
      </c>
      <c r="AH18" s="94">
        <f t="shared" si="12"/>
        <v>1823507</v>
      </c>
      <c r="AI18" s="100">
        <f t="shared" si="13"/>
        <v>0.81108597033487251</v>
      </c>
    </row>
    <row r="19" spans="1:35" x14ac:dyDescent="0.25">
      <c r="A19" s="8" t="s">
        <v>44</v>
      </c>
      <c r="B19" s="186" t="str">
        <f>VLOOKUP(A19,'Categoria 2016'!$A$8:$J$23,10,0)</f>
        <v>III</v>
      </c>
      <c r="C19" s="9" t="s">
        <v>45</v>
      </c>
      <c r="D19" s="4">
        <v>207228</v>
      </c>
      <c r="E19" s="4">
        <v>3759956</v>
      </c>
      <c r="F19" s="4">
        <v>3967184</v>
      </c>
      <c r="G19" s="5">
        <f t="shared" si="0"/>
        <v>198359.2</v>
      </c>
      <c r="H19" s="27">
        <f t="shared" si="1"/>
        <v>206491.92720000001</v>
      </c>
      <c r="I19" s="12">
        <v>52483</v>
      </c>
      <c r="J19" s="12">
        <f t="shared" si="2"/>
        <v>206492</v>
      </c>
      <c r="K19" s="12"/>
      <c r="L19" s="12"/>
      <c r="M19" s="13">
        <f t="shared" si="3"/>
        <v>258975</v>
      </c>
      <c r="N19" s="259">
        <f t="shared" si="9"/>
        <v>2.1519574898341352E-2</v>
      </c>
      <c r="P19" s="52">
        <f>VLOOKUP($A19,'DATOS Indicadores (DESEMPEÑO)'!$BF$10:$BI$25,4,0)</f>
        <v>1089610</v>
      </c>
      <c r="Q19" s="261">
        <f t="shared" si="10"/>
        <v>3.4044778095760807E-2</v>
      </c>
      <c r="S19" s="17">
        <v>3</v>
      </c>
      <c r="T19" s="17">
        <v>1</v>
      </c>
      <c r="U19" s="19">
        <f t="shared" si="4"/>
        <v>833333.33333333337</v>
      </c>
      <c r="V19" s="16">
        <f t="shared" si="14"/>
        <v>833333</v>
      </c>
      <c r="W19" s="24"/>
      <c r="X19" s="54" t="str">
        <f t="shared" si="6"/>
        <v>UTM</v>
      </c>
      <c r="Y19" s="5">
        <f t="shared" si="7"/>
        <v>2181918</v>
      </c>
      <c r="Z19" s="55">
        <f t="shared" si="8"/>
        <v>4.6883048590476498E-2</v>
      </c>
      <c r="AB19" s="87">
        <v>1215376</v>
      </c>
      <c r="AC19" s="97">
        <v>3.566244131455399E-2</v>
      </c>
      <c r="AD19" s="89">
        <v>628223.78888169012</v>
      </c>
      <c r="AE19" s="93">
        <v>628224</v>
      </c>
      <c r="AG19" s="4" t="str">
        <f t="shared" si="11"/>
        <v>UTM</v>
      </c>
      <c r="AH19" s="94">
        <f t="shared" si="12"/>
        <v>1553694</v>
      </c>
      <c r="AI19" s="100">
        <f t="shared" si="13"/>
        <v>0.71207717246935953</v>
      </c>
    </row>
    <row r="20" spans="1:35" x14ac:dyDescent="0.25">
      <c r="A20" s="8" t="s">
        <v>24</v>
      </c>
      <c r="B20" s="186" t="str">
        <f>VLOOKUP(A20,'Categoria 2016'!$A$8:$J$23,10,0)</f>
        <v>III</v>
      </c>
      <c r="C20" s="9" t="s">
        <v>25</v>
      </c>
      <c r="D20" s="4">
        <v>188036</v>
      </c>
      <c r="E20" s="4">
        <v>4103703</v>
      </c>
      <c r="F20" s="4">
        <v>4291739</v>
      </c>
      <c r="G20" s="5">
        <f t="shared" si="0"/>
        <v>214586.95</v>
      </c>
      <c r="H20" s="27">
        <f t="shared" si="1"/>
        <v>223385.01494999998</v>
      </c>
      <c r="I20" s="12">
        <v>108535</v>
      </c>
      <c r="J20" s="12">
        <f t="shared" si="2"/>
        <v>223385</v>
      </c>
      <c r="K20" s="12"/>
      <c r="L20" s="12"/>
      <c r="M20" s="13">
        <f t="shared" si="3"/>
        <v>331920</v>
      </c>
      <c r="N20" s="259">
        <f t="shared" si="9"/>
        <v>2.7580952988734288E-2</v>
      </c>
      <c r="P20" s="52">
        <f>VLOOKUP($A20,'DATOS Indicadores (DESEMPEÑO)'!$BF$10:$BI$25,4,0)</f>
        <v>1404101</v>
      </c>
      <c r="Q20" s="261">
        <f t="shared" si="10"/>
        <v>4.3871024466585154E-2</v>
      </c>
      <c r="S20" s="17">
        <v>4</v>
      </c>
      <c r="T20" s="17">
        <v>0</v>
      </c>
      <c r="U20" s="18">
        <f t="shared" si="4"/>
        <v>0</v>
      </c>
      <c r="V20" s="16">
        <f t="shared" si="14"/>
        <v>0</v>
      </c>
      <c r="W20" s="24"/>
      <c r="X20" s="54" t="str">
        <f t="shared" si="6"/>
        <v>ULS</v>
      </c>
      <c r="Y20" s="5">
        <f t="shared" si="7"/>
        <v>1736021</v>
      </c>
      <c r="Z20" s="55">
        <f t="shared" si="8"/>
        <v>3.7302023676915264E-2</v>
      </c>
      <c r="AB20" s="87">
        <v>1226300</v>
      </c>
      <c r="AC20" s="97">
        <v>3.5982981220657274E-2</v>
      </c>
      <c r="AD20" s="89">
        <v>633870.36794014077</v>
      </c>
      <c r="AE20" s="93">
        <v>633870</v>
      </c>
      <c r="AG20" s="4" t="str">
        <f t="shared" si="11"/>
        <v>ULS</v>
      </c>
      <c r="AH20" s="94">
        <f t="shared" si="12"/>
        <v>1102151</v>
      </c>
      <c r="AI20" s="100">
        <f t="shared" si="13"/>
        <v>0.63487192839257134</v>
      </c>
    </row>
    <row r="21" spans="1:35" x14ac:dyDescent="0.25">
      <c r="A21" s="8" t="s">
        <v>30</v>
      </c>
      <c r="B21" s="186" t="str">
        <f>VLOOKUP(A21,'Categoria 2016'!$A$8:$J$23,10,0)</f>
        <v>III</v>
      </c>
      <c r="C21" s="9" t="s">
        <v>31</v>
      </c>
      <c r="D21" s="4">
        <v>60567</v>
      </c>
      <c r="E21" s="4">
        <v>1935728</v>
      </c>
      <c r="F21" s="4">
        <v>1996295</v>
      </c>
      <c r="G21" s="5">
        <f t="shared" si="0"/>
        <v>99814.75</v>
      </c>
      <c r="H21" s="27">
        <f t="shared" si="1"/>
        <v>103907.15474999999</v>
      </c>
      <c r="I21" s="12">
        <v>26019</v>
      </c>
      <c r="J21" s="12">
        <f t="shared" si="2"/>
        <v>103907</v>
      </c>
      <c r="K21" s="12"/>
      <c r="L21" s="12">
        <v>100000</v>
      </c>
      <c r="M21" s="13">
        <f t="shared" si="3"/>
        <v>229926</v>
      </c>
      <c r="N21" s="259">
        <f t="shared" si="9"/>
        <v>1.9105742940731862E-2</v>
      </c>
      <c r="P21" s="52">
        <f>VLOOKUP($A21,'DATOS Indicadores (DESEMPEÑO)'!$BF$10:$BI$25,4,0)</f>
        <v>1344745</v>
      </c>
      <c r="Q21" s="261">
        <f t="shared" si="10"/>
        <v>4.2016450950692327E-2</v>
      </c>
      <c r="S21" s="17">
        <v>4</v>
      </c>
      <c r="T21" s="17">
        <v>0</v>
      </c>
      <c r="U21" s="18">
        <f t="shared" si="4"/>
        <v>0</v>
      </c>
      <c r="V21" s="16">
        <f t="shared" si="14"/>
        <v>0</v>
      </c>
      <c r="W21" s="24"/>
      <c r="X21" s="54" t="str">
        <f t="shared" si="6"/>
        <v>MAG</v>
      </c>
      <c r="Y21" s="5">
        <f t="shared" si="7"/>
        <v>1574671</v>
      </c>
      <c r="Z21" s="55">
        <f t="shared" si="8"/>
        <v>3.3835083173159676E-2</v>
      </c>
      <c r="AB21" s="87">
        <v>1409655</v>
      </c>
      <c r="AC21" s="97">
        <v>4.1363116197183102E-2</v>
      </c>
      <c r="AD21" s="89">
        <v>728645.95410475356</v>
      </c>
      <c r="AE21" s="93">
        <v>728646</v>
      </c>
      <c r="AG21" s="4" t="str">
        <f t="shared" si="11"/>
        <v>MAG</v>
      </c>
      <c r="AH21" s="94">
        <f t="shared" si="12"/>
        <v>846025</v>
      </c>
      <c r="AI21" s="100">
        <f t="shared" si="13"/>
        <v>0.53727096009261621</v>
      </c>
    </row>
    <row r="22" spans="1:35" x14ac:dyDescent="0.25">
      <c r="A22" s="8" t="s">
        <v>42</v>
      </c>
      <c r="B22" s="186" t="str">
        <f>VLOOKUP(A22,'Categoria 2016'!$A$8:$J$23,10,0)</f>
        <v>III</v>
      </c>
      <c r="C22" s="9" t="s">
        <v>43</v>
      </c>
      <c r="D22" s="4">
        <v>258642</v>
      </c>
      <c r="E22" s="4">
        <v>2378278</v>
      </c>
      <c r="F22" s="4">
        <v>2636920</v>
      </c>
      <c r="G22" s="5">
        <f t="shared" si="0"/>
        <v>131846</v>
      </c>
      <c r="H22" s="27">
        <f t="shared" si="1"/>
        <v>137251.68599999999</v>
      </c>
      <c r="I22" s="12">
        <v>24829</v>
      </c>
      <c r="J22" s="12">
        <f t="shared" si="2"/>
        <v>137252</v>
      </c>
      <c r="K22" s="12"/>
      <c r="L22" s="12"/>
      <c r="M22" s="13">
        <f t="shared" si="3"/>
        <v>162081</v>
      </c>
      <c r="N22" s="259">
        <f t="shared" si="9"/>
        <v>1.3468150281293811E-2</v>
      </c>
      <c r="P22" s="52">
        <f>VLOOKUP($A22,'DATOS Indicadores (DESEMPEÑO)'!$BF$10:$BI$25,4,0)</f>
        <v>1351681</v>
      </c>
      <c r="Q22" s="261">
        <f t="shared" si="10"/>
        <v>4.223316572099748E-2</v>
      </c>
      <c r="S22" s="17">
        <v>4</v>
      </c>
      <c r="T22" s="17">
        <v>0</v>
      </c>
      <c r="U22" s="18">
        <f t="shared" si="4"/>
        <v>0</v>
      </c>
      <c r="V22" s="16">
        <f t="shared" si="14"/>
        <v>0</v>
      </c>
      <c r="W22" s="24"/>
      <c r="X22" s="54" t="str">
        <f t="shared" si="6"/>
        <v>UPA</v>
      </c>
      <c r="Y22" s="5">
        <f t="shared" si="7"/>
        <v>1513762</v>
      </c>
      <c r="Z22" s="55">
        <f t="shared" si="8"/>
        <v>3.252632656241751E-2</v>
      </c>
      <c r="AB22" s="87">
        <v>1399646</v>
      </c>
      <c r="AC22" s="97">
        <v>4.1069424882629109E-2</v>
      </c>
      <c r="AD22" s="89">
        <v>723472.33548556338</v>
      </c>
      <c r="AE22" s="93">
        <v>723472</v>
      </c>
      <c r="AG22" s="4" t="str">
        <f t="shared" si="11"/>
        <v>UPA</v>
      </c>
      <c r="AH22" s="94">
        <f t="shared" si="12"/>
        <v>790290</v>
      </c>
      <c r="AI22" s="100">
        <f t="shared" si="13"/>
        <v>0.52207018012078521</v>
      </c>
    </row>
    <row r="23" spans="1:35" x14ac:dyDescent="0.25">
      <c r="A23" s="8" t="s">
        <v>40</v>
      </c>
      <c r="B23" s="186" t="str">
        <f>VLOOKUP(A23,'Categoria 2016'!$A$8:$J$23,10,0)</f>
        <v>III</v>
      </c>
      <c r="C23" s="9" t="s">
        <v>41</v>
      </c>
      <c r="D23" s="4">
        <v>62296</v>
      </c>
      <c r="E23" s="4">
        <v>4329408</v>
      </c>
      <c r="F23" s="4">
        <v>4391704</v>
      </c>
      <c r="G23" s="5">
        <f t="shared" si="0"/>
        <v>219585.2</v>
      </c>
      <c r="H23" s="27">
        <f t="shared" si="1"/>
        <v>228588.19320000001</v>
      </c>
      <c r="I23" s="12">
        <v>102885</v>
      </c>
      <c r="J23" s="12">
        <f t="shared" si="2"/>
        <v>228588</v>
      </c>
      <c r="K23" s="12"/>
      <c r="L23" s="12"/>
      <c r="M23" s="13">
        <f t="shared" si="3"/>
        <v>331473</v>
      </c>
      <c r="N23" s="259">
        <f t="shared" si="9"/>
        <v>2.7543809442138831E-2</v>
      </c>
      <c r="P23" s="52">
        <f>VLOOKUP($A23,'DATOS Indicadores (DESEMPEÑO)'!$BF$10:$BI$25,4,0)</f>
        <v>1115018</v>
      </c>
      <c r="Q23" s="261">
        <f t="shared" si="10"/>
        <v>3.4838649042115089E-2</v>
      </c>
      <c r="S23" s="17">
        <v>4</v>
      </c>
      <c r="T23" s="17">
        <v>0</v>
      </c>
      <c r="U23" s="18">
        <f t="shared" si="4"/>
        <v>0</v>
      </c>
      <c r="V23" s="16">
        <f t="shared" si="14"/>
        <v>0</v>
      </c>
      <c r="W23" s="24"/>
      <c r="X23" s="54" t="str">
        <f t="shared" si="6"/>
        <v>UMC</v>
      </c>
      <c r="Y23" s="5">
        <f t="shared" si="7"/>
        <v>1446491</v>
      </c>
      <c r="Z23" s="55">
        <f t="shared" si="8"/>
        <v>3.1080869142968225E-2</v>
      </c>
      <c r="AB23" s="87">
        <v>1582414</v>
      </c>
      <c r="AC23" s="97">
        <v>4.6432335680751176E-2</v>
      </c>
      <c r="AD23" s="89">
        <v>817944.50331373245</v>
      </c>
      <c r="AE23" s="93">
        <v>817945</v>
      </c>
      <c r="AG23" s="4" t="str">
        <f t="shared" si="11"/>
        <v>UMC</v>
      </c>
      <c r="AH23" s="94">
        <f t="shared" si="12"/>
        <v>628546</v>
      </c>
      <c r="AI23" s="100">
        <f t="shared" si="13"/>
        <v>0.43453156639066542</v>
      </c>
    </row>
    <row r="24" spans="1:35" x14ac:dyDescent="0.25">
      <c r="A24" s="8" t="s">
        <v>34</v>
      </c>
      <c r="B24" s="186" t="str">
        <f>VLOOKUP(A24,'Categoria 2016'!$A$8:$J$23,10,0)</f>
        <v>III</v>
      </c>
      <c r="C24" s="9" t="s">
        <v>35</v>
      </c>
      <c r="D24" s="4">
        <v>23547</v>
      </c>
      <c r="E24" s="4">
        <v>1665559</v>
      </c>
      <c r="F24" s="4">
        <v>1689106</v>
      </c>
      <c r="G24" s="5">
        <f t="shared" si="0"/>
        <v>84455.3</v>
      </c>
      <c r="H24" s="27">
        <f t="shared" si="1"/>
        <v>87917.967300000004</v>
      </c>
      <c r="I24" s="12">
        <v>21261</v>
      </c>
      <c r="J24" s="12">
        <f t="shared" si="2"/>
        <v>87918</v>
      </c>
      <c r="K24" s="12"/>
      <c r="L24" s="12">
        <v>100000</v>
      </c>
      <c r="M24" s="13">
        <f t="shared" si="3"/>
        <v>209179</v>
      </c>
      <c r="N24" s="259">
        <f t="shared" si="9"/>
        <v>1.7381767188570891E-2</v>
      </c>
      <c r="P24" s="52">
        <f>VLOOKUP($A24,'DATOS Indicadores (DESEMPEÑO)'!$BF$10:$BI$25,4,0)</f>
        <v>1079365</v>
      </c>
      <c r="Q24" s="261">
        <f t="shared" si="10"/>
        <v>3.3724673882701943E-2</v>
      </c>
      <c r="S24" s="17">
        <v>4</v>
      </c>
      <c r="T24" s="17">
        <v>0</v>
      </c>
      <c r="U24" s="18">
        <f t="shared" si="4"/>
        <v>0</v>
      </c>
      <c r="V24" s="16">
        <f t="shared" si="14"/>
        <v>0</v>
      </c>
      <c r="W24" s="24"/>
      <c r="X24" s="54" t="str">
        <f t="shared" si="6"/>
        <v>ATA</v>
      </c>
      <c r="Y24" s="5">
        <f t="shared" si="7"/>
        <v>1288544</v>
      </c>
      <c r="Z24" s="55">
        <f t="shared" si="8"/>
        <v>2.7687049175526741E-2</v>
      </c>
      <c r="AB24" s="87">
        <v>1223200</v>
      </c>
      <c r="AC24" s="97">
        <v>3.589201877934272E-2</v>
      </c>
      <c r="AD24" s="89">
        <v>632267.98830985907</v>
      </c>
      <c r="AE24" s="93">
        <v>632268</v>
      </c>
      <c r="AG24" s="4" t="str">
        <f t="shared" si="11"/>
        <v>ATA</v>
      </c>
      <c r="AH24" s="94">
        <f t="shared" si="12"/>
        <v>656276</v>
      </c>
      <c r="AI24" s="100">
        <f t="shared" si="13"/>
        <v>0.50931594109320288</v>
      </c>
    </row>
    <row r="25" spans="1:35" x14ac:dyDescent="0.25">
      <c r="A25" s="8" t="s">
        <v>100</v>
      </c>
      <c r="B25" s="8"/>
      <c r="C25" s="9"/>
      <c r="D25" s="6">
        <f t="shared" ref="D25:M25" si="15">SUM(D9:D24)</f>
        <v>6450082</v>
      </c>
      <c r="E25" s="6">
        <f t="shared" si="15"/>
        <v>113874474</v>
      </c>
      <c r="F25" s="6">
        <f t="shared" si="15"/>
        <v>120324556</v>
      </c>
      <c r="G25" s="7">
        <f t="shared" si="15"/>
        <v>6016227.8000000007</v>
      </c>
      <c r="H25" s="28">
        <f t="shared" si="15"/>
        <v>6262893.1397999981</v>
      </c>
      <c r="I25" s="11">
        <f t="shared" si="15"/>
        <v>4471499</v>
      </c>
      <c r="J25" s="11">
        <f t="shared" si="15"/>
        <v>6262893</v>
      </c>
      <c r="K25" s="11">
        <f t="shared" si="15"/>
        <v>400000</v>
      </c>
      <c r="L25" s="11">
        <f t="shared" si="15"/>
        <v>900000</v>
      </c>
      <c r="M25" s="14">
        <f t="shared" si="15"/>
        <v>12034392</v>
      </c>
      <c r="N25" s="258">
        <f>SUM(N9:N24)</f>
        <v>1.0000000000000002</v>
      </c>
      <c r="P25" s="53">
        <f>SUM(P9:P24)</f>
        <v>32005202</v>
      </c>
      <c r="Q25" s="260">
        <f>SUM(Q9:Q24)</f>
        <v>1</v>
      </c>
      <c r="S25" s="15"/>
      <c r="T25" s="20">
        <f>SUM(T9:T24)</f>
        <v>3</v>
      </c>
      <c r="U25" s="19">
        <f>SUM(U9:U24)</f>
        <v>2500000</v>
      </c>
      <c r="V25" s="45">
        <f>SUM(V9:V24)</f>
        <v>2499999</v>
      </c>
      <c r="W25" s="24"/>
      <c r="X25" s="54" t="str">
        <f t="shared" si="6"/>
        <v>Total Estatal</v>
      </c>
      <c r="Y25" s="7">
        <f>SUM(Y9:Y24)</f>
        <v>46539593</v>
      </c>
      <c r="Z25" s="56"/>
      <c r="AB25" s="87">
        <f>SUM(AB9:AB24)</f>
        <v>34080000</v>
      </c>
      <c r="AC25" s="87">
        <f t="shared" ref="AC25" si="16">SUM(AC9:AC24)</f>
        <v>0.99999999999999978</v>
      </c>
      <c r="AD25" s="87">
        <f>SUM(AD9:AD24)</f>
        <v>17615838.000000004</v>
      </c>
      <c r="AE25" s="92">
        <f>SUM(AE9:AE24)</f>
        <v>17615838</v>
      </c>
      <c r="AG25" s="6" t="str">
        <f t="shared" si="11"/>
        <v>Total Estatal</v>
      </c>
      <c r="AH25" s="95">
        <f>SUM(AH9:AH24)</f>
        <v>28923755</v>
      </c>
    </row>
    <row r="27" spans="1:35" ht="19.5" x14ac:dyDescent="0.3">
      <c r="I27" s="32" t="s">
        <v>137</v>
      </c>
      <c r="J27" s="33"/>
      <c r="S27" s="40" t="s">
        <v>139</v>
      </c>
      <c r="T27" s="35"/>
      <c r="U27" s="37">
        <v>2500000</v>
      </c>
      <c r="X27" s="262"/>
    </row>
    <row r="28" spans="1:35" x14ac:dyDescent="0.25">
      <c r="I28" s="46" t="s">
        <v>138</v>
      </c>
      <c r="J28" s="47"/>
      <c r="L28" s="41" t="s">
        <v>114</v>
      </c>
      <c r="M28" s="42"/>
      <c r="N28" s="256"/>
      <c r="S28" s="38"/>
      <c r="T28" s="36"/>
      <c r="U28" s="39"/>
    </row>
    <row r="29" spans="1:35" x14ac:dyDescent="0.25">
      <c r="I29" s="48">
        <f>31147634+12891960</f>
        <v>44039594</v>
      </c>
      <c r="J29" s="34"/>
      <c r="L29" s="44" t="s">
        <v>140</v>
      </c>
      <c r="M29" s="43">
        <f>+I29-M25</f>
        <v>32005202</v>
      </c>
      <c r="N29" s="257"/>
    </row>
    <row r="30" spans="1:35" x14ac:dyDescent="0.25">
      <c r="I30" s="98">
        <v>0.4</v>
      </c>
      <c r="J30" s="86">
        <f>+I30*I29</f>
        <v>17615837.600000001</v>
      </c>
      <c r="M30" s="50">
        <f>+M29/I29</f>
        <v>0.72673699035463402</v>
      </c>
      <c r="N30" s="50"/>
    </row>
  </sheetData>
  <mergeCells count="24">
    <mergeCell ref="Y7:Y8"/>
    <mergeCell ref="D7:F7"/>
    <mergeCell ref="G7:G8"/>
    <mergeCell ref="H7:H8"/>
    <mergeCell ref="I7:I8"/>
    <mergeCell ref="J7:J8"/>
    <mergeCell ref="N7:N8"/>
    <mergeCell ref="Q7:Q8"/>
    <mergeCell ref="AG5:AH7"/>
    <mergeCell ref="L7:L8"/>
    <mergeCell ref="M7:M8"/>
    <mergeCell ref="P7:P8"/>
    <mergeCell ref="S7:S8"/>
    <mergeCell ref="I5:M5"/>
    <mergeCell ref="P5:P6"/>
    <mergeCell ref="S5:V6"/>
    <mergeCell ref="X5:Z6"/>
    <mergeCell ref="AB5:AE7"/>
    <mergeCell ref="Z7:Z8"/>
    <mergeCell ref="K7:K8"/>
    <mergeCell ref="T7:T8"/>
    <mergeCell ref="U7:U8"/>
    <mergeCell ref="V7:V8"/>
    <mergeCell ref="X7:X8"/>
  </mergeCells>
  <pageMargins left="0.31496062992125984" right="0.31496062992125984" top="0.55118110236220474" bottom="0.55118110236220474" header="0.31496062992125984" footer="0.31496062992125984"/>
  <pageSetup paperSize="14" scale="68" orientation="landscape" verticalDpi="0" r:id="rId1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showGridLines="0" zoomScaleNormal="100" workbookViewId="0">
      <selection activeCell="BK14" sqref="BK14"/>
    </sheetView>
  </sheetViews>
  <sheetFormatPr baseColWidth="10" defaultColWidth="11.42578125" defaultRowHeight="11.25" x14ac:dyDescent="0.2"/>
  <cols>
    <col min="1" max="1" width="45.7109375" style="57" bestFit="1" customWidth="1"/>
    <col min="2" max="2" width="33.7109375" style="57" hidden="1" customWidth="1"/>
    <col min="3" max="3" width="4" style="57" customWidth="1"/>
    <col min="4" max="4" width="9.7109375" style="57" bestFit="1" customWidth="1"/>
    <col min="5" max="5" width="9.7109375" style="57" customWidth="1"/>
    <col min="6" max="6" width="9.7109375" style="57" bestFit="1" customWidth="1"/>
    <col min="7" max="7" width="3.5703125" style="57" customWidth="1"/>
    <col min="8" max="8" width="8.7109375" style="57" customWidth="1"/>
    <col min="9" max="10" width="6.5703125" style="58" customWidth="1"/>
    <col min="11" max="13" width="10" style="57" customWidth="1"/>
    <col min="14" max="15" width="9.7109375" style="57" customWidth="1"/>
    <col min="16" max="16" width="10.140625" style="57" customWidth="1"/>
    <col min="17" max="19" width="7.5703125" style="57" customWidth="1"/>
    <col min="20" max="22" width="7.140625" style="57" customWidth="1"/>
    <col min="23" max="23" width="9" style="57" customWidth="1"/>
    <col min="24" max="25" width="11.28515625" style="57" customWidth="1"/>
    <col min="26" max="26" width="12.85546875" style="57" customWidth="1"/>
    <col min="27" max="27" width="11.28515625" style="57" customWidth="1"/>
    <col min="28" max="28" width="9.5703125" style="57" bestFit="1" customWidth="1"/>
    <col min="29" max="29" width="8.7109375" style="57" bestFit="1" customWidth="1"/>
    <col min="30" max="31" width="8.7109375" style="57" customWidth="1"/>
    <col min="32" max="32" width="12.7109375" style="59" customWidth="1"/>
    <col min="33" max="33" width="12.7109375" style="60" customWidth="1"/>
    <col min="34" max="34" width="12.7109375" style="59" customWidth="1"/>
    <col min="35" max="35" width="12.7109375" style="60" customWidth="1"/>
    <col min="36" max="54" width="12.7109375" style="59" customWidth="1"/>
    <col min="55" max="55" width="12.7109375" style="61" customWidth="1"/>
    <col min="56" max="56" width="15.85546875" style="59" customWidth="1"/>
    <col min="57" max="57" width="11.7109375" style="59" hidden="1" customWidth="1"/>
    <col min="58" max="58" width="7.42578125" style="59" bestFit="1" customWidth="1"/>
    <col min="59" max="59" width="14.7109375" style="59" hidden="1" customWidth="1"/>
    <col min="60" max="60" width="14.7109375" style="59" bestFit="1" customWidth="1"/>
    <col min="61" max="61" width="11.140625" style="59" bestFit="1" customWidth="1"/>
    <col min="62" max="16384" width="11.42578125" style="59"/>
  </cols>
  <sheetData>
    <row r="1" spans="1:61" ht="15.75" x14ac:dyDescent="0.2">
      <c r="AF1" s="287"/>
      <c r="AG1" s="287"/>
      <c r="BD1" s="195">
        <v>32005202</v>
      </c>
      <c r="BH1" s="197">
        <f>SUM(BH3:BH5)</f>
        <v>32005202</v>
      </c>
      <c r="BI1" s="107"/>
    </row>
    <row r="2" spans="1:61" s="64" customFormat="1" ht="12" x14ac:dyDescent="0.2">
      <c r="A2" s="62"/>
      <c r="B2" s="62"/>
      <c r="C2" s="62"/>
      <c r="D2" s="62"/>
      <c r="E2" s="62"/>
      <c r="F2" s="62"/>
      <c r="G2" s="62"/>
      <c r="H2" s="62"/>
      <c r="I2" s="63"/>
      <c r="J2" s="63"/>
      <c r="K2" s="62"/>
      <c r="L2" s="62"/>
      <c r="M2" s="62"/>
      <c r="N2" s="63"/>
      <c r="O2" s="63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G2" s="65" t="s">
        <v>153</v>
      </c>
      <c r="AI2" s="65" t="s">
        <v>153</v>
      </c>
      <c r="AK2" s="65" t="s">
        <v>153</v>
      </c>
      <c r="AM2" s="65" t="s">
        <v>153</v>
      </c>
      <c r="AO2" s="65" t="s">
        <v>153</v>
      </c>
      <c r="AQ2" s="65" t="s">
        <v>153</v>
      </c>
      <c r="AS2" s="65" t="s">
        <v>153</v>
      </c>
      <c r="AU2" s="65" t="s">
        <v>153</v>
      </c>
      <c r="AW2" s="65" t="s">
        <v>153</v>
      </c>
      <c r="AZ2" s="65" t="s">
        <v>153</v>
      </c>
      <c r="BB2" s="65" t="s">
        <v>153</v>
      </c>
      <c r="BC2" s="66" t="s">
        <v>154</v>
      </c>
      <c r="BD2" s="196"/>
      <c r="BH2" s="105"/>
    </row>
    <row r="3" spans="1:61" s="253" customFormat="1" ht="19.5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70"/>
      <c r="AE3" s="70"/>
      <c r="AF3" s="214" t="s">
        <v>158</v>
      </c>
      <c r="AG3" s="69">
        <f>MAX(AF10:AF11)</f>
        <v>3.9170506912442393</v>
      </c>
      <c r="AH3" s="70"/>
      <c r="AI3" s="69">
        <f>MAX(AH10:AH11)</f>
        <v>0.48885063169766546</v>
      </c>
      <c r="AJ3" s="70"/>
      <c r="AK3" s="69">
        <f>MAX(AJ10:AJ11)</f>
        <v>0.75919761594745039</v>
      </c>
      <c r="AL3" s="70"/>
      <c r="AM3" s="69">
        <f>MAX(AL10:AL11)</f>
        <v>1.0355592117808121</v>
      </c>
      <c r="AN3" s="70"/>
      <c r="AO3" s="69">
        <f>MAX(AN10:AN11)</f>
        <v>2.1183550651955869</v>
      </c>
      <c r="AP3" s="70"/>
      <c r="AQ3" s="69">
        <f>MAX(AP10:AP11)</f>
        <v>5.4655136702568354</v>
      </c>
      <c r="AR3" s="70"/>
      <c r="AS3" s="69">
        <f>MAX(AR10:AR11)</f>
        <v>0.70588235294117652</v>
      </c>
      <c r="AT3" s="70"/>
      <c r="AU3" s="69">
        <f>MAX(AT10:AT11)</f>
        <v>0.82985187998480825</v>
      </c>
      <c r="AV3" s="70"/>
      <c r="AW3" s="69">
        <f>MAX(AV10:AV11)</f>
        <v>0.70239198961616911</v>
      </c>
      <c r="AX3" s="70"/>
      <c r="AY3" s="70"/>
      <c r="AZ3" s="69">
        <f>MAX(AY10:AY11)</f>
        <v>0.10810810810810811</v>
      </c>
      <c r="BA3" s="70"/>
      <c r="BB3" s="69">
        <f>MAX(BA10:BA11)</f>
        <v>7.0904809832379003</v>
      </c>
      <c r="BC3" s="71">
        <f>SUM(BC10:BC11)</f>
        <v>1.7071514090409048</v>
      </c>
      <c r="BD3" s="195">
        <f>BD1*6/26</f>
        <v>7385815.846153846</v>
      </c>
      <c r="BE3" s="72">
        <f>SUM(BD3:BD5)</f>
        <v>32005202</v>
      </c>
      <c r="BF3" s="72"/>
      <c r="BG3" s="70"/>
      <c r="BH3" s="106">
        <f>ROUND(BD3,0)</f>
        <v>7385816</v>
      </c>
      <c r="BI3" s="72"/>
    </row>
    <row r="4" spans="1:61" s="253" customFormat="1" ht="19.5" x14ac:dyDescent="0.25">
      <c r="A4" s="67"/>
      <c r="B4" s="67"/>
      <c r="C4" s="67"/>
      <c r="D4" s="67"/>
      <c r="E4" s="67"/>
      <c r="F4" s="67"/>
      <c r="G4" s="67"/>
      <c r="H4" s="67"/>
      <c r="I4" s="205"/>
      <c r="J4" s="205"/>
      <c r="K4" s="205"/>
      <c r="L4" s="205"/>
      <c r="M4" s="205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70"/>
      <c r="AE4" s="70"/>
      <c r="AF4" s="214" t="s">
        <v>159</v>
      </c>
      <c r="AG4" s="69">
        <f>MAX(AF12:AF17)</f>
        <v>3.7441299657316915</v>
      </c>
      <c r="AH4" s="70"/>
      <c r="AI4" s="69">
        <f>MAX(AH12:AH17)</f>
        <v>0.47668876349093453</v>
      </c>
      <c r="AJ4" s="70"/>
      <c r="AK4" s="69">
        <f>MAX(AJ12:AJ17)</f>
        <v>0.95124089190818251</v>
      </c>
      <c r="AL4" s="70"/>
      <c r="AM4" s="69">
        <f>MAX(AL12:AL17)</f>
        <v>0.99191587249425006</v>
      </c>
      <c r="AN4" s="70"/>
      <c r="AO4" s="69">
        <f>MAX(AN12:AN17)</f>
        <v>2.2742616033755274</v>
      </c>
      <c r="AP4" s="70"/>
      <c r="AQ4" s="69">
        <f>MAX(AP12:AP17)</f>
        <v>5.5358361774744029</v>
      </c>
      <c r="AR4" s="70"/>
      <c r="AS4" s="69">
        <f>MAX(AR12:AR17)</f>
        <v>0.84066193853427895</v>
      </c>
      <c r="AT4" s="70"/>
      <c r="AU4" s="69">
        <f>MAX(AT12:AT17)</f>
        <v>0.86964206805125943</v>
      </c>
      <c r="AV4" s="70"/>
      <c r="AW4" s="69">
        <f>MAX(AV12:AV17)</f>
        <v>0.72163038443723948</v>
      </c>
      <c r="AX4" s="70"/>
      <c r="AY4" s="70"/>
      <c r="AZ4" s="69">
        <f>MAX(AY12:AY17)</f>
        <v>0.21212121212121213</v>
      </c>
      <c r="BA4" s="70"/>
      <c r="BB4" s="69">
        <f>MAX(BA12:BA17)</f>
        <v>7.2316879417082358</v>
      </c>
      <c r="BC4" s="71">
        <f>SUM(BC12:BC17)</f>
        <v>4.1001527590439792</v>
      </c>
      <c r="BD4" s="195">
        <f>BD1*12/26</f>
        <v>14771631.692307692</v>
      </c>
      <c r="BE4" s="70"/>
      <c r="BF4" s="70"/>
      <c r="BG4" s="70"/>
      <c r="BH4" s="106">
        <f>ROUND(BD4,0)</f>
        <v>14771632</v>
      </c>
      <c r="BI4" s="70"/>
    </row>
    <row r="5" spans="1:61" s="253" customFormat="1" ht="19.5" x14ac:dyDescent="0.25">
      <c r="A5" s="67"/>
      <c r="B5" s="67"/>
      <c r="C5" s="67"/>
      <c r="D5" s="67"/>
      <c r="E5" s="67"/>
      <c r="F5" s="67"/>
      <c r="G5" s="67"/>
      <c r="H5" s="67"/>
      <c r="I5" s="205"/>
      <c r="J5" s="205"/>
      <c r="K5" s="205"/>
      <c r="L5" s="205"/>
      <c r="M5" s="205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70"/>
      <c r="AE5" s="70"/>
      <c r="AF5" s="214" t="s">
        <v>160</v>
      </c>
      <c r="AG5" s="69">
        <f>MAX(AF18:AF25)</f>
        <v>4.6356233034036336</v>
      </c>
      <c r="AH5" s="70"/>
      <c r="AI5" s="69">
        <f>MAX(AH18:AH25)</f>
        <v>0.28869170449855691</v>
      </c>
      <c r="AJ5" s="70"/>
      <c r="AK5" s="69">
        <f>MAX(AJ18:AJ25)</f>
        <v>0.74621429940579409</v>
      </c>
      <c r="AL5" s="70"/>
      <c r="AM5" s="69">
        <f>MAX(AL18:AL25)</f>
        <v>0.29054890631448754</v>
      </c>
      <c r="AN5" s="70"/>
      <c r="AO5" s="69">
        <f>MAX(AN18:AN25)</f>
        <v>1.0064331665475339</v>
      </c>
      <c r="AP5" s="70"/>
      <c r="AQ5" s="69">
        <f>MAX(AP18:AP25)</f>
        <v>6.2774327122153206</v>
      </c>
      <c r="AR5" s="70"/>
      <c r="AS5" s="69">
        <f>MAX(AR18:AR25)</f>
        <v>0.81355932203389836</v>
      </c>
      <c r="AT5" s="70"/>
      <c r="AU5" s="69">
        <f>MAX(AT18:AT25)</f>
        <v>0.80991735537190079</v>
      </c>
      <c r="AV5" s="70"/>
      <c r="AW5" s="69">
        <f>MAX(AV18:AV25)</f>
        <v>0.65895953757225434</v>
      </c>
      <c r="AX5" s="70"/>
      <c r="AY5" s="70"/>
      <c r="AZ5" s="69">
        <f>MAX(AY18:AY25)</f>
        <v>8.6956521739130432E-2</v>
      </c>
      <c r="BA5" s="70"/>
      <c r="BB5" s="69">
        <f>MAX(BA18:BA25)</f>
        <v>0</v>
      </c>
      <c r="BC5" s="71">
        <f>SUM(BC18:BC25)</f>
        <v>5.1272914205730142</v>
      </c>
      <c r="BD5" s="195">
        <f>BD1*8/26</f>
        <v>9847754.461538462</v>
      </c>
      <c r="BE5" s="70"/>
      <c r="BF5" s="70"/>
      <c r="BG5" s="70"/>
      <c r="BH5" s="106">
        <f>ROUND(BD5,0)</f>
        <v>9847754</v>
      </c>
      <c r="BI5" s="70"/>
    </row>
    <row r="6" spans="1:61" s="253" customFormat="1" ht="19.5" x14ac:dyDescent="0.25">
      <c r="A6" s="207" t="s">
        <v>54</v>
      </c>
      <c r="B6" s="208"/>
      <c r="C6" s="208"/>
      <c r="D6" s="208"/>
      <c r="E6" s="208"/>
      <c r="F6" s="208"/>
      <c r="G6" s="208"/>
      <c r="H6" s="208"/>
      <c r="I6" s="284" t="s">
        <v>155</v>
      </c>
      <c r="J6" s="284"/>
      <c r="K6" s="284" t="s">
        <v>156</v>
      </c>
      <c r="L6" s="284"/>
      <c r="M6" s="284"/>
      <c r="N6" s="286" t="s">
        <v>157</v>
      </c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70"/>
      <c r="AE6" s="70"/>
      <c r="AF6" s="68"/>
      <c r="AG6" s="73"/>
      <c r="AH6" s="70"/>
      <c r="AI6" s="73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4"/>
      <c r="BD6" s="104"/>
      <c r="BE6" s="70"/>
      <c r="BF6" s="70"/>
      <c r="BG6" s="70"/>
      <c r="BH6" s="104"/>
      <c r="BI6" s="70"/>
    </row>
    <row r="7" spans="1:61" s="254" customFormat="1" ht="61.5" customHeight="1" x14ac:dyDescent="0.25">
      <c r="A7" s="209"/>
      <c r="B7" s="210"/>
      <c r="C7" s="210"/>
      <c r="D7" s="210"/>
      <c r="E7" s="210"/>
      <c r="F7" s="210"/>
      <c r="G7" s="210"/>
      <c r="H7" s="210"/>
      <c r="I7" s="285" t="s">
        <v>161</v>
      </c>
      <c r="J7" s="285"/>
      <c r="K7" s="285" t="s">
        <v>162</v>
      </c>
      <c r="L7" s="285"/>
      <c r="M7" s="285"/>
      <c r="N7" s="285" t="s">
        <v>163</v>
      </c>
      <c r="O7" s="285"/>
      <c r="P7" s="285" t="s">
        <v>164</v>
      </c>
      <c r="Q7" s="285"/>
      <c r="R7" s="285"/>
      <c r="S7" s="285"/>
      <c r="T7" s="288" t="s">
        <v>165</v>
      </c>
      <c r="U7" s="289"/>
      <c r="V7" s="289"/>
      <c r="W7" s="290"/>
      <c r="X7" s="285" t="s">
        <v>166</v>
      </c>
      <c r="Y7" s="285"/>
      <c r="Z7" s="285" t="s">
        <v>252</v>
      </c>
      <c r="AA7" s="285"/>
      <c r="AB7" s="285" t="s">
        <v>167</v>
      </c>
      <c r="AC7" s="285"/>
      <c r="AD7" s="198"/>
      <c r="AE7" s="198"/>
      <c r="AF7" s="199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8"/>
      <c r="AU7" s="200"/>
      <c r="AV7" s="198"/>
      <c r="AW7" s="200"/>
      <c r="AX7" s="198"/>
      <c r="AY7" s="198"/>
      <c r="AZ7" s="200"/>
      <c r="BA7" s="198"/>
      <c r="BB7" s="200"/>
      <c r="BC7" s="201"/>
      <c r="BD7" s="202"/>
      <c r="BE7" s="203"/>
      <c r="BF7" s="203"/>
      <c r="BG7" s="198"/>
      <c r="BH7" s="204"/>
      <c r="BI7" s="203"/>
    </row>
    <row r="8" spans="1:61" s="255" customFormat="1" ht="15.75" x14ac:dyDescent="0.25">
      <c r="A8" s="76"/>
      <c r="B8" s="76"/>
      <c r="C8" s="76"/>
      <c r="D8" s="76"/>
      <c r="E8" s="76"/>
      <c r="F8" s="76"/>
      <c r="G8" s="76"/>
      <c r="H8" s="76"/>
      <c r="I8" s="211" t="s">
        <v>206</v>
      </c>
      <c r="J8" s="211" t="s">
        <v>250</v>
      </c>
      <c r="K8" s="212" t="s">
        <v>146</v>
      </c>
      <c r="L8" s="212" t="s">
        <v>147</v>
      </c>
      <c r="M8" s="212" t="s">
        <v>147</v>
      </c>
      <c r="N8" s="211" t="s">
        <v>104</v>
      </c>
      <c r="O8" s="211" t="s">
        <v>104</v>
      </c>
      <c r="P8" s="211" t="s">
        <v>249</v>
      </c>
      <c r="Q8" s="211" t="s">
        <v>148</v>
      </c>
      <c r="R8" s="211" t="s">
        <v>106</v>
      </c>
      <c r="S8" s="211" t="s">
        <v>106</v>
      </c>
      <c r="T8" s="211"/>
      <c r="U8" s="211"/>
      <c r="V8" s="211" t="s">
        <v>149</v>
      </c>
      <c r="W8" s="211" t="s">
        <v>149</v>
      </c>
      <c r="X8" s="213" t="s">
        <v>150</v>
      </c>
      <c r="Y8" s="213" t="s">
        <v>150</v>
      </c>
      <c r="Z8" s="211" t="s">
        <v>151</v>
      </c>
      <c r="AA8" s="211" t="s">
        <v>151</v>
      </c>
      <c r="AB8" s="211" t="s">
        <v>152</v>
      </c>
      <c r="AC8" s="211" t="s">
        <v>152</v>
      </c>
      <c r="AD8" s="75"/>
      <c r="AE8" s="75"/>
      <c r="AF8" s="75"/>
      <c r="AG8" s="77"/>
      <c r="AH8" s="75"/>
      <c r="AI8" s="77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8"/>
      <c r="BD8" s="103"/>
      <c r="BE8" s="75"/>
      <c r="BF8" s="75"/>
      <c r="BG8" s="103"/>
      <c r="BH8" s="103"/>
      <c r="BI8" s="75"/>
    </row>
    <row r="9" spans="1:61" s="194" customFormat="1" ht="58.5" customHeight="1" x14ac:dyDescent="0.25">
      <c r="A9" s="188" t="s">
        <v>168</v>
      </c>
      <c r="B9" s="187" t="s">
        <v>169</v>
      </c>
      <c r="C9" s="187" t="s">
        <v>170</v>
      </c>
      <c r="D9" s="187" t="s">
        <v>171</v>
      </c>
      <c r="E9" s="79" t="s">
        <v>172</v>
      </c>
      <c r="F9" s="187" t="s">
        <v>173</v>
      </c>
      <c r="G9" s="187" t="s">
        <v>174</v>
      </c>
      <c r="H9" s="187" t="s">
        <v>175</v>
      </c>
      <c r="I9" s="79" t="s">
        <v>176</v>
      </c>
      <c r="J9" s="79" t="s">
        <v>177</v>
      </c>
      <c r="K9" s="79" t="s">
        <v>178</v>
      </c>
      <c r="L9" s="79" t="s">
        <v>179</v>
      </c>
      <c r="M9" s="79" t="s">
        <v>180</v>
      </c>
      <c r="N9" s="189" t="s">
        <v>181</v>
      </c>
      <c r="O9" s="189" t="s">
        <v>182</v>
      </c>
      <c r="P9" s="190" t="s">
        <v>183</v>
      </c>
      <c r="Q9" s="189" t="s">
        <v>184</v>
      </c>
      <c r="R9" s="189" t="s">
        <v>185</v>
      </c>
      <c r="S9" s="189" t="s">
        <v>186</v>
      </c>
      <c r="T9" s="191" t="s">
        <v>253</v>
      </c>
      <c r="U9" s="191" t="s">
        <v>254</v>
      </c>
      <c r="V9" s="191" t="s">
        <v>187</v>
      </c>
      <c r="W9" s="191" t="s">
        <v>188</v>
      </c>
      <c r="X9" s="192" t="s">
        <v>189</v>
      </c>
      <c r="Y9" s="193" t="s">
        <v>190</v>
      </c>
      <c r="Z9" s="192" t="s">
        <v>191</v>
      </c>
      <c r="AA9" s="192" t="s">
        <v>192</v>
      </c>
      <c r="AB9" s="192" t="s">
        <v>193</v>
      </c>
      <c r="AC9" s="192" t="s">
        <v>194</v>
      </c>
      <c r="AD9" s="187" t="s">
        <v>171</v>
      </c>
      <c r="AE9" s="79" t="s">
        <v>172</v>
      </c>
      <c r="AF9" s="79" t="s">
        <v>104</v>
      </c>
      <c r="AG9" s="80" t="s">
        <v>195</v>
      </c>
      <c r="AH9" s="79" t="s">
        <v>105</v>
      </c>
      <c r="AI9" s="80" t="s">
        <v>196</v>
      </c>
      <c r="AJ9" s="79" t="s">
        <v>106</v>
      </c>
      <c r="AK9" s="80" t="s">
        <v>197</v>
      </c>
      <c r="AL9" s="79" t="s">
        <v>110</v>
      </c>
      <c r="AM9" s="80" t="s">
        <v>198</v>
      </c>
      <c r="AN9" s="79" t="s">
        <v>199</v>
      </c>
      <c r="AO9" s="80" t="s">
        <v>200</v>
      </c>
      <c r="AP9" s="79" t="s">
        <v>147</v>
      </c>
      <c r="AQ9" s="80" t="s">
        <v>201</v>
      </c>
      <c r="AR9" s="79" t="s">
        <v>150</v>
      </c>
      <c r="AS9" s="80" t="s">
        <v>202</v>
      </c>
      <c r="AT9" s="79" t="s">
        <v>151</v>
      </c>
      <c r="AU9" s="80" t="s">
        <v>203</v>
      </c>
      <c r="AV9" s="79" t="s">
        <v>152</v>
      </c>
      <c r="AW9" s="80" t="s">
        <v>204</v>
      </c>
      <c r="AX9" s="79" t="s">
        <v>149</v>
      </c>
      <c r="AY9" s="79" t="s">
        <v>255</v>
      </c>
      <c r="AZ9" s="80" t="s">
        <v>205</v>
      </c>
      <c r="BA9" s="79" t="s">
        <v>206</v>
      </c>
      <c r="BB9" s="80" t="s">
        <v>207</v>
      </c>
      <c r="BC9" s="81" t="s">
        <v>208</v>
      </c>
      <c r="BD9" s="108" t="s">
        <v>209</v>
      </c>
      <c r="BE9" s="79" t="s">
        <v>210</v>
      </c>
      <c r="BF9" s="79" t="s">
        <v>55</v>
      </c>
      <c r="BG9" s="79" t="s">
        <v>211</v>
      </c>
      <c r="BH9" s="79" t="s">
        <v>210</v>
      </c>
      <c r="BI9" s="108" t="s">
        <v>211</v>
      </c>
    </row>
    <row r="10" spans="1:61" ht="11.25" customHeight="1" x14ac:dyDescent="0.2">
      <c r="A10" s="227" t="s">
        <v>62</v>
      </c>
      <c r="B10" s="227" t="s">
        <v>63</v>
      </c>
      <c r="C10" s="227">
        <v>70</v>
      </c>
      <c r="D10" s="227" t="s">
        <v>4</v>
      </c>
      <c r="E10" s="228" t="s">
        <v>134</v>
      </c>
      <c r="F10" s="227" t="s">
        <v>115</v>
      </c>
      <c r="G10" s="227" t="s">
        <v>120</v>
      </c>
      <c r="H10" s="227" t="s">
        <v>119</v>
      </c>
      <c r="I10" s="228">
        <v>2</v>
      </c>
      <c r="J10" s="228">
        <v>2</v>
      </c>
      <c r="K10" s="228">
        <v>2160</v>
      </c>
      <c r="L10" s="228">
        <v>9656</v>
      </c>
      <c r="M10" s="228">
        <v>52775</v>
      </c>
      <c r="N10" s="228">
        <v>1462</v>
      </c>
      <c r="O10" s="228">
        <v>37324</v>
      </c>
      <c r="P10" s="229">
        <v>2085.8295454545082</v>
      </c>
      <c r="Q10" s="229">
        <v>1019.6590909090908</v>
      </c>
      <c r="R10" s="229">
        <v>443.51136363636243</v>
      </c>
      <c r="S10" s="229">
        <v>120.38636363636361</v>
      </c>
      <c r="T10" s="228">
        <v>187</v>
      </c>
      <c r="U10" s="228">
        <v>193</v>
      </c>
      <c r="V10" s="228">
        <v>227</v>
      </c>
      <c r="W10" s="228">
        <v>23</v>
      </c>
      <c r="X10" s="230">
        <v>5596</v>
      </c>
      <c r="Y10" s="230">
        <v>2574</v>
      </c>
      <c r="Z10" s="230">
        <v>5266</v>
      </c>
      <c r="AA10" s="230">
        <v>4370</v>
      </c>
      <c r="AB10" s="231">
        <v>5393</v>
      </c>
      <c r="AC10" s="231">
        <v>3788</v>
      </c>
      <c r="AD10" s="231" t="str">
        <f t="shared" ref="AD10:AD25" si="0">+D10</f>
        <v>UCH</v>
      </c>
      <c r="AE10" s="232" t="str">
        <f t="shared" ref="AE10:AE25" si="1">+E10</f>
        <v>I</v>
      </c>
      <c r="AF10" s="84">
        <f t="shared" ref="AF10:AF25" si="2">N10/(O10/100)</f>
        <v>3.9170506912442393</v>
      </c>
      <c r="AG10" s="233">
        <f>AF10/AG$3</f>
        <v>1</v>
      </c>
      <c r="AH10" s="84">
        <f t="shared" ref="AH10:AH25" si="3">Q10/P10</f>
        <v>0.48885063169766546</v>
      </c>
      <c r="AI10" s="233">
        <f>AH10/AI$3</f>
        <v>1</v>
      </c>
      <c r="AJ10" s="84">
        <f t="shared" ref="AJ10:AJ25" si="4">(Q10+R10+S10)/P10</f>
        <v>0.75919761594745039</v>
      </c>
      <c r="AK10" s="233">
        <f>AJ10/AK$3</f>
        <v>1</v>
      </c>
      <c r="AL10" s="84">
        <f t="shared" ref="AL10:AL25" si="5">K10/P10</f>
        <v>1.0355592117808121</v>
      </c>
      <c r="AM10" s="233">
        <f>AL10/AM$3</f>
        <v>1</v>
      </c>
      <c r="AN10" s="84">
        <f t="shared" ref="AN10:AN25" si="6">K10/Q10</f>
        <v>2.1183550651955869</v>
      </c>
      <c r="AO10" s="233">
        <f>AN10/AO$3</f>
        <v>1</v>
      </c>
      <c r="AP10" s="84">
        <f t="shared" ref="AP10:AP25" si="7">M10/L10</f>
        <v>5.4655136702568354</v>
      </c>
      <c r="AQ10" s="233">
        <f>AP10/AQ$3</f>
        <v>1</v>
      </c>
      <c r="AR10" s="84">
        <f t="shared" ref="AR10:AR25" si="8">Y10/X10</f>
        <v>0.45997140814867765</v>
      </c>
      <c r="AS10" s="233">
        <f>AR10/AS$3</f>
        <v>0.65162616154395991</v>
      </c>
      <c r="AT10" s="84">
        <f t="shared" ref="AT10:AT25" si="9">AA10/Z10</f>
        <v>0.82985187998480825</v>
      </c>
      <c r="AU10" s="233">
        <f>AT10/AU$3</f>
        <v>1</v>
      </c>
      <c r="AV10" s="84">
        <f t="shared" ref="AV10:AV25" si="10">AC10/AB10</f>
        <v>0.70239198961616911</v>
      </c>
      <c r="AW10" s="233">
        <f>AV10/AW$3</f>
        <v>1</v>
      </c>
      <c r="AX10" s="84">
        <f t="shared" ref="AX10:AX25" si="11">W10/V10</f>
        <v>0.1013215859030837</v>
      </c>
      <c r="AY10" s="84">
        <f t="shared" ref="AY10:AY16" si="12">W10/V10</f>
        <v>0.1013215859030837</v>
      </c>
      <c r="AZ10" s="233">
        <f>AY10/AZ$3</f>
        <v>0.93722466960352413</v>
      </c>
      <c r="BA10" s="84">
        <f t="shared" ref="BA10:BA25" si="13">(I10+J10)*1000/P10</f>
        <v>1.9177022440385407</v>
      </c>
      <c r="BB10" s="233">
        <f>BA10/BB$3</f>
        <v>0.27046151714841965</v>
      </c>
      <c r="BC10" s="234">
        <f>AVERAGE(AG10,AI10,AK10,AM10,AO10,AQ10,AS10,AU10,AW10,AZ10,BB10)</f>
        <v>0.89630112257235472</v>
      </c>
      <c r="BD10" s="234">
        <f>BC10/$BC$3</f>
        <v>0.52502731616283871</v>
      </c>
      <c r="BE10" s="235">
        <f>BD10*$BD$3</f>
        <v>3877755.0713791195</v>
      </c>
      <c r="BF10" s="232" t="str">
        <f>+AD10</f>
        <v>UCH</v>
      </c>
      <c r="BG10" s="236">
        <f t="shared" ref="BG10:BG25" si="14">ROUND(BE10,0)</f>
        <v>3877755</v>
      </c>
      <c r="BH10" s="237">
        <f>BD10*$BH$3</f>
        <v>3877755.1521525527</v>
      </c>
      <c r="BI10" s="236">
        <f>ROUND(BH10,0)</f>
        <v>3877755</v>
      </c>
    </row>
    <row r="11" spans="1:61" ht="11.25" customHeight="1" x14ac:dyDescent="0.2">
      <c r="A11" s="227" t="s">
        <v>74</v>
      </c>
      <c r="B11" s="227" t="s">
        <v>75</v>
      </c>
      <c r="C11" s="227">
        <v>71</v>
      </c>
      <c r="D11" s="227" t="s">
        <v>14</v>
      </c>
      <c r="E11" s="228" t="s">
        <v>134</v>
      </c>
      <c r="F11" s="227" t="s">
        <v>115</v>
      </c>
      <c r="G11" s="227" t="s">
        <v>120</v>
      </c>
      <c r="H11" s="227" t="s">
        <v>119</v>
      </c>
      <c r="I11" s="228">
        <v>5</v>
      </c>
      <c r="J11" s="228">
        <v>2</v>
      </c>
      <c r="K11" s="228">
        <v>462</v>
      </c>
      <c r="L11" s="228">
        <v>2083</v>
      </c>
      <c r="M11" s="228">
        <v>9094</v>
      </c>
      <c r="N11" s="228">
        <v>533</v>
      </c>
      <c r="O11" s="228">
        <v>23057</v>
      </c>
      <c r="P11" s="229">
        <v>987.23909090909342</v>
      </c>
      <c r="Q11" s="229">
        <v>387.61590909090921</v>
      </c>
      <c r="R11" s="229">
        <v>283.54068181818377</v>
      </c>
      <c r="S11" s="229">
        <v>34.11931818181818</v>
      </c>
      <c r="T11" s="228">
        <v>68</v>
      </c>
      <c r="U11" s="228">
        <v>61</v>
      </c>
      <c r="V11" s="228">
        <v>74</v>
      </c>
      <c r="W11" s="228">
        <v>8</v>
      </c>
      <c r="X11" s="230">
        <v>3791</v>
      </c>
      <c r="Y11" s="230">
        <v>2676</v>
      </c>
      <c r="Z11" s="230">
        <v>3231</v>
      </c>
      <c r="AA11" s="230">
        <v>2588</v>
      </c>
      <c r="AB11" s="231">
        <v>3340</v>
      </c>
      <c r="AC11" s="231">
        <v>1892</v>
      </c>
      <c r="AD11" s="231" t="str">
        <f t="shared" si="0"/>
        <v>USA</v>
      </c>
      <c r="AE11" s="232" t="str">
        <f t="shared" si="1"/>
        <v>I</v>
      </c>
      <c r="AF11" s="84">
        <f t="shared" si="2"/>
        <v>2.3116624018736176</v>
      </c>
      <c r="AG11" s="233">
        <f>AF11/AG$3</f>
        <v>0.5901538131842059</v>
      </c>
      <c r="AH11" s="84">
        <f t="shared" si="3"/>
        <v>0.39262617602993755</v>
      </c>
      <c r="AI11" s="233">
        <f>AH11/AI$3</f>
        <v>0.80316184652648892</v>
      </c>
      <c r="AJ11" s="84">
        <f t="shared" si="4"/>
        <v>0.71439220304927542</v>
      </c>
      <c r="AK11" s="233">
        <f>AJ11/AK$3</f>
        <v>0.94098320126801305</v>
      </c>
      <c r="AL11" s="84">
        <f t="shared" si="5"/>
        <v>0.46797174489370147</v>
      </c>
      <c r="AM11" s="233">
        <f>AL11/AM$3</f>
        <v>0.45190244997091777</v>
      </c>
      <c r="AN11" s="84">
        <f t="shared" si="6"/>
        <v>1.1919015426470672</v>
      </c>
      <c r="AO11" s="233">
        <f>AN11/AO$3</f>
        <v>0.56265427936511636</v>
      </c>
      <c r="AP11" s="84">
        <f t="shared" si="7"/>
        <v>4.3658185309649546</v>
      </c>
      <c r="AQ11" s="233">
        <f>AP11/AQ$3</f>
        <v>0.79879381781141823</v>
      </c>
      <c r="AR11" s="84">
        <f t="shared" si="8"/>
        <v>0.70588235294117652</v>
      </c>
      <c r="AS11" s="233">
        <f>AR11/AS$3</f>
        <v>1</v>
      </c>
      <c r="AT11" s="84">
        <f t="shared" si="9"/>
        <v>0.80099040544722999</v>
      </c>
      <c r="AU11" s="233">
        <f>AT11/AU$3</f>
        <v>0.96522093251375585</v>
      </c>
      <c r="AV11" s="84">
        <f t="shared" si="10"/>
        <v>0.56646706586826345</v>
      </c>
      <c r="AW11" s="233">
        <f>AV11/AW$3</f>
        <v>0.8064828105141354</v>
      </c>
      <c r="AX11" s="84">
        <f t="shared" si="11"/>
        <v>0.10810810810810811</v>
      </c>
      <c r="AY11" s="84">
        <f t="shared" si="12"/>
        <v>0.10810810810810811</v>
      </c>
      <c r="AZ11" s="233">
        <f>AY11/AZ$3</f>
        <v>1</v>
      </c>
      <c r="BA11" s="84">
        <f t="shared" si="13"/>
        <v>7.0904809832379003</v>
      </c>
      <c r="BB11" s="233">
        <f>BA11/BB$3</f>
        <v>1</v>
      </c>
      <c r="BC11" s="234">
        <f t="shared" ref="BC11:BC25" si="15">AVERAGE(AG11,AI11,AK11,AM11,AO11,AQ11,AS11,AU11,AW11,AZ11,BB11)</f>
        <v>0.81085028646855017</v>
      </c>
      <c r="BD11" s="234">
        <f>BC11/$BC$3</f>
        <v>0.47497268383716135</v>
      </c>
      <c r="BE11" s="235">
        <f>BD11*$BD$3</f>
        <v>3508060.7747747269</v>
      </c>
      <c r="BF11" s="232" t="str">
        <f t="shared" ref="BF11:BF25" si="16">+AD11</f>
        <v>USA</v>
      </c>
      <c r="BG11" s="236">
        <f t="shared" si="14"/>
        <v>3508061</v>
      </c>
      <c r="BH11" s="237">
        <f>BD11*$BH$3</f>
        <v>3508060.8478474477</v>
      </c>
      <c r="BI11" s="236">
        <f>ROUND(BH11,0)</f>
        <v>3508061</v>
      </c>
    </row>
    <row r="12" spans="1:61" ht="11.25" customHeight="1" x14ac:dyDescent="0.2">
      <c r="A12" s="82" t="s">
        <v>58</v>
      </c>
      <c r="B12" s="82" t="s">
        <v>59</v>
      </c>
      <c r="C12" s="82">
        <v>73</v>
      </c>
      <c r="D12" s="82" t="s">
        <v>22</v>
      </c>
      <c r="E12" s="83" t="s">
        <v>128</v>
      </c>
      <c r="F12" s="82" t="s">
        <v>115</v>
      </c>
      <c r="G12" s="82" t="s">
        <v>128</v>
      </c>
      <c r="H12" s="82" t="s">
        <v>127</v>
      </c>
      <c r="I12" s="83">
        <v>0</v>
      </c>
      <c r="J12" s="83">
        <v>0</v>
      </c>
      <c r="K12" s="83">
        <v>121</v>
      </c>
      <c r="L12" s="83">
        <v>529</v>
      </c>
      <c r="M12" s="83">
        <v>1796</v>
      </c>
      <c r="N12" s="83">
        <v>295</v>
      </c>
      <c r="O12" s="83">
        <v>7879</v>
      </c>
      <c r="P12" s="239">
        <v>387.70454545454487</v>
      </c>
      <c r="Q12" s="239">
        <v>121.81818181818181</v>
      </c>
      <c r="R12" s="239">
        <v>117.63636363636361</v>
      </c>
      <c r="S12" s="239">
        <v>17.56818181818182</v>
      </c>
      <c r="T12" s="83">
        <v>13</v>
      </c>
      <c r="U12" s="83">
        <v>13</v>
      </c>
      <c r="V12" s="83">
        <v>13</v>
      </c>
      <c r="W12" s="83">
        <v>1</v>
      </c>
      <c r="X12" s="240">
        <v>1150</v>
      </c>
      <c r="Y12" s="240">
        <v>485</v>
      </c>
      <c r="Z12" s="240">
        <v>1088</v>
      </c>
      <c r="AA12" s="240">
        <v>885</v>
      </c>
      <c r="AB12" s="241">
        <v>817</v>
      </c>
      <c r="AC12" s="241">
        <v>544</v>
      </c>
      <c r="AD12" s="241" t="str">
        <f t="shared" si="0"/>
        <v>ANT</v>
      </c>
      <c r="AE12" s="242" t="str">
        <f t="shared" si="1"/>
        <v>II</v>
      </c>
      <c r="AF12" s="243">
        <f t="shared" si="2"/>
        <v>3.7441299657316915</v>
      </c>
      <c r="AG12" s="244">
        <f>AF12/AG$4</f>
        <v>1</v>
      </c>
      <c r="AH12" s="243">
        <f t="shared" si="3"/>
        <v>0.31420364616917801</v>
      </c>
      <c r="AI12" s="244">
        <f>AH12/AI$4</f>
        <v>0.65913793282680011</v>
      </c>
      <c r="AJ12" s="243">
        <f t="shared" si="4"/>
        <v>0.66293452136702125</v>
      </c>
      <c r="AK12" s="244">
        <f>AJ12/AK$4</f>
        <v>0.6969154995399528</v>
      </c>
      <c r="AL12" s="243">
        <f t="shared" si="5"/>
        <v>0.31209332317251937</v>
      </c>
      <c r="AM12" s="244">
        <f>AL12/AM$4</f>
        <v>0.31463688789225269</v>
      </c>
      <c r="AN12" s="243">
        <f t="shared" si="6"/>
        <v>0.99328358208955225</v>
      </c>
      <c r="AO12" s="244">
        <f>AN12/AO$4</f>
        <v>0.43674992385013706</v>
      </c>
      <c r="AP12" s="243">
        <f t="shared" si="7"/>
        <v>3.3950850661625709</v>
      </c>
      <c r="AQ12" s="244">
        <f>AP12/AQ$4</f>
        <v>0.61329218519459505</v>
      </c>
      <c r="AR12" s="243">
        <f t="shared" si="8"/>
        <v>0.42173913043478262</v>
      </c>
      <c r="AS12" s="244">
        <f>AR12/AS$4</f>
        <v>0.50167506235633585</v>
      </c>
      <c r="AT12" s="243">
        <f t="shared" si="9"/>
        <v>0.81341911764705888</v>
      </c>
      <c r="AU12" s="244">
        <f>AT12/AU$4</f>
        <v>0.93534932074964139</v>
      </c>
      <c r="AV12" s="243">
        <f t="shared" si="10"/>
        <v>0.66585067319461444</v>
      </c>
      <c r="AW12" s="244">
        <f>AV12/AW$4</f>
        <v>0.92270321144234435</v>
      </c>
      <c r="AX12" s="243">
        <f t="shared" si="11"/>
        <v>7.6923076923076927E-2</v>
      </c>
      <c r="AY12" s="243">
        <f t="shared" si="12"/>
        <v>7.6923076923076927E-2</v>
      </c>
      <c r="AZ12" s="244">
        <f>AY12/AZ$4</f>
        <v>0.36263736263736263</v>
      </c>
      <c r="BA12" s="243">
        <f t="shared" si="13"/>
        <v>0</v>
      </c>
      <c r="BB12" s="244">
        <f>BA12/BB$4</f>
        <v>0</v>
      </c>
      <c r="BC12" s="245">
        <f t="shared" si="15"/>
        <v>0.58573612604449299</v>
      </c>
      <c r="BD12" s="245">
        <f>BC12/$BC$4</f>
        <v>0.14285714715201669</v>
      </c>
      <c r="BE12" s="246">
        <f>BD12*$BD$4</f>
        <v>2110233.1623433935</v>
      </c>
      <c r="BF12" s="242" t="str">
        <f t="shared" si="16"/>
        <v>ANT</v>
      </c>
      <c r="BG12" s="247">
        <f t="shared" si="14"/>
        <v>2110233</v>
      </c>
      <c r="BH12" s="248">
        <f t="shared" ref="BH12:BH17" si="17">BD12*$BH$4</f>
        <v>2110233.2062994386</v>
      </c>
      <c r="BI12" s="247">
        <f>ROUND(BH12,0)</f>
        <v>2110233</v>
      </c>
    </row>
    <row r="13" spans="1:61" ht="11.25" customHeight="1" x14ac:dyDescent="0.2">
      <c r="A13" s="82" t="s">
        <v>64</v>
      </c>
      <c r="B13" s="82" t="s">
        <v>65</v>
      </c>
      <c r="C13" s="82">
        <v>76</v>
      </c>
      <c r="D13" s="82" t="s">
        <v>28</v>
      </c>
      <c r="E13" s="83" t="s">
        <v>128</v>
      </c>
      <c r="F13" s="82" t="s">
        <v>115</v>
      </c>
      <c r="G13" s="82" t="s">
        <v>129</v>
      </c>
      <c r="H13" s="82" t="s">
        <v>123</v>
      </c>
      <c r="I13" s="83"/>
      <c r="J13" s="83"/>
      <c r="K13" s="83">
        <v>343</v>
      </c>
      <c r="L13" s="83">
        <v>1438</v>
      </c>
      <c r="M13" s="83">
        <v>6705</v>
      </c>
      <c r="N13" s="83">
        <v>251</v>
      </c>
      <c r="O13" s="83">
        <v>9779</v>
      </c>
      <c r="P13" s="239">
        <v>345.79545454545422</v>
      </c>
      <c r="Q13" s="239">
        <v>150.81818181818181</v>
      </c>
      <c r="R13" s="239">
        <v>113.7045454545454</v>
      </c>
      <c r="S13" s="239">
        <v>10.363636363636363</v>
      </c>
      <c r="T13" s="83">
        <v>17</v>
      </c>
      <c r="U13" s="83">
        <v>29</v>
      </c>
      <c r="V13" s="83">
        <v>33</v>
      </c>
      <c r="W13" s="83">
        <v>7</v>
      </c>
      <c r="X13" s="240">
        <v>1897</v>
      </c>
      <c r="Y13" s="240">
        <v>1401</v>
      </c>
      <c r="Z13" s="240">
        <v>1961</v>
      </c>
      <c r="AA13" s="240">
        <v>1642</v>
      </c>
      <c r="AB13" s="241">
        <v>1788</v>
      </c>
      <c r="AC13" s="241">
        <v>1146</v>
      </c>
      <c r="AD13" s="241" t="str">
        <f t="shared" si="0"/>
        <v>FRO</v>
      </c>
      <c r="AE13" s="242" t="str">
        <f t="shared" si="1"/>
        <v>II</v>
      </c>
      <c r="AF13" s="243">
        <f t="shared" si="2"/>
        <v>2.5667246139687081</v>
      </c>
      <c r="AG13" s="244">
        <f t="shared" ref="AG13:AI17" si="18">AF13/AG$4</f>
        <v>0.6855329909647272</v>
      </c>
      <c r="AH13" s="243">
        <f t="shared" si="3"/>
        <v>0.43614853762734185</v>
      </c>
      <c r="AI13" s="244">
        <f t="shared" si="18"/>
        <v>0.91495451756256119</v>
      </c>
      <c r="AJ13" s="243">
        <f t="shared" si="4"/>
        <v>0.79493920473217272</v>
      </c>
      <c r="AK13" s="244">
        <f t="shared" ref="AK13:AM17" si="19">AJ13/AK$4</f>
        <v>0.8356865348140472</v>
      </c>
      <c r="AL13" s="243">
        <f t="shared" si="5"/>
        <v>0.99191587249425006</v>
      </c>
      <c r="AM13" s="244">
        <f t="shared" si="19"/>
        <v>1</v>
      </c>
      <c r="AN13" s="243">
        <f t="shared" si="6"/>
        <v>2.2742616033755274</v>
      </c>
      <c r="AO13" s="244">
        <f t="shared" ref="AO13:AQ17" si="20">AN13/AO$4</f>
        <v>1</v>
      </c>
      <c r="AP13" s="243">
        <f t="shared" si="7"/>
        <v>4.6627260083449231</v>
      </c>
      <c r="AQ13" s="244">
        <f t="shared" si="20"/>
        <v>0.84228034552716546</v>
      </c>
      <c r="AR13" s="243">
        <f t="shared" si="8"/>
        <v>0.73853452820242493</v>
      </c>
      <c r="AS13" s="244">
        <f t="shared" ref="AS13:AU17" si="21">AR13/AS$4</f>
        <v>0.87851548208556174</v>
      </c>
      <c r="AT13" s="243">
        <f t="shared" si="9"/>
        <v>0.83732789393166751</v>
      </c>
      <c r="AU13" s="244">
        <f t="shared" si="21"/>
        <v>0.9628419837232538</v>
      </c>
      <c r="AV13" s="243">
        <f t="shared" si="10"/>
        <v>0.64093959731543626</v>
      </c>
      <c r="AW13" s="244">
        <f t="shared" ref="AW13:AW17" si="22">AV13/AW$4</f>
        <v>0.88818266405906732</v>
      </c>
      <c r="AX13" s="243">
        <f t="shared" si="11"/>
        <v>0.21212121212121213</v>
      </c>
      <c r="AY13" s="243">
        <f t="shared" si="12"/>
        <v>0.21212121212121213</v>
      </c>
      <c r="AZ13" s="244">
        <f t="shared" ref="AZ13:AZ17" si="23">AY13/AZ$4</f>
        <v>1</v>
      </c>
      <c r="BA13" s="243">
        <f t="shared" si="13"/>
        <v>0</v>
      </c>
      <c r="BB13" s="244">
        <f t="shared" ref="BB13:BB17" si="24">BA13/BB$4</f>
        <v>0</v>
      </c>
      <c r="BC13" s="245">
        <f t="shared" si="15"/>
        <v>0.81890859261239857</v>
      </c>
      <c r="BD13" s="245">
        <f t="shared" ref="BD13:BD17" si="25">BC13/$BC$4</f>
        <v>0.19972636161081497</v>
      </c>
      <c r="BE13" s="246">
        <f t="shared" ref="BE13:BE17" si="26">BD13*$BD$4</f>
        <v>2950284.2529596207</v>
      </c>
      <c r="BF13" s="242" t="str">
        <f t="shared" si="16"/>
        <v>FRO</v>
      </c>
      <c r="BG13" s="247">
        <f t="shared" si="14"/>
        <v>2950284</v>
      </c>
      <c r="BH13" s="248">
        <f t="shared" si="17"/>
        <v>2950284.3144138861</v>
      </c>
      <c r="BI13" s="247">
        <f t="shared" ref="BI13:BI25" si="27">ROUND(BH13,0)</f>
        <v>2950284</v>
      </c>
    </row>
    <row r="14" spans="1:61" ht="11.25" customHeight="1" x14ac:dyDescent="0.2">
      <c r="A14" s="82" t="s">
        <v>76</v>
      </c>
      <c r="B14" s="82" t="s">
        <v>77</v>
      </c>
      <c r="C14" s="82">
        <v>78</v>
      </c>
      <c r="D14" s="82" t="s">
        <v>32</v>
      </c>
      <c r="E14" s="83" t="s">
        <v>128</v>
      </c>
      <c r="F14" s="82" t="s">
        <v>115</v>
      </c>
      <c r="G14" s="82" t="s">
        <v>126</v>
      </c>
      <c r="H14" s="82" t="s">
        <v>121</v>
      </c>
      <c r="I14" s="83">
        <v>0</v>
      </c>
      <c r="J14" s="83">
        <f>2+1</f>
        <v>3</v>
      </c>
      <c r="K14" s="83">
        <v>265</v>
      </c>
      <c r="L14" s="83">
        <v>1135</v>
      </c>
      <c r="M14" s="83">
        <v>3297</v>
      </c>
      <c r="N14" s="83">
        <v>318</v>
      </c>
      <c r="O14" s="83">
        <v>10424</v>
      </c>
      <c r="P14" s="239">
        <v>414.84090909090776</v>
      </c>
      <c r="Q14" s="239">
        <v>197.75</v>
      </c>
      <c r="R14" s="239">
        <v>183.59090909090909</v>
      </c>
      <c r="S14" s="239">
        <v>13.272727272727272</v>
      </c>
      <c r="T14" s="83">
        <v>13</v>
      </c>
      <c r="U14" s="83">
        <v>14</v>
      </c>
      <c r="V14" s="83">
        <v>11</v>
      </c>
      <c r="W14" s="83">
        <v>2</v>
      </c>
      <c r="X14" s="240">
        <v>1740</v>
      </c>
      <c r="Y14" s="240">
        <v>1283</v>
      </c>
      <c r="Z14" s="240">
        <v>2179</v>
      </c>
      <c r="AA14" s="240">
        <v>1890</v>
      </c>
      <c r="AB14" s="241">
        <v>1295</v>
      </c>
      <c r="AC14" s="241">
        <v>915</v>
      </c>
      <c r="AD14" s="241" t="str">
        <f t="shared" si="0"/>
        <v>TAL</v>
      </c>
      <c r="AE14" s="242" t="str">
        <f t="shared" si="1"/>
        <v>II</v>
      </c>
      <c r="AF14" s="243">
        <f t="shared" si="2"/>
        <v>3.0506523407521104</v>
      </c>
      <c r="AG14" s="244">
        <f t="shared" si="18"/>
        <v>0.81478270484019932</v>
      </c>
      <c r="AH14" s="243">
        <f t="shared" si="3"/>
        <v>0.47668876349093453</v>
      </c>
      <c r="AI14" s="244">
        <f t="shared" si="18"/>
        <v>1</v>
      </c>
      <c r="AJ14" s="243">
        <f t="shared" si="4"/>
        <v>0.95124089190818251</v>
      </c>
      <c r="AK14" s="244">
        <f t="shared" si="19"/>
        <v>1</v>
      </c>
      <c r="AL14" s="243">
        <f t="shared" si="5"/>
        <v>0.63879910151756081</v>
      </c>
      <c r="AM14" s="244">
        <f t="shared" si="19"/>
        <v>0.64400532266032851</v>
      </c>
      <c r="AN14" s="243">
        <f t="shared" si="6"/>
        <v>1.3400758533501895</v>
      </c>
      <c r="AO14" s="244">
        <f t="shared" si="20"/>
        <v>0.58923557930240245</v>
      </c>
      <c r="AP14" s="243">
        <f t="shared" si="7"/>
        <v>2.9048458149779735</v>
      </c>
      <c r="AQ14" s="244">
        <f t="shared" si="20"/>
        <v>0.52473478655274119</v>
      </c>
      <c r="AR14" s="243">
        <f t="shared" si="8"/>
        <v>0.73735632183908051</v>
      </c>
      <c r="AS14" s="244">
        <f t="shared" si="21"/>
        <v>0.87711395989294449</v>
      </c>
      <c r="AT14" s="243">
        <f t="shared" si="9"/>
        <v>0.86737035337310697</v>
      </c>
      <c r="AU14" s="244">
        <f t="shared" si="21"/>
        <v>0.99738775898543752</v>
      </c>
      <c r="AV14" s="243">
        <f t="shared" si="10"/>
        <v>0.70656370656370659</v>
      </c>
      <c r="AW14" s="244">
        <f t="shared" si="22"/>
        <v>0.97912133663096435</v>
      </c>
      <c r="AX14" s="243">
        <f t="shared" si="11"/>
        <v>0.18181818181818182</v>
      </c>
      <c r="AY14" s="243">
        <f t="shared" si="12"/>
        <v>0.18181818181818182</v>
      </c>
      <c r="AZ14" s="244">
        <f t="shared" si="23"/>
        <v>0.8571428571428571</v>
      </c>
      <c r="BA14" s="243">
        <f t="shared" si="13"/>
        <v>7.2316879417082358</v>
      </c>
      <c r="BB14" s="244">
        <f t="shared" si="24"/>
        <v>1</v>
      </c>
      <c r="BC14" s="245">
        <f t="shared" si="15"/>
        <v>0.84395675509162504</v>
      </c>
      <c r="BD14" s="245">
        <f t="shared" si="25"/>
        <v>0.20583544191860989</v>
      </c>
      <c r="BE14" s="246">
        <f t="shared" si="26"/>
        <v>3040525.3372450969</v>
      </c>
      <c r="BF14" s="242" t="str">
        <f t="shared" si="16"/>
        <v>TAL</v>
      </c>
      <c r="BG14" s="247">
        <f t="shared" si="14"/>
        <v>3040525</v>
      </c>
      <c r="BH14" s="248">
        <f t="shared" si="17"/>
        <v>3040525.4005790791</v>
      </c>
      <c r="BI14" s="249">
        <v>3040526</v>
      </c>
    </row>
    <row r="15" spans="1:61" ht="11.25" customHeight="1" x14ac:dyDescent="0.2">
      <c r="A15" s="82" t="s">
        <v>78</v>
      </c>
      <c r="B15" s="82" t="s">
        <v>79</v>
      </c>
      <c r="C15" s="82">
        <v>80</v>
      </c>
      <c r="D15" s="82" t="s">
        <v>36</v>
      </c>
      <c r="E15" s="83" t="s">
        <v>128</v>
      </c>
      <c r="F15" s="82" t="s">
        <v>115</v>
      </c>
      <c r="G15" s="82" t="s">
        <v>132</v>
      </c>
      <c r="H15" s="82" t="s">
        <v>127</v>
      </c>
      <c r="I15" s="83">
        <v>0</v>
      </c>
      <c r="J15" s="83">
        <v>0</v>
      </c>
      <c r="K15" s="83">
        <v>182</v>
      </c>
      <c r="L15" s="83">
        <v>708</v>
      </c>
      <c r="M15" s="83">
        <v>2194</v>
      </c>
      <c r="N15" s="83">
        <v>306</v>
      </c>
      <c r="O15" s="83">
        <v>9809</v>
      </c>
      <c r="P15" s="239">
        <v>352.86363636363592</v>
      </c>
      <c r="Q15" s="239">
        <v>107.15909090909091</v>
      </c>
      <c r="R15" s="239">
        <v>180.54545454545448</v>
      </c>
      <c r="S15" s="239">
        <v>1.8636363636363635</v>
      </c>
      <c r="T15" s="83">
        <v>7</v>
      </c>
      <c r="U15" s="83">
        <v>1</v>
      </c>
      <c r="V15" s="83">
        <v>5</v>
      </c>
      <c r="W15" s="83">
        <v>0</v>
      </c>
      <c r="X15" s="240">
        <v>1291</v>
      </c>
      <c r="Y15" s="240">
        <v>884</v>
      </c>
      <c r="Z15" s="240">
        <v>1527</v>
      </c>
      <c r="AA15" s="240">
        <v>1229</v>
      </c>
      <c r="AB15" s="241">
        <v>1466</v>
      </c>
      <c r="AC15" s="241">
        <v>936</v>
      </c>
      <c r="AD15" s="241" t="str">
        <f t="shared" si="0"/>
        <v>UTA</v>
      </c>
      <c r="AE15" s="242" t="str">
        <f t="shared" si="1"/>
        <v>II</v>
      </c>
      <c r="AF15" s="243">
        <f t="shared" si="2"/>
        <v>3.119584055459272</v>
      </c>
      <c r="AG15" s="244">
        <f t="shared" si="18"/>
        <v>0.83319331433774935</v>
      </c>
      <c r="AH15" s="243">
        <f t="shared" si="3"/>
        <v>0.30368414272832706</v>
      </c>
      <c r="AI15" s="244">
        <f t="shared" si="18"/>
        <v>0.63707006748881001</v>
      </c>
      <c r="AJ15" s="243">
        <f t="shared" si="4"/>
        <v>0.82062347030787153</v>
      </c>
      <c r="AK15" s="244">
        <f t="shared" si="19"/>
        <v>0.86268733534121589</v>
      </c>
      <c r="AL15" s="243">
        <f t="shared" si="5"/>
        <v>0.5157799819657356</v>
      </c>
      <c r="AM15" s="244">
        <f t="shared" si="19"/>
        <v>0.51998359565390007</v>
      </c>
      <c r="AN15" s="243">
        <f t="shared" si="6"/>
        <v>1.6984093319194062</v>
      </c>
      <c r="AO15" s="244">
        <f t="shared" si="20"/>
        <v>0.74679594000908955</v>
      </c>
      <c r="AP15" s="243">
        <f t="shared" si="7"/>
        <v>3.0988700564971752</v>
      </c>
      <c r="AQ15" s="244">
        <f t="shared" si="20"/>
        <v>0.55978355521188183</v>
      </c>
      <c r="AR15" s="243">
        <f t="shared" si="8"/>
        <v>0.6847405112316034</v>
      </c>
      <c r="AS15" s="244">
        <f t="shared" si="21"/>
        <v>0.81452541127943823</v>
      </c>
      <c r="AT15" s="243">
        <f t="shared" si="9"/>
        <v>0.80484610347085794</v>
      </c>
      <c r="AU15" s="244">
        <f t="shared" si="21"/>
        <v>0.92549122568828834</v>
      </c>
      <c r="AV15" s="243">
        <f t="shared" si="10"/>
        <v>0.63847203274215547</v>
      </c>
      <c r="AW15" s="244">
        <f t="shared" si="22"/>
        <v>0.88476323407593938</v>
      </c>
      <c r="AX15" s="243">
        <f t="shared" si="11"/>
        <v>0</v>
      </c>
      <c r="AY15" s="243">
        <f t="shared" si="12"/>
        <v>0</v>
      </c>
      <c r="AZ15" s="244">
        <f t="shared" si="23"/>
        <v>0</v>
      </c>
      <c r="BA15" s="243">
        <f t="shared" si="13"/>
        <v>0</v>
      </c>
      <c r="BB15" s="244">
        <f t="shared" si="24"/>
        <v>0</v>
      </c>
      <c r="BC15" s="245">
        <f t="shared" si="15"/>
        <v>0.61675397082602845</v>
      </c>
      <c r="BD15" s="245">
        <f t="shared" si="25"/>
        <v>0.15042219328672896</v>
      </c>
      <c r="BE15" s="246">
        <f t="shared" si="26"/>
        <v>2221981.2375806789</v>
      </c>
      <c r="BF15" s="242" t="str">
        <f t="shared" si="16"/>
        <v>UTA</v>
      </c>
      <c r="BG15" s="247">
        <f t="shared" si="14"/>
        <v>2221981</v>
      </c>
      <c r="BH15" s="248">
        <f t="shared" si="17"/>
        <v>2221981.2838644306</v>
      </c>
      <c r="BI15" s="247">
        <f t="shared" si="27"/>
        <v>2221981</v>
      </c>
    </row>
    <row r="16" spans="1:61" ht="11.25" customHeight="1" x14ac:dyDescent="0.2">
      <c r="A16" s="82" t="s">
        <v>80</v>
      </c>
      <c r="B16" s="82" t="s">
        <v>81</v>
      </c>
      <c r="C16" s="82">
        <v>72</v>
      </c>
      <c r="D16" s="82" t="s">
        <v>20</v>
      </c>
      <c r="E16" s="83" t="s">
        <v>128</v>
      </c>
      <c r="F16" s="82" t="s">
        <v>115</v>
      </c>
      <c r="G16" s="82" t="s">
        <v>122</v>
      </c>
      <c r="H16" s="82" t="s">
        <v>121</v>
      </c>
      <c r="I16" s="83"/>
      <c r="J16" s="83"/>
      <c r="K16" s="83">
        <v>287</v>
      </c>
      <c r="L16" s="83">
        <v>1172</v>
      </c>
      <c r="M16" s="83">
        <v>6488</v>
      </c>
      <c r="N16" s="83">
        <v>535</v>
      </c>
      <c r="O16" s="83">
        <v>15378</v>
      </c>
      <c r="P16" s="239">
        <v>877.82272727273255</v>
      </c>
      <c r="Q16" s="239">
        <v>195.31818181818181</v>
      </c>
      <c r="R16" s="239">
        <v>311.63181818181857</v>
      </c>
      <c r="S16" s="239">
        <v>69.613636363636388</v>
      </c>
      <c r="T16" s="83">
        <v>12</v>
      </c>
      <c r="U16" s="83">
        <v>5</v>
      </c>
      <c r="V16" s="83">
        <v>8</v>
      </c>
      <c r="W16" s="83">
        <v>0</v>
      </c>
      <c r="X16" s="240">
        <v>2850</v>
      </c>
      <c r="Y16" s="240">
        <v>1845</v>
      </c>
      <c r="Z16" s="240">
        <v>3009</v>
      </c>
      <c r="AA16" s="240">
        <v>2347</v>
      </c>
      <c r="AB16" s="241">
        <v>3002</v>
      </c>
      <c r="AC16" s="241">
        <v>1948</v>
      </c>
      <c r="AD16" s="241" t="str">
        <f t="shared" si="0"/>
        <v>UVA</v>
      </c>
      <c r="AE16" s="242" t="str">
        <f t="shared" si="1"/>
        <v>II</v>
      </c>
      <c r="AF16" s="243">
        <f t="shared" si="2"/>
        <v>3.4789959682663545</v>
      </c>
      <c r="AG16" s="244">
        <f t="shared" si="18"/>
        <v>0.92918675369391901</v>
      </c>
      <c r="AH16" s="243">
        <f t="shared" si="3"/>
        <v>0.2225029903531969</v>
      </c>
      <c r="AI16" s="244">
        <f t="shared" si="18"/>
        <v>0.46676785230627399</v>
      </c>
      <c r="AJ16" s="243">
        <f t="shared" si="4"/>
        <v>0.6568110148559676</v>
      </c>
      <c r="AK16" s="244">
        <f t="shared" si="19"/>
        <v>0.69047811174140061</v>
      </c>
      <c r="AL16" s="243">
        <f t="shared" si="5"/>
        <v>0.32694528300909598</v>
      </c>
      <c r="AM16" s="244">
        <f t="shared" si="19"/>
        <v>0.32960989139831637</v>
      </c>
      <c r="AN16" s="243">
        <f t="shared" si="6"/>
        <v>1.4693972538980684</v>
      </c>
      <c r="AO16" s="244">
        <f t="shared" si="20"/>
        <v>0.64609860700156252</v>
      </c>
      <c r="AP16" s="243">
        <f t="shared" si="7"/>
        <v>5.5358361774744029</v>
      </c>
      <c r="AQ16" s="244">
        <f t="shared" si="20"/>
        <v>1</v>
      </c>
      <c r="AR16" s="243">
        <f t="shared" si="8"/>
        <v>0.64736842105263159</v>
      </c>
      <c r="AS16" s="244">
        <f t="shared" si="21"/>
        <v>0.77006985968859154</v>
      </c>
      <c r="AT16" s="243">
        <f t="shared" si="9"/>
        <v>0.77999335327351282</v>
      </c>
      <c r="AU16" s="244">
        <f t="shared" si="21"/>
        <v>0.8969130886473371</v>
      </c>
      <c r="AV16" s="243">
        <f t="shared" si="10"/>
        <v>0.64890073284477012</v>
      </c>
      <c r="AW16" s="244">
        <f t="shared" si="22"/>
        <v>0.89921481528360636</v>
      </c>
      <c r="AX16" s="243">
        <f t="shared" si="11"/>
        <v>0</v>
      </c>
      <c r="AY16" s="243">
        <f t="shared" si="12"/>
        <v>0</v>
      </c>
      <c r="AZ16" s="244">
        <f t="shared" si="23"/>
        <v>0</v>
      </c>
      <c r="BA16" s="243">
        <f t="shared" si="13"/>
        <v>0</v>
      </c>
      <c r="BB16" s="244">
        <f t="shared" si="24"/>
        <v>0</v>
      </c>
      <c r="BC16" s="245">
        <f t="shared" si="15"/>
        <v>0.60257627088736443</v>
      </c>
      <c r="BD16" s="245">
        <f t="shared" si="25"/>
        <v>0.14696434652543663</v>
      </c>
      <c r="BE16" s="246">
        <f t="shared" si="26"/>
        <v>2170903.1987744295</v>
      </c>
      <c r="BF16" s="242" t="str">
        <f t="shared" si="16"/>
        <v>UVA</v>
      </c>
      <c r="BG16" s="247">
        <f t="shared" si="14"/>
        <v>2170903</v>
      </c>
      <c r="BH16" s="248">
        <f t="shared" si="17"/>
        <v>2170903.2439942285</v>
      </c>
      <c r="BI16" s="247">
        <f t="shared" si="27"/>
        <v>2170903</v>
      </c>
    </row>
    <row r="17" spans="1:61" ht="11.25" customHeight="1" x14ac:dyDescent="0.2">
      <c r="A17" s="82" t="s">
        <v>82</v>
      </c>
      <c r="B17" s="82" t="s">
        <v>83</v>
      </c>
      <c r="C17" s="82">
        <v>75</v>
      </c>
      <c r="D17" s="82" t="s">
        <v>26</v>
      </c>
      <c r="E17" s="83" t="s">
        <v>128</v>
      </c>
      <c r="F17" s="82" t="s">
        <v>115</v>
      </c>
      <c r="G17" s="82" t="s">
        <v>124</v>
      </c>
      <c r="H17" s="82" t="s">
        <v>123</v>
      </c>
      <c r="I17" s="83">
        <v>0</v>
      </c>
      <c r="J17" s="83">
        <v>1</v>
      </c>
      <c r="K17" s="83">
        <v>142</v>
      </c>
      <c r="L17" s="83">
        <v>630</v>
      </c>
      <c r="M17" s="83">
        <v>1638</v>
      </c>
      <c r="N17" s="83">
        <v>428</v>
      </c>
      <c r="O17" s="83">
        <v>12418</v>
      </c>
      <c r="P17" s="239">
        <v>482.97727272727252</v>
      </c>
      <c r="Q17" s="239">
        <v>179.22727272727272</v>
      </c>
      <c r="R17" s="239">
        <v>213.43181818181824</v>
      </c>
      <c r="S17" s="239">
        <v>0</v>
      </c>
      <c r="T17" s="83">
        <v>4</v>
      </c>
      <c r="U17" s="83"/>
      <c r="V17" s="83"/>
      <c r="W17" s="83"/>
      <c r="X17" s="240">
        <v>2115</v>
      </c>
      <c r="Y17" s="240">
        <v>1778</v>
      </c>
      <c r="Z17" s="240">
        <v>2263</v>
      </c>
      <c r="AA17" s="240">
        <v>1968</v>
      </c>
      <c r="AB17" s="241">
        <v>2159</v>
      </c>
      <c r="AC17" s="241">
        <v>1558</v>
      </c>
      <c r="AD17" s="241" t="str">
        <f t="shared" si="0"/>
        <v>UBB</v>
      </c>
      <c r="AE17" s="242" t="str">
        <f t="shared" si="1"/>
        <v>II</v>
      </c>
      <c r="AF17" s="243">
        <f t="shared" si="2"/>
        <v>3.446609760025769</v>
      </c>
      <c r="AG17" s="244">
        <f t="shared" si="18"/>
        <v>0.92053689149976392</v>
      </c>
      <c r="AH17" s="243">
        <f t="shared" si="3"/>
        <v>0.37108841936850046</v>
      </c>
      <c r="AI17" s="244">
        <f t="shared" si="18"/>
        <v>0.77847108593646908</v>
      </c>
      <c r="AJ17" s="243">
        <f t="shared" si="4"/>
        <v>0.81299703543362722</v>
      </c>
      <c r="AK17" s="244">
        <f t="shared" si="19"/>
        <v>0.85466998144156825</v>
      </c>
      <c r="AL17" s="243">
        <f t="shared" si="5"/>
        <v>0.29400969366147489</v>
      </c>
      <c r="AM17" s="244">
        <f t="shared" si="19"/>
        <v>0.296405876561048</v>
      </c>
      <c r="AN17" s="243">
        <f t="shared" si="6"/>
        <v>0.79229013441541973</v>
      </c>
      <c r="AO17" s="244">
        <f t="shared" si="20"/>
        <v>0.34837247097672447</v>
      </c>
      <c r="AP17" s="243">
        <f t="shared" si="7"/>
        <v>2.6</v>
      </c>
      <c r="AQ17" s="244">
        <f t="shared" si="20"/>
        <v>0.46966707768187421</v>
      </c>
      <c r="AR17" s="243">
        <f t="shared" si="8"/>
        <v>0.84066193853427895</v>
      </c>
      <c r="AS17" s="244">
        <f t="shared" si="21"/>
        <v>1</v>
      </c>
      <c r="AT17" s="243">
        <f t="shared" si="9"/>
        <v>0.86964206805125943</v>
      </c>
      <c r="AU17" s="244">
        <f t="shared" si="21"/>
        <v>1</v>
      </c>
      <c r="AV17" s="243">
        <f t="shared" si="10"/>
        <v>0.72163038443723948</v>
      </c>
      <c r="AW17" s="244">
        <f t="shared" si="22"/>
        <v>1</v>
      </c>
      <c r="AX17" s="243" t="e">
        <f t="shared" si="11"/>
        <v>#DIV/0!</v>
      </c>
      <c r="AY17" s="250">
        <v>0</v>
      </c>
      <c r="AZ17" s="244">
        <f t="shared" si="23"/>
        <v>0</v>
      </c>
      <c r="BA17" s="243">
        <f t="shared" si="13"/>
        <v>2.0704908004329217</v>
      </c>
      <c r="BB17" s="244">
        <f t="shared" si="24"/>
        <v>0.28630809530531814</v>
      </c>
      <c r="BC17" s="245">
        <f t="shared" si="15"/>
        <v>0.63222104358206976</v>
      </c>
      <c r="BD17" s="245">
        <f t="shared" si="25"/>
        <v>0.15419450950639285</v>
      </c>
      <c r="BE17" s="246">
        <f t="shared" si="26"/>
        <v>2277704.5034044725</v>
      </c>
      <c r="BF17" s="242" t="str">
        <f t="shared" si="16"/>
        <v>UBB</v>
      </c>
      <c r="BG17" s="247">
        <f t="shared" si="14"/>
        <v>2277705</v>
      </c>
      <c r="BH17" s="248">
        <f t="shared" si="17"/>
        <v>2277704.5508489367</v>
      </c>
      <c r="BI17" s="247">
        <f t="shared" si="27"/>
        <v>2277705</v>
      </c>
    </row>
    <row r="18" spans="1:61" ht="11.25" customHeight="1" x14ac:dyDescent="0.2">
      <c r="A18" s="215" t="s">
        <v>56</v>
      </c>
      <c r="B18" s="215" t="s">
        <v>57</v>
      </c>
      <c r="C18" s="215">
        <v>81</v>
      </c>
      <c r="D18" s="215" t="s">
        <v>38</v>
      </c>
      <c r="E18" s="216" t="s">
        <v>131</v>
      </c>
      <c r="F18" s="215" t="s">
        <v>115</v>
      </c>
      <c r="G18" s="215" t="s">
        <v>134</v>
      </c>
      <c r="H18" s="215" t="s">
        <v>127</v>
      </c>
      <c r="I18" s="216"/>
      <c r="J18" s="216"/>
      <c r="K18" s="216">
        <v>48</v>
      </c>
      <c r="L18" s="216">
        <v>231</v>
      </c>
      <c r="M18" s="216">
        <v>1019</v>
      </c>
      <c r="N18" s="216">
        <v>203</v>
      </c>
      <c r="O18" s="216">
        <v>14187</v>
      </c>
      <c r="P18" s="217">
        <v>350.08977272726946</v>
      </c>
      <c r="Q18" s="217">
        <v>48.36363636363636</v>
      </c>
      <c r="R18" s="217">
        <v>149.15090909090907</v>
      </c>
      <c r="S18" s="217">
        <v>0</v>
      </c>
      <c r="T18" s="216"/>
      <c r="U18" s="216"/>
      <c r="V18" s="216"/>
      <c r="W18" s="216"/>
      <c r="X18" s="218">
        <v>1033</v>
      </c>
      <c r="Y18" s="218">
        <v>658</v>
      </c>
      <c r="Z18" s="218">
        <v>967</v>
      </c>
      <c r="AA18" s="218">
        <v>674</v>
      </c>
      <c r="AB18" s="219">
        <v>1051</v>
      </c>
      <c r="AC18" s="219">
        <v>513</v>
      </c>
      <c r="AD18" s="219" t="str">
        <f t="shared" si="0"/>
        <v>UAP</v>
      </c>
      <c r="AE18" s="220" t="str">
        <f t="shared" si="1"/>
        <v>III</v>
      </c>
      <c r="AF18" s="221">
        <f t="shared" si="2"/>
        <v>1.4308874321561993</v>
      </c>
      <c r="AG18" s="222">
        <f>AF18/AG$5</f>
        <v>0.30867206813495668</v>
      </c>
      <c r="AH18" s="221">
        <f t="shared" si="3"/>
        <v>0.13814638453124164</v>
      </c>
      <c r="AI18" s="222">
        <f>AH18/AI$5</f>
        <v>0.47852564648920209</v>
      </c>
      <c r="AJ18" s="221">
        <f t="shared" si="4"/>
        <v>0.56418256356324714</v>
      </c>
      <c r="AK18" s="222">
        <f>AJ18/AK$5</f>
        <v>0.75605970565359348</v>
      </c>
      <c r="AL18" s="221">
        <f t="shared" si="5"/>
        <v>0.13710768991070599</v>
      </c>
      <c r="AM18" s="222">
        <f>AL18/AM$5</f>
        <v>0.47189194979210092</v>
      </c>
      <c r="AN18" s="221">
        <f t="shared" si="6"/>
        <v>0.99248120300751885</v>
      </c>
      <c r="AO18" s="222">
        <f>AN18/AO$5</f>
        <v>0.9861372180451129</v>
      </c>
      <c r="AP18" s="221">
        <f t="shared" si="7"/>
        <v>4.4112554112554117</v>
      </c>
      <c r="AQ18" s="222">
        <f>AP18/AQ$5</f>
        <v>0.70271647877188781</v>
      </c>
      <c r="AR18" s="221">
        <f t="shared" si="8"/>
        <v>0.63697967086156826</v>
      </c>
      <c r="AS18" s="222">
        <f>AR18/AS$5</f>
        <v>0.7829541787673443</v>
      </c>
      <c r="AT18" s="221">
        <f t="shared" si="9"/>
        <v>0.69700103412616343</v>
      </c>
      <c r="AU18" s="222">
        <f>AT18/AU$5</f>
        <v>0.86058290948230387</v>
      </c>
      <c r="AV18" s="221">
        <f t="shared" si="10"/>
        <v>0.48810656517602286</v>
      </c>
      <c r="AW18" s="222">
        <f>AV18/AW$5</f>
        <v>0.74072312083729785</v>
      </c>
      <c r="AX18" s="221" t="e">
        <f t="shared" si="11"/>
        <v>#DIV/0!</v>
      </c>
      <c r="AY18" s="251"/>
      <c r="AZ18" s="222"/>
      <c r="BA18" s="221">
        <f t="shared" si="13"/>
        <v>0</v>
      </c>
      <c r="BB18" s="252">
        <v>0</v>
      </c>
      <c r="BC18" s="223">
        <f t="shared" si="15"/>
        <v>0.60882632759737987</v>
      </c>
      <c r="BD18" s="223">
        <f>BC18/$BC$5</f>
        <v>0.11874229055022952</v>
      </c>
      <c r="BE18" s="224">
        <f>BD18*$BD$5</f>
        <v>1169344.921539319</v>
      </c>
      <c r="BF18" s="220" t="str">
        <f t="shared" si="16"/>
        <v>UAP</v>
      </c>
      <c r="BG18" s="225">
        <f t="shared" si="14"/>
        <v>1169345</v>
      </c>
      <c r="BH18" s="226">
        <f t="shared" ref="BH18:BH25" si="28">BD18*$BH$5</f>
        <v>1169344.8667351848</v>
      </c>
      <c r="BI18" s="225">
        <f t="shared" si="27"/>
        <v>1169345</v>
      </c>
    </row>
    <row r="19" spans="1:61" ht="11.25" customHeight="1" x14ac:dyDescent="0.2">
      <c r="A19" s="215" t="s">
        <v>60</v>
      </c>
      <c r="B19" s="215" t="s">
        <v>61</v>
      </c>
      <c r="C19" s="215">
        <v>79</v>
      </c>
      <c r="D19" s="215" t="s">
        <v>34</v>
      </c>
      <c r="E19" s="216" t="s">
        <v>131</v>
      </c>
      <c r="F19" s="215" t="s">
        <v>115</v>
      </c>
      <c r="G19" s="215" t="s">
        <v>131</v>
      </c>
      <c r="H19" s="215" t="s">
        <v>127</v>
      </c>
      <c r="I19" s="216"/>
      <c r="J19" s="216"/>
      <c r="K19" s="216">
        <v>25</v>
      </c>
      <c r="L19" s="216">
        <v>98</v>
      </c>
      <c r="M19" s="216">
        <v>235</v>
      </c>
      <c r="N19" s="216">
        <v>203</v>
      </c>
      <c r="O19" s="216">
        <v>5364</v>
      </c>
      <c r="P19" s="217">
        <v>249.45454545454515</v>
      </c>
      <c r="Q19" s="217">
        <v>36.045454545454547</v>
      </c>
      <c r="R19" s="217">
        <v>38.52272727272728</v>
      </c>
      <c r="S19" s="217">
        <v>0.68181818181818188</v>
      </c>
      <c r="T19" s="216"/>
      <c r="U19" s="216"/>
      <c r="V19" s="216"/>
      <c r="W19" s="216"/>
      <c r="X19" s="218">
        <v>1017</v>
      </c>
      <c r="Y19" s="218">
        <v>577</v>
      </c>
      <c r="Z19" s="218">
        <v>995</v>
      </c>
      <c r="AA19" s="218">
        <v>804</v>
      </c>
      <c r="AB19" s="219">
        <v>634</v>
      </c>
      <c r="AC19" s="219">
        <v>329</v>
      </c>
      <c r="AD19" s="219" t="str">
        <f t="shared" si="0"/>
        <v>ATA</v>
      </c>
      <c r="AE19" s="220" t="str">
        <f t="shared" si="1"/>
        <v>III</v>
      </c>
      <c r="AF19" s="221">
        <f t="shared" si="2"/>
        <v>3.7844891871737509</v>
      </c>
      <c r="AG19" s="222">
        <f t="shared" ref="AG19:AI25" si="29">AF19/AG$5</f>
        <v>0.81639273501689602</v>
      </c>
      <c r="AH19" s="221">
        <f t="shared" si="3"/>
        <v>0.14449708454810514</v>
      </c>
      <c r="AI19" s="222">
        <f t="shared" si="29"/>
        <v>0.5005238539814969</v>
      </c>
      <c r="AJ19" s="221">
        <f t="shared" si="4"/>
        <v>0.30165816326530653</v>
      </c>
      <c r="AK19" s="222">
        <f t="shared" ref="AK19:AM25" si="30">AJ19/AK$5</f>
        <v>0.40425138395969507</v>
      </c>
      <c r="AL19" s="221">
        <f t="shared" si="5"/>
        <v>0.1002186588921284</v>
      </c>
      <c r="AM19" s="222">
        <f t="shared" si="30"/>
        <v>0.34492870809037779</v>
      </c>
      <c r="AN19" s="221">
        <f t="shared" si="6"/>
        <v>0.69356872635561162</v>
      </c>
      <c r="AO19" s="222">
        <f t="shared" ref="AO19:AQ25" si="31">AN19/AO$5</f>
        <v>0.68913540353089542</v>
      </c>
      <c r="AP19" s="221">
        <f t="shared" si="7"/>
        <v>2.3979591836734695</v>
      </c>
      <c r="AQ19" s="222">
        <f t="shared" si="31"/>
        <v>0.38199679607990955</v>
      </c>
      <c r="AR19" s="221">
        <f t="shared" si="8"/>
        <v>0.56735496558505405</v>
      </c>
      <c r="AS19" s="222">
        <f t="shared" ref="AS19:AU25" si="32">AR19/AS$5</f>
        <v>0.69737381186496228</v>
      </c>
      <c r="AT19" s="221">
        <f t="shared" si="9"/>
        <v>0.80804020100502516</v>
      </c>
      <c r="AU19" s="222">
        <f t="shared" si="32"/>
        <v>0.99768228899600053</v>
      </c>
      <c r="AV19" s="221">
        <f t="shared" si="10"/>
        <v>0.51892744479495267</v>
      </c>
      <c r="AW19" s="222">
        <f t="shared" ref="AW19:AW25" si="33">AV19/AW$5</f>
        <v>0.78749515745198961</v>
      </c>
      <c r="AX19" s="221" t="e">
        <f t="shared" si="11"/>
        <v>#DIV/0!</v>
      </c>
      <c r="AY19" s="251"/>
      <c r="AZ19" s="222"/>
      <c r="BA19" s="221">
        <f t="shared" si="13"/>
        <v>0</v>
      </c>
      <c r="BB19" s="252">
        <v>0</v>
      </c>
      <c r="BC19" s="223">
        <f t="shared" si="15"/>
        <v>0.56197801389722224</v>
      </c>
      <c r="BD19" s="223">
        <f t="shared" ref="BD19:BD25" si="34">BC19/$BC$5</f>
        <v>0.10960524140334837</v>
      </c>
      <c r="BE19" s="224">
        <f t="shared" ref="BE19:BE25" si="35">BD19*$BD$5</f>
        <v>1079365.5050378242</v>
      </c>
      <c r="BF19" s="220" t="str">
        <f t="shared" si="16"/>
        <v>ATA</v>
      </c>
      <c r="BG19" s="225">
        <f t="shared" si="14"/>
        <v>1079366</v>
      </c>
      <c r="BH19" s="226">
        <f t="shared" si="28"/>
        <v>1079365.4544507896</v>
      </c>
      <c r="BI19" s="225">
        <f t="shared" si="27"/>
        <v>1079365</v>
      </c>
    </row>
    <row r="20" spans="1:61" ht="11.25" customHeight="1" x14ac:dyDescent="0.2">
      <c r="A20" s="215" t="s">
        <v>66</v>
      </c>
      <c r="B20" s="215" t="s">
        <v>67</v>
      </c>
      <c r="C20" s="215">
        <v>74</v>
      </c>
      <c r="D20" s="215" t="s">
        <v>24</v>
      </c>
      <c r="E20" s="216" t="s">
        <v>131</v>
      </c>
      <c r="F20" s="215" t="s">
        <v>115</v>
      </c>
      <c r="G20" s="215" t="s">
        <v>130</v>
      </c>
      <c r="H20" s="215" t="s">
        <v>127</v>
      </c>
      <c r="I20" s="216"/>
      <c r="J20" s="216"/>
      <c r="K20" s="216">
        <v>96</v>
      </c>
      <c r="L20" s="216">
        <v>483</v>
      </c>
      <c r="M20" s="216">
        <v>3032</v>
      </c>
      <c r="N20" s="216">
        <v>206</v>
      </c>
      <c r="O20" s="216">
        <v>7150</v>
      </c>
      <c r="P20" s="217">
        <v>330.40909090908934</v>
      </c>
      <c r="Q20" s="217">
        <v>95.38636363636364</v>
      </c>
      <c r="R20" s="217">
        <v>88.499999999999943</v>
      </c>
      <c r="S20" s="217">
        <v>1.0681818181818181</v>
      </c>
      <c r="T20" s="216">
        <v>32</v>
      </c>
      <c r="U20" s="216"/>
      <c r="V20" s="216">
        <v>2</v>
      </c>
      <c r="W20" s="216">
        <v>0</v>
      </c>
      <c r="X20" s="218">
        <v>1548</v>
      </c>
      <c r="Y20" s="218">
        <v>1032</v>
      </c>
      <c r="Z20" s="218">
        <v>1617</v>
      </c>
      <c r="AA20" s="218">
        <v>1262</v>
      </c>
      <c r="AB20" s="219">
        <v>1487</v>
      </c>
      <c r="AC20" s="219">
        <v>869</v>
      </c>
      <c r="AD20" s="219" t="str">
        <f t="shared" si="0"/>
        <v>ULS</v>
      </c>
      <c r="AE20" s="220" t="str">
        <f t="shared" si="1"/>
        <v>III</v>
      </c>
      <c r="AF20" s="221">
        <f t="shared" si="2"/>
        <v>2.8811188811188813</v>
      </c>
      <c r="AG20" s="222">
        <f t="shared" si="29"/>
        <v>0.62151704151704146</v>
      </c>
      <c r="AH20" s="221">
        <f t="shared" si="3"/>
        <v>0.28869170449855691</v>
      </c>
      <c r="AI20" s="222">
        <f t="shared" si="29"/>
        <v>1</v>
      </c>
      <c r="AJ20" s="221">
        <f t="shared" si="4"/>
        <v>0.55977438437199312</v>
      </c>
      <c r="AK20" s="222">
        <f t="shared" si="30"/>
        <v>0.75015231525010717</v>
      </c>
      <c r="AL20" s="221">
        <f t="shared" si="5"/>
        <v>0.29054890631448754</v>
      </c>
      <c r="AM20" s="222">
        <f t="shared" si="30"/>
        <v>1</v>
      </c>
      <c r="AN20" s="221">
        <f t="shared" si="6"/>
        <v>1.0064331665475339</v>
      </c>
      <c r="AO20" s="222">
        <f t="shared" si="31"/>
        <v>1</v>
      </c>
      <c r="AP20" s="221">
        <f t="shared" si="7"/>
        <v>6.2774327122153206</v>
      </c>
      <c r="AQ20" s="222">
        <f t="shared" si="31"/>
        <v>1</v>
      </c>
      <c r="AR20" s="221">
        <f t="shared" si="8"/>
        <v>0.66666666666666663</v>
      </c>
      <c r="AS20" s="222">
        <f t="shared" si="32"/>
        <v>0.81944444444444431</v>
      </c>
      <c r="AT20" s="221">
        <f t="shared" si="9"/>
        <v>0.78045763760049469</v>
      </c>
      <c r="AU20" s="222">
        <f t="shared" si="32"/>
        <v>0.96362626683326391</v>
      </c>
      <c r="AV20" s="221">
        <f t="shared" si="10"/>
        <v>0.58439811701412236</v>
      </c>
      <c r="AW20" s="222">
        <f t="shared" si="33"/>
        <v>0.88684977406529097</v>
      </c>
      <c r="AX20" s="221">
        <f t="shared" si="11"/>
        <v>0</v>
      </c>
      <c r="AY20" s="251">
        <f>W20/V20</f>
        <v>0</v>
      </c>
      <c r="AZ20" s="222">
        <f t="shared" ref="AZ20:AZ24" si="36">AY20/AZ$5</f>
        <v>0</v>
      </c>
      <c r="BA20" s="221">
        <f t="shared" si="13"/>
        <v>0</v>
      </c>
      <c r="BB20" s="252">
        <v>0</v>
      </c>
      <c r="BC20" s="223">
        <f t="shared" si="15"/>
        <v>0.73105362201001334</v>
      </c>
      <c r="BD20" s="223">
        <f t="shared" si="34"/>
        <v>0.14258086034991013</v>
      </c>
      <c r="BE20" s="224">
        <f t="shared" si="35"/>
        <v>1404101.3036408199</v>
      </c>
      <c r="BF20" s="220" t="str">
        <f t="shared" si="16"/>
        <v>ULS</v>
      </c>
      <c r="BG20" s="225">
        <f t="shared" si="14"/>
        <v>1404101</v>
      </c>
      <c r="BH20" s="226">
        <f t="shared" si="28"/>
        <v>1404101.2378342689</v>
      </c>
      <c r="BI20" s="225">
        <f t="shared" si="27"/>
        <v>1404101</v>
      </c>
    </row>
    <row r="21" spans="1:61" ht="11.25" customHeight="1" x14ac:dyDescent="0.2">
      <c r="A21" s="215" t="s">
        <v>68</v>
      </c>
      <c r="B21" s="215" t="s">
        <v>69</v>
      </c>
      <c r="C21" s="215">
        <v>84</v>
      </c>
      <c r="D21" s="215" t="s">
        <v>46</v>
      </c>
      <c r="E21" s="216" t="s">
        <v>131</v>
      </c>
      <c r="F21" s="215" t="s">
        <v>115</v>
      </c>
      <c r="G21" s="215" t="s">
        <v>125</v>
      </c>
      <c r="H21" s="215" t="s">
        <v>123</v>
      </c>
      <c r="I21" s="216"/>
      <c r="J21" s="216"/>
      <c r="K21" s="216">
        <v>50</v>
      </c>
      <c r="L21" s="216">
        <v>271</v>
      </c>
      <c r="M21" s="216">
        <v>886</v>
      </c>
      <c r="N21" s="216">
        <v>234</v>
      </c>
      <c r="O21" s="216">
        <v>9686</v>
      </c>
      <c r="P21" s="217">
        <v>319.340909090906</v>
      </c>
      <c r="Q21" s="217">
        <v>62.204545454545453</v>
      </c>
      <c r="R21" s="217">
        <v>123.27272727272717</v>
      </c>
      <c r="S21" s="217">
        <v>0</v>
      </c>
      <c r="T21" s="216"/>
      <c r="U21" s="216"/>
      <c r="V21" s="216"/>
      <c r="W21" s="216"/>
      <c r="X21" s="218">
        <v>885</v>
      </c>
      <c r="Y21" s="218">
        <v>720</v>
      </c>
      <c r="Z21" s="218">
        <v>743</v>
      </c>
      <c r="AA21" s="218">
        <v>582</v>
      </c>
      <c r="AB21" s="219">
        <v>792</v>
      </c>
      <c r="AC21" s="219">
        <v>489</v>
      </c>
      <c r="AD21" s="219" t="str">
        <f t="shared" si="0"/>
        <v>ULA</v>
      </c>
      <c r="AE21" s="220" t="str">
        <f t="shared" si="1"/>
        <v>III</v>
      </c>
      <c r="AF21" s="221">
        <f t="shared" si="2"/>
        <v>2.4158579392938262</v>
      </c>
      <c r="AG21" s="222">
        <f t="shared" si="29"/>
        <v>0.52115061582333932</v>
      </c>
      <c r="AH21" s="221">
        <f t="shared" si="3"/>
        <v>0.19479040637677222</v>
      </c>
      <c r="AI21" s="222">
        <f t="shared" si="29"/>
        <v>0.67473503166678594</v>
      </c>
      <c r="AJ21" s="221">
        <f t="shared" si="4"/>
        <v>0.58081275354067863</v>
      </c>
      <c r="AK21" s="222">
        <f t="shared" si="30"/>
        <v>0.77834578351443584</v>
      </c>
      <c r="AL21" s="221">
        <f t="shared" si="5"/>
        <v>0.15657248594406245</v>
      </c>
      <c r="AM21" s="222">
        <f t="shared" si="30"/>
        <v>0.53888513273076921</v>
      </c>
      <c r="AN21" s="221">
        <f t="shared" si="6"/>
        <v>0.80379978078187797</v>
      </c>
      <c r="AO21" s="222">
        <f t="shared" si="31"/>
        <v>0.79866185604676654</v>
      </c>
      <c r="AP21" s="221">
        <f t="shared" si="7"/>
        <v>3.2693726937269374</v>
      </c>
      <c r="AQ21" s="222">
        <f t="shared" si="31"/>
        <v>0.52081365800465396</v>
      </c>
      <c r="AR21" s="221">
        <f t="shared" si="8"/>
        <v>0.81355932203389836</v>
      </c>
      <c r="AS21" s="222">
        <f t="shared" si="32"/>
        <v>1</v>
      </c>
      <c r="AT21" s="221">
        <f t="shared" si="9"/>
        <v>0.78331090174966356</v>
      </c>
      <c r="AU21" s="222">
        <f t="shared" si="32"/>
        <v>0.96714917460927852</v>
      </c>
      <c r="AV21" s="221">
        <f t="shared" si="10"/>
        <v>0.61742424242424243</v>
      </c>
      <c r="AW21" s="222">
        <f t="shared" si="33"/>
        <v>0.93696836788942051</v>
      </c>
      <c r="AX21" s="221" t="e">
        <f t="shared" si="11"/>
        <v>#DIV/0!</v>
      </c>
      <c r="AY21" s="251"/>
      <c r="AZ21" s="222"/>
      <c r="BA21" s="221">
        <f t="shared" si="13"/>
        <v>0</v>
      </c>
      <c r="BB21" s="252">
        <v>0</v>
      </c>
      <c r="BC21" s="223">
        <f t="shared" si="15"/>
        <v>0.67367096202854493</v>
      </c>
      <c r="BD21" s="223">
        <f t="shared" si="34"/>
        <v>0.13138924761043855</v>
      </c>
      <c r="BE21" s="224">
        <f t="shared" si="35"/>
        <v>1293889.049353878</v>
      </c>
      <c r="BF21" s="220" t="str">
        <f t="shared" si="16"/>
        <v>ULA</v>
      </c>
      <c r="BG21" s="225">
        <f t="shared" si="14"/>
        <v>1293889</v>
      </c>
      <c r="BH21" s="226">
        <f t="shared" si="28"/>
        <v>1293888.9887126866</v>
      </c>
      <c r="BI21" s="225">
        <f t="shared" si="27"/>
        <v>1293889</v>
      </c>
    </row>
    <row r="22" spans="1:61" ht="11.25" customHeight="1" x14ac:dyDescent="0.2">
      <c r="A22" s="215" t="s">
        <v>70</v>
      </c>
      <c r="B22" s="215" t="s">
        <v>71</v>
      </c>
      <c r="C22" s="215">
        <v>77</v>
      </c>
      <c r="D22" s="215" t="s">
        <v>30</v>
      </c>
      <c r="E22" s="216" t="s">
        <v>131</v>
      </c>
      <c r="F22" s="215" t="s">
        <v>115</v>
      </c>
      <c r="G22" s="215" t="s">
        <v>133</v>
      </c>
      <c r="H22" s="215" t="s">
        <v>123</v>
      </c>
      <c r="I22" s="216"/>
      <c r="J22" s="216"/>
      <c r="K22" s="216">
        <v>52</v>
      </c>
      <c r="L22" s="216">
        <v>233</v>
      </c>
      <c r="M22" s="216">
        <v>663</v>
      </c>
      <c r="N22" s="216">
        <v>159</v>
      </c>
      <c r="O22" s="216">
        <v>4045</v>
      </c>
      <c r="P22" s="217">
        <v>243.24999999999937</v>
      </c>
      <c r="Q22" s="217">
        <v>51.681818181818187</v>
      </c>
      <c r="R22" s="217">
        <v>61.272727272727259</v>
      </c>
      <c r="S22" s="217">
        <v>0.97727272727272729</v>
      </c>
      <c r="T22" s="216"/>
      <c r="U22" s="216"/>
      <c r="V22" s="216"/>
      <c r="W22" s="216"/>
      <c r="X22" s="218">
        <v>559</v>
      </c>
      <c r="Y22" s="218">
        <v>288</v>
      </c>
      <c r="Z22" s="218">
        <v>605</v>
      </c>
      <c r="AA22" s="218">
        <v>490</v>
      </c>
      <c r="AB22" s="219">
        <v>508</v>
      </c>
      <c r="AC22" s="219">
        <v>324</v>
      </c>
      <c r="AD22" s="219" t="str">
        <f t="shared" si="0"/>
        <v>MAG</v>
      </c>
      <c r="AE22" s="220" t="str">
        <f t="shared" si="1"/>
        <v>III</v>
      </c>
      <c r="AF22" s="221">
        <f t="shared" si="2"/>
        <v>3.9307787391841775</v>
      </c>
      <c r="AG22" s="222">
        <f t="shared" si="29"/>
        <v>0.84795042261049658</v>
      </c>
      <c r="AH22" s="221">
        <f t="shared" si="3"/>
        <v>0.21246379519760872</v>
      </c>
      <c r="AI22" s="222">
        <f t="shared" si="29"/>
        <v>0.73595393247148455</v>
      </c>
      <c r="AJ22" s="221">
        <f t="shared" si="4"/>
        <v>0.46837335326544077</v>
      </c>
      <c r="AK22" s="222">
        <f t="shared" si="30"/>
        <v>0.6276660118124292</v>
      </c>
      <c r="AL22" s="221">
        <f t="shared" si="5"/>
        <v>0.21377183967112079</v>
      </c>
      <c r="AM22" s="222">
        <f t="shared" si="30"/>
        <v>0.7357516584135273</v>
      </c>
      <c r="AN22" s="221">
        <f t="shared" si="6"/>
        <v>1.0061565523306948</v>
      </c>
      <c r="AO22" s="222">
        <f t="shared" si="31"/>
        <v>0.99972515391380834</v>
      </c>
      <c r="AP22" s="221">
        <f t="shared" si="7"/>
        <v>2.8454935622317596</v>
      </c>
      <c r="AQ22" s="222">
        <f t="shared" si="31"/>
        <v>0.45328937683309367</v>
      </c>
      <c r="AR22" s="221">
        <f t="shared" si="8"/>
        <v>0.51520572450805013</v>
      </c>
      <c r="AS22" s="222">
        <f t="shared" si="32"/>
        <v>0.63327370304114494</v>
      </c>
      <c r="AT22" s="221">
        <f t="shared" si="9"/>
        <v>0.80991735537190079</v>
      </c>
      <c r="AU22" s="222">
        <f t="shared" si="32"/>
        <v>1</v>
      </c>
      <c r="AV22" s="221">
        <f t="shared" si="10"/>
        <v>0.63779527559055116</v>
      </c>
      <c r="AW22" s="222">
        <f t="shared" si="33"/>
        <v>0.96788230418566101</v>
      </c>
      <c r="AX22" s="221" t="e">
        <f t="shared" si="11"/>
        <v>#DIV/0!</v>
      </c>
      <c r="AY22" s="251"/>
      <c r="AZ22" s="222"/>
      <c r="BA22" s="221">
        <f t="shared" si="13"/>
        <v>0</v>
      </c>
      <c r="BB22" s="252">
        <v>0</v>
      </c>
      <c r="BC22" s="223">
        <f t="shared" si="15"/>
        <v>0.7001492563281646</v>
      </c>
      <c r="BD22" s="223">
        <f t="shared" si="34"/>
        <v>0.13655343511758447</v>
      </c>
      <c r="BE22" s="224">
        <f t="shared" si="35"/>
        <v>1344744.6999175954</v>
      </c>
      <c r="BF22" s="220" t="str">
        <f t="shared" si="16"/>
        <v>MAG</v>
      </c>
      <c r="BG22" s="225">
        <f t="shared" si="14"/>
        <v>1344745</v>
      </c>
      <c r="BH22" s="226">
        <f t="shared" si="28"/>
        <v>1344744.6368929329</v>
      </c>
      <c r="BI22" s="225">
        <f t="shared" si="27"/>
        <v>1344745</v>
      </c>
    </row>
    <row r="23" spans="1:61" ht="11.25" customHeight="1" x14ac:dyDescent="0.2">
      <c r="A23" s="215" t="s">
        <v>72</v>
      </c>
      <c r="B23" s="215" t="s">
        <v>73</v>
      </c>
      <c r="C23" s="215">
        <v>83</v>
      </c>
      <c r="D23" s="215" t="s">
        <v>42</v>
      </c>
      <c r="E23" s="216" t="s">
        <v>131</v>
      </c>
      <c r="F23" s="215" t="s">
        <v>115</v>
      </c>
      <c r="G23" s="215" t="s">
        <v>122</v>
      </c>
      <c r="H23" s="215" t="s">
        <v>121</v>
      </c>
      <c r="I23" s="216"/>
      <c r="J23" s="216"/>
      <c r="K23" s="216">
        <v>54</v>
      </c>
      <c r="L23" s="216">
        <v>142</v>
      </c>
      <c r="M23" s="216">
        <v>263</v>
      </c>
      <c r="N23" s="216">
        <v>272</v>
      </c>
      <c r="O23" s="216">
        <v>8136</v>
      </c>
      <c r="P23" s="217">
        <v>355.70454545454328</v>
      </c>
      <c r="Q23" s="217">
        <v>83.36363636363636</v>
      </c>
      <c r="R23" s="217">
        <v>181.52272727272754</v>
      </c>
      <c r="S23" s="217">
        <v>0.54545454545454541</v>
      </c>
      <c r="T23" s="216">
        <v>10</v>
      </c>
      <c r="U23" s="216">
        <v>12</v>
      </c>
      <c r="V23" s="216">
        <v>23</v>
      </c>
      <c r="W23" s="216">
        <v>2</v>
      </c>
      <c r="X23" s="218">
        <v>1436</v>
      </c>
      <c r="Y23" s="218">
        <v>1071</v>
      </c>
      <c r="Z23" s="218">
        <v>1431</v>
      </c>
      <c r="AA23" s="218">
        <v>1067</v>
      </c>
      <c r="AB23" s="219">
        <v>1768</v>
      </c>
      <c r="AC23" s="219">
        <v>1060</v>
      </c>
      <c r="AD23" s="219" t="str">
        <f t="shared" si="0"/>
        <v>UPA</v>
      </c>
      <c r="AE23" s="220" t="str">
        <f t="shared" si="1"/>
        <v>III</v>
      </c>
      <c r="AF23" s="221">
        <f t="shared" si="2"/>
        <v>3.343166175024582</v>
      </c>
      <c r="AG23" s="222">
        <f t="shared" si="29"/>
        <v>0.72119021676543793</v>
      </c>
      <c r="AH23" s="221">
        <f t="shared" si="3"/>
        <v>0.23436202159606556</v>
      </c>
      <c r="AI23" s="222">
        <f t="shared" si="29"/>
        <v>0.81180725993890512</v>
      </c>
      <c r="AJ23" s="221">
        <f t="shared" si="4"/>
        <v>0.74621429940579409</v>
      </c>
      <c r="AK23" s="222">
        <f t="shared" si="30"/>
        <v>1</v>
      </c>
      <c r="AL23" s="221">
        <f t="shared" si="5"/>
        <v>0.15181138585393997</v>
      </c>
      <c r="AM23" s="222">
        <f t="shared" si="30"/>
        <v>0.52249856239218018</v>
      </c>
      <c r="AN23" s="221">
        <f t="shared" si="6"/>
        <v>0.64776444929116683</v>
      </c>
      <c r="AO23" s="222">
        <f t="shared" si="31"/>
        <v>0.64362390948745918</v>
      </c>
      <c r="AP23" s="221">
        <f t="shared" si="7"/>
        <v>1.852112676056338</v>
      </c>
      <c r="AQ23" s="222">
        <f t="shared" si="31"/>
        <v>0.29504301534802485</v>
      </c>
      <c r="AR23" s="221">
        <f t="shared" si="8"/>
        <v>0.74582172701949856</v>
      </c>
      <c r="AS23" s="222">
        <f t="shared" si="32"/>
        <v>0.91673920612813353</v>
      </c>
      <c r="AT23" s="221">
        <f t="shared" si="9"/>
        <v>0.74563242487770787</v>
      </c>
      <c r="AU23" s="222">
        <f t="shared" si="32"/>
        <v>0.92062778990002714</v>
      </c>
      <c r="AV23" s="221">
        <f t="shared" si="10"/>
        <v>0.59954751131221717</v>
      </c>
      <c r="AW23" s="222">
        <f t="shared" si="33"/>
        <v>0.90983964435976816</v>
      </c>
      <c r="AX23" s="221">
        <f t="shared" si="11"/>
        <v>8.6956521739130432E-2</v>
      </c>
      <c r="AY23" s="251">
        <f>W23/V23</f>
        <v>8.6956521739130432E-2</v>
      </c>
      <c r="AZ23" s="222">
        <f t="shared" si="36"/>
        <v>1</v>
      </c>
      <c r="BA23" s="221">
        <f t="shared" si="13"/>
        <v>0</v>
      </c>
      <c r="BB23" s="252">
        <v>0</v>
      </c>
      <c r="BC23" s="223">
        <f t="shared" si="15"/>
        <v>0.70376087311999413</v>
      </c>
      <c r="BD23" s="223">
        <f t="shared" si="34"/>
        <v>0.137257825895401</v>
      </c>
      <c r="BE23" s="224">
        <f t="shared" si="35"/>
        <v>1351681.3673425047</v>
      </c>
      <c r="BF23" s="220" t="str">
        <f t="shared" si="16"/>
        <v>UPA</v>
      </c>
      <c r="BG23" s="225">
        <f t="shared" si="14"/>
        <v>1351681</v>
      </c>
      <c r="BH23" s="226">
        <f t="shared" si="28"/>
        <v>1351681.3039927387</v>
      </c>
      <c r="BI23" s="225">
        <f t="shared" si="27"/>
        <v>1351681</v>
      </c>
    </row>
    <row r="24" spans="1:61" ht="11.25" customHeight="1" x14ac:dyDescent="0.2">
      <c r="A24" s="215" t="s">
        <v>84</v>
      </c>
      <c r="B24" s="215" t="s">
        <v>85</v>
      </c>
      <c r="C24" s="215">
        <v>82</v>
      </c>
      <c r="D24" s="215" t="s">
        <v>40</v>
      </c>
      <c r="E24" s="216" t="s">
        <v>131</v>
      </c>
      <c r="F24" s="215" t="s">
        <v>115</v>
      </c>
      <c r="G24" s="215" t="s">
        <v>120</v>
      </c>
      <c r="H24" s="215" t="s">
        <v>119</v>
      </c>
      <c r="I24" s="216"/>
      <c r="J24" s="216"/>
      <c r="K24" s="216">
        <v>21</v>
      </c>
      <c r="L24" s="216">
        <v>102</v>
      </c>
      <c r="M24" s="216">
        <v>315</v>
      </c>
      <c r="N24" s="216">
        <v>222</v>
      </c>
      <c r="O24" s="216">
        <v>4789</v>
      </c>
      <c r="P24" s="217">
        <v>308.31818181818051</v>
      </c>
      <c r="Q24" s="217">
        <v>57.409090909090907</v>
      </c>
      <c r="R24" s="217">
        <v>134.36363636363635</v>
      </c>
      <c r="S24" s="217">
        <v>6.9318181818181817</v>
      </c>
      <c r="T24" s="216">
        <v>26</v>
      </c>
      <c r="U24" s="216">
        <v>5</v>
      </c>
      <c r="V24" s="216"/>
      <c r="W24" s="216"/>
      <c r="X24" s="218">
        <v>1044</v>
      </c>
      <c r="Y24" s="218">
        <v>674</v>
      </c>
      <c r="Z24" s="218">
        <v>1082</v>
      </c>
      <c r="AA24" s="218">
        <v>871</v>
      </c>
      <c r="AB24" s="219">
        <v>1038</v>
      </c>
      <c r="AC24" s="219">
        <v>684</v>
      </c>
      <c r="AD24" s="219" t="str">
        <f t="shared" si="0"/>
        <v>UMC</v>
      </c>
      <c r="AE24" s="220" t="str">
        <f t="shared" si="1"/>
        <v>III</v>
      </c>
      <c r="AF24" s="221">
        <f t="shared" si="2"/>
        <v>4.6356233034036336</v>
      </c>
      <c r="AG24" s="222">
        <f t="shared" si="29"/>
        <v>1</v>
      </c>
      <c r="AH24" s="221">
        <f t="shared" si="3"/>
        <v>0.18620079610791765</v>
      </c>
      <c r="AI24" s="222">
        <f t="shared" si="29"/>
        <v>0.644981456711197</v>
      </c>
      <c r="AJ24" s="221">
        <f t="shared" si="4"/>
        <v>0.64447884416924939</v>
      </c>
      <c r="AK24" s="222">
        <f t="shared" si="30"/>
        <v>0.86366455947365783</v>
      </c>
      <c r="AL24" s="221">
        <f t="shared" si="5"/>
        <v>6.811145510835942E-2</v>
      </c>
      <c r="AM24" s="222">
        <f t="shared" si="30"/>
        <v>0.23442337461300297</v>
      </c>
      <c r="AN24" s="221">
        <f t="shared" si="6"/>
        <v>0.36579572446555819</v>
      </c>
      <c r="AO24" s="222">
        <f t="shared" si="31"/>
        <v>0.363457541567696</v>
      </c>
      <c r="AP24" s="221">
        <f t="shared" si="7"/>
        <v>3.0882352941176472</v>
      </c>
      <c r="AQ24" s="222">
        <f t="shared" si="31"/>
        <v>0.49195832686636665</v>
      </c>
      <c r="AR24" s="221">
        <f t="shared" si="8"/>
        <v>0.64559386973180077</v>
      </c>
      <c r="AS24" s="222">
        <f t="shared" si="32"/>
        <v>0.79354246487867175</v>
      </c>
      <c r="AT24" s="221">
        <f t="shared" si="9"/>
        <v>0.80499075785582253</v>
      </c>
      <c r="AU24" s="222">
        <f t="shared" si="32"/>
        <v>0.99391716020974008</v>
      </c>
      <c r="AV24" s="221">
        <f t="shared" si="10"/>
        <v>0.65895953757225434</v>
      </c>
      <c r="AW24" s="222">
        <f t="shared" si="33"/>
        <v>1</v>
      </c>
      <c r="AX24" s="221" t="e">
        <f t="shared" si="11"/>
        <v>#DIV/0!</v>
      </c>
      <c r="AY24" s="251">
        <v>0</v>
      </c>
      <c r="AZ24" s="222">
        <f t="shared" si="36"/>
        <v>0</v>
      </c>
      <c r="BA24" s="221">
        <f t="shared" si="13"/>
        <v>0</v>
      </c>
      <c r="BB24" s="252">
        <v>0</v>
      </c>
      <c r="BC24" s="223">
        <f t="shared" si="15"/>
        <v>0.58054044402912119</v>
      </c>
      <c r="BD24" s="223">
        <f t="shared" si="34"/>
        <v>0.11322556032210888</v>
      </c>
      <c r="BE24" s="224">
        <f t="shared" si="35"/>
        <v>1115017.5168222401</v>
      </c>
      <c r="BF24" s="220" t="str">
        <f t="shared" si="16"/>
        <v>UMC</v>
      </c>
      <c r="BG24" s="225">
        <f t="shared" si="14"/>
        <v>1115018</v>
      </c>
      <c r="BH24" s="226">
        <f t="shared" si="28"/>
        <v>1115017.464564289</v>
      </c>
      <c r="BI24" s="238">
        <v>1115018</v>
      </c>
    </row>
    <row r="25" spans="1:61" ht="11.25" customHeight="1" x14ac:dyDescent="0.2">
      <c r="A25" s="215" t="s">
        <v>86</v>
      </c>
      <c r="B25" s="215" t="s">
        <v>87</v>
      </c>
      <c r="C25" s="215">
        <v>85</v>
      </c>
      <c r="D25" s="215" t="s">
        <v>44</v>
      </c>
      <c r="E25" s="216" t="s">
        <v>131</v>
      </c>
      <c r="F25" s="215" t="s">
        <v>115</v>
      </c>
      <c r="G25" s="215" t="s">
        <v>120</v>
      </c>
      <c r="H25" s="215" t="s">
        <v>119</v>
      </c>
      <c r="I25" s="216"/>
      <c r="J25" s="216"/>
      <c r="K25" s="216">
        <v>9</v>
      </c>
      <c r="L25" s="216">
        <v>66</v>
      </c>
      <c r="M25" s="216">
        <v>306</v>
      </c>
      <c r="N25" s="216">
        <v>185</v>
      </c>
      <c r="O25" s="216">
        <v>7079</v>
      </c>
      <c r="P25" s="217">
        <v>286.22727272727167</v>
      </c>
      <c r="Q25" s="217">
        <v>53.090909090909093</v>
      </c>
      <c r="R25" s="217">
        <v>123.04545454545438</v>
      </c>
      <c r="S25" s="217">
        <v>0</v>
      </c>
      <c r="T25" s="216"/>
      <c r="U25" s="216"/>
      <c r="V25" s="216"/>
      <c r="W25" s="216"/>
      <c r="X25" s="218">
        <v>1846</v>
      </c>
      <c r="Y25" s="218">
        <v>1399</v>
      </c>
      <c r="Z25" s="218">
        <v>1746</v>
      </c>
      <c r="AA25" s="218">
        <v>1292</v>
      </c>
      <c r="AB25" s="219">
        <v>1747</v>
      </c>
      <c r="AC25" s="219">
        <v>900</v>
      </c>
      <c r="AD25" s="219" t="str">
        <f t="shared" si="0"/>
        <v>UTM</v>
      </c>
      <c r="AE25" s="220" t="str">
        <f t="shared" si="1"/>
        <v>III</v>
      </c>
      <c r="AF25" s="221">
        <f t="shared" si="2"/>
        <v>2.6133634694165839</v>
      </c>
      <c r="AG25" s="222">
        <f t="shared" si="29"/>
        <v>0.56375665112774864</v>
      </c>
      <c r="AH25" s="221">
        <f t="shared" si="3"/>
        <v>0.18548515165952109</v>
      </c>
      <c r="AI25" s="222">
        <f t="shared" si="29"/>
        <v>0.64250253391139012</v>
      </c>
      <c r="AJ25" s="221">
        <f t="shared" si="4"/>
        <v>0.61537239955534551</v>
      </c>
      <c r="AK25" s="222">
        <f t="shared" si="30"/>
        <v>0.82465908257904308</v>
      </c>
      <c r="AL25" s="221">
        <f t="shared" si="5"/>
        <v>3.1443544545021553E-2</v>
      </c>
      <c r="AM25" s="222">
        <f>AL25/AM$5</f>
        <v>0.10822117675083361</v>
      </c>
      <c r="AN25" s="221">
        <f t="shared" si="6"/>
        <v>0.16952054794520546</v>
      </c>
      <c r="AO25" s="222">
        <f t="shared" si="31"/>
        <v>0.16843696489726026</v>
      </c>
      <c r="AP25" s="221">
        <f t="shared" si="7"/>
        <v>4.6363636363636367</v>
      </c>
      <c r="AQ25" s="222">
        <f t="shared" si="31"/>
        <v>0.7385763972175583</v>
      </c>
      <c r="AR25" s="221">
        <f t="shared" si="8"/>
        <v>0.75785482123510295</v>
      </c>
      <c r="AS25" s="222">
        <f t="shared" si="32"/>
        <v>0.93152988443481399</v>
      </c>
      <c r="AT25" s="221">
        <f t="shared" si="9"/>
        <v>0.73997709049255445</v>
      </c>
      <c r="AU25" s="222">
        <f t="shared" si="32"/>
        <v>0.91364518315917442</v>
      </c>
      <c r="AV25" s="221">
        <f t="shared" si="10"/>
        <v>0.51516886090440761</v>
      </c>
      <c r="AW25" s="222">
        <f t="shared" si="33"/>
        <v>0.78179134154791685</v>
      </c>
      <c r="AX25" s="221" t="e">
        <f t="shared" si="11"/>
        <v>#DIV/0!</v>
      </c>
      <c r="AY25" s="251"/>
      <c r="AZ25" s="222"/>
      <c r="BA25" s="221">
        <f t="shared" si="13"/>
        <v>0</v>
      </c>
      <c r="BB25" s="252">
        <v>0</v>
      </c>
      <c r="BC25" s="223">
        <f t="shared" si="15"/>
        <v>0.56731192156257393</v>
      </c>
      <c r="BD25" s="223">
        <f t="shared" si="34"/>
        <v>0.11064553875097906</v>
      </c>
      <c r="BE25" s="224">
        <f t="shared" si="35"/>
        <v>1089610.0978842808</v>
      </c>
      <c r="BF25" s="220" t="str">
        <f t="shared" si="16"/>
        <v>UTM</v>
      </c>
      <c r="BG25" s="225">
        <f t="shared" si="14"/>
        <v>1089610</v>
      </c>
      <c r="BH25" s="226">
        <f t="shared" si="28"/>
        <v>1089610.046817109</v>
      </c>
      <c r="BI25" s="225">
        <f t="shared" si="27"/>
        <v>1089610</v>
      </c>
    </row>
  </sheetData>
  <autoFilter ref="A9:BI25"/>
  <mergeCells count="12">
    <mergeCell ref="AF1:AG1"/>
    <mergeCell ref="P7:S7"/>
    <mergeCell ref="AB7:AC7"/>
    <mergeCell ref="Z7:AA7"/>
    <mergeCell ref="T7:W7"/>
    <mergeCell ref="I6:J6"/>
    <mergeCell ref="I7:J7"/>
    <mergeCell ref="K7:M7"/>
    <mergeCell ref="N7:O7"/>
    <mergeCell ref="N6:AC6"/>
    <mergeCell ref="K6:M6"/>
    <mergeCell ref="X7:Y7"/>
  </mergeCells>
  <pageMargins left="0.31496062992125984" right="0.31496062992125984" top="0.74803149606299213" bottom="0.74803149606299213" header="0.31496062992125984" footer="0.31496062992125984"/>
  <pageSetup paperSize="14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C21" sqref="C21"/>
    </sheetView>
  </sheetViews>
  <sheetFormatPr baseColWidth="10" defaultRowHeight="12.75" x14ac:dyDescent="0.2"/>
  <cols>
    <col min="1" max="1" width="6.85546875" style="3" customWidth="1"/>
    <col min="2" max="2" width="7.140625" style="3" bestFit="1" customWidth="1"/>
    <col min="3" max="3" width="20.42578125" style="3" bestFit="1" customWidth="1"/>
    <col min="4" max="4" width="7.28515625" style="3" customWidth="1"/>
    <col min="5" max="5" width="9" style="3" customWidth="1"/>
    <col min="6" max="6" width="8.5703125" style="3" customWidth="1"/>
    <col min="7" max="7" width="9" style="3" customWidth="1"/>
    <col min="8" max="8" width="10.5703125" style="3" customWidth="1"/>
    <col min="9" max="9" width="10.28515625" style="3" customWidth="1"/>
    <col min="10" max="10" width="8.7109375" style="3" customWidth="1"/>
    <col min="11" max="11" width="8" style="85" customWidth="1"/>
    <col min="12" max="12" width="5" style="110" customWidth="1"/>
    <col min="13" max="13" width="11.7109375" style="111" customWidth="1"/>
    <col min="14" max="16384" width="11.42578125" style="3"/>
  </cols>
  <sheetData>
    <row r="1" spans="1:13" ht="15.75" x14ac:dyDescent="0.25">
      <c r="A1" s="109" t="s">
        <v>225</v>
      </c>
    </row>
    <row r="2" spans="1:13" ht="15.75" x14ac:dyDescent="0.25">
      <c r="A2" s="112" t="s">
        <v>145</v>
      </c>
    </row>
    <row r="3" spans="1:13" x14ac:dyDescent="0.2">
      <c r="A3" s="3" t="s">
        <v>251</v>
      </c>
    </row>
    <row r="5" spans="1:13" x14ac:dyDescent="0.2">
      <c r="B5" s="85"/>
      <c r="C5" s="85"/>
      <c r="D5" s="85"/>
      <c r="E5" s="85"/>
    </row>
    <row r="6" spans="1:13" ht="30" customHeight="1" x14ac:dyDescent="0.2">
      <c r="C6" s="85"/>
      <c r="D6" s="291" t="s">
        <v>226</v>
      </c>
      <c r="E6" s="291"/>
      <c r="F6" s="291"/>
      <c r="G6" s="291"/>
      <c r="M6" s="113">
        <v>32005202</v>
      </c>
    </row>
    <row r="7" spans="1:13" s="120" customFormat="1" ht="63.75" x14ac:dyDescent="0.25">
      <c r="A7" s="114" t="s">
        <v>98</v>
      </c>
      <c r="B7" s="101" t="s">
        <v>99</v>
      </c>
      <c r="C7" s="101" t="s">
        <v>135</v>
      </c>
      <c r="D7" s="101" t="s">
        <v>224</v>
      </c>
      <c r="E7" s="102" t="s">
        <v>227</v>
      </c>
      <c r="F7" s="102" t="s">
        <v>228</v>
      </c>
      <c r="G7" s="115" t="s">
        <v>229</v>
      </c>
      <c r="H7" s="79" t="s">
        <v>178</v>
      </c>
      <c r="I7" s="116" t="s">
        <v>230</v>
      </c>
      <c r="J7" s="117" t="s">
        <v>231</v>
      </c>
      <c r="K7" s="118" t="s">
        <v>232</v>
      </c>
      <c r="L7" s="119" t="s">
        <v>233</v>
      </c>
      <c r="M7" s="118" t="s">
        <v>234</v>
      </c>
    </row>
    <row r="8" spans="1:13" ht="15" customHeight="1" x14ac:dyDescent="0.2">
      <c r="A8" s="121" t="s">
        <v>4</v>
      </c>
      <c r="B8" s="121" t="s">
        <v>235</v>
      </c>
      <c r="C8" s="122" t="s">
        <v>5</v>
      </c>
      <c r="D8" s="123">
        <v>30</v>
      </c>
      <c r="E8" s="123">
        <v>3</v>
      </c>
      <c r="F8" s="123">
        <v>33</v>
      </c>
      <c r="G8" s="124" t="s">
        <v>134</v>
      </c>
      <c r="H8" s="125">
        <v>2160</v>
      </c>
      <c r="I8" s="124" t="str">
        <f t="shared" ref="I8:I23" si="0">IF(H8&gt;299,"I",IF(H8&gt;100,"II","III"))</f>
        <v>I</v>
      </c>
      <c r="J8" s="126" t="s">
        <v>134</v>
      </c>
      <c r="K8" s="123">
        <v>3</v>
      </c>
      <c r="L8" s="292" t="s">
        <v>236</v>
      </c>
      <c r="M8" s="294">
        <f>$M$6*SUM(K8:K9)/$K$24</f>
        <v>7385815.846153846</v>
      </c>
    </row>
    <row r="9" spans="1:13" x14ac:dyDescent="0.2">
      <c r="A9" s="121" t="s">
        <v>14</v>
      </c>
      <c r="B9" s="121" t="s">
        <v>235</v>
      </c>
      <c r="C9" s="122" t="s">
        <v>15</v>
      </c>
      <c r="D9" s="123">
        <v>11</v>
      </c>
      <c r="E9" s="123">
        <v>1</v>
      </c>
      <c r="F9" s="123">
        <v>12</v>
      </c>
      <c r="G9" s="124" t="s">
        <v>134</v>
      </c>
      <c r="H9" s="125">
        <v>462</v>
      </c>
      <c r="I9" s="124" t="str">
        <f t="shared" si="0"/>
        <v>I</v>
      </c>
      <c r="J9" s="126" t="s">
        <v>134</v>
      </c>
      <c r="K9" s="123">
        <v>3</v>
      </c>
      <c r="L9" s="293"/>
      <c r="M9" s="295"/>
    </row>
    <row r="10" spans="1:13" ht="15" customHeight="1" x14ac:dyDescent="0.2">
      <c r="A10" s="127" t="s">
        <v>32</v>
      </c>
      <c r="B10" s="127" t="s">
        <v>235</v>
      </c>
      <c r="C10" s="128" t="s">
        <v>33</v>
      </c>
      <c r="D10" s="129">
        <v>4</v>
      </c>
      <c r="E10" s="129">
        <v>0</v>
      </c>
      <c r="F10" s="129">
        <v>4</v>
      </c>
      <c r="G10" s="130" t="s">
        <v>128</v>
      </c>
      <c r="H10" s="131">
        <v>265</v>
      </c>
      <c r="I10" s="130" t="str">
        <f t="shared" si="0"/>
        <v>II</v>
      </c>
      <c r="J10" s="132" t="s">
        <v>128</v>
      </c>
      <c r="K10" s="129">
        <v>2</v>
      </c>
      <c r="L10" s="296" t="s">
        <v>237</v>
      </c>
      <c r="M10" s="299">
        <f>$M$6*SUM(K10:K15)/$K$24</f>
        <v>14771631.692307692</v>
      </c>
    </row>
    <row r="11" spans="1:13" x14ac:dyDescent="0.2">
      <c r="A11" s="127" t="s">
        <v>28</v>
      </c>
      <c r="B11" s="127" t="s">
        <v>235</v>
      </c>
      <c r="C11" s="128" t="s">
        <v>29</v>
      </c>
      <c r="D11" s="129">
        <v>4</v>
      </c>
      <c r="E11" s="129">
        <v>0</v>
      </c>
      <c r="F11" s="129">
        <v>4</v>
      </c>
      <c r="G11" s="130" t="s">
        <v>128</v>
      </c>
      <c r="H11" s="131">
        <v>343</v>
      </c>
      <c r="I11" s="130" t="str">
        <f t="shared" si="0"/>
        <v>I</v>
      </c>
      <c r="J11" s="132" t="s">
        <v>128</v>
      </c>
      <c r="K11" s="129">
        <v>2</v>
      </c>
      <c r="L11" s="297"/>
      <c r="M11" s="300"/>
    </row>
    <row r="12" spans="1:13" x14ac:dyDescent="0.2">
      <c r="A12" s="127" t="s">
        <v>36</v>
      </c>
      <c r="B12" s="127" t="s">
        <v>235</v>
      </c>
      <c r="C12" s="128" t="s">
        <v>37</v>
      </c>
      <c r="D12" s="129">
        <v>0</v>
      </c>
      <c r="E12" s="129">
        <v>1</v>
      </c>
      <c r="F12" s="129">
        <v>1</v>
      </c>
      <c r="G12" s="130" t="s">
        <v>128</v>
      </c>
      <c r="H12" s="131">
        <v>182</v>
      </c>
      <c r="I12" s="130" t="str">
        <f t="shared" si="0"/>
        <v>II</v>
      </c>
      <c r="J12" s="132" t="s">
        <v>128</v>
      </c>
      <c r="K12" s="129">
        <v>2</v>
      </c>
      <c r="L12" s="297"/>
      <c r="M12" s="300"/>
    </row>
    <row r="13" spans="1:13" x14ac:dyDescent="0.2">
      <c r="A13" s="127" t="s">
        <v>26</v>
      </c>
      <c r="B13" s="127" t="s">
        <v>235</v>
      </c>
      <c r="C13" s="128" t="s">
        <v>27</v>
      </c>
      <c r="D13" s="129">
        <v>2</v>
      </c>
      <c r="E13" s="129">
        <v>0</v>
      </c>
      <c r="F13" s="129">
        <v>2</v>
      </c>
      <c r="G13" s="130" t="s">
        <v>128</v>
      </c>
      <c r="H13" s="131">
        <v>142</v>
      </c>
      <c r="I13" s="130" t="str">
        <f t="shared" si="0"/>
        <v>II</v>
      </c>
      <c r="J13" s="132" t="s">
        <v>128</v>
      </c>
      <c r="K13" s="129">
        <v>2</v>
      </c>
      <c r="L13" s="297"/>
      <c r="M13" s="300"/>
    </row>
    <row r="14" spans="1:13" x14ac:dyDescent="0.2">
      <c r="A14" s="127" t="s">
        <v>20</v>
      </c>
      <c r="B14" s="127" t="s">
        <v>235</v>
      </c>
      <c r="C14" s="128" t="s">
        <v>21</v>
      </c>
      <c r="D14" s="129">
        <v>4</v>
      </c>
      <c r="E14" s="129">
        <v>0</v>
      </c>
      <c r="F14" s="129">
        <v>4</v>
      </c>
      <c r="G14" s="130" t="s">
        <v>128</v>
      </c>
      <c r="H14" s="131">
        <v>287</v>
      </c>
      <c r="I14" s="130" t="str">
        <f t="shared" si="0"/>
        <v>II</v>
      </c>
      <c r="J14" s="132" t="s">
        <v>128</v>
      </c>
      <c r="K14" s="129">
        <v>2</v>
      </c>
      <c r="L14" s="297"/>
      <c r="M14" s="300"/>
    </row>
    <row r="15" spans="1:13" x14ac:dyDescent="0.2">
      <c r="A15" s="127" t="s">
        <v>22</v>
      </c>
      <c r="B15" s="127" t="s">
        <v>235</v>
      </c>
      <c r="C15" s="128" t="s">
        <v>23</v>
      </c>
      <c r="D15" s="129">
        <v>1</v>
      </c>
      <c r="E15" s="129">
        <v>0</v>
      </c>
      <c r="F15" s="129">
        <v>1</v>
      </c>
      <c r="G15" s="130" t="s">
        <v>128</v>
      </c>
      <c r="H15" s="131">
        <v>121</v>
      </c>
      <c r="I15" s="130" t="str">
        <f t="shared" si="0"/>
        <v>II</v>
      </c>
      <c r="J15" s="132" t="s">
        <v>128</v>
      </c>
      <c r="K15" s="129">
        <v>2</v>
      </c>
      <c r="L15" s="298"/>
      <c r="M15" s="301"/>
    </row>
    <row r="16" spans="1:13" ht="15" customHeight="1" x14ac:dyDescent="0.2">
      <c r="A16" s="133" t="s">
        <v>24</v>
      </c>
      <c r="B16" s="133" t="s">
        <v>235</v>
      </c>
      <c r="C16" s="134" t="s">
        <v>25</v>
      </c>
      <c r="D16" s="135">
        <v>1</v>
      </c>
      <c r="E16" s="135">
        <v>1</v>
      </c>
      <c r="F16" s="135">
        <v>2</v>
      </c>
      <c r="G16" s="136" t="s">
        <v>128</v>
      </c>
      <c r="H16" s="137">
        <v>96</v>
      </c>
      <c r="I16" s="136" t="str">
        <f t="shared" si="0"/>
        <v>III</v>
      </c>
      <c r="J16" s="138" t="s">
        <v>131</v>
      </c>
      <c r="K16" s="135">
        <v>1</v>
      </c>
      <c r="L16" s="302" t="s">
        <v>238</v>
      </c>
      <c r="M16" s="305">
        <f>$M$6*SUM(K16:K23)/$K$24</f>
        <v>9847754.461538462</v>
      </c>
    </row>
    <row r="17" spans="1:13" x14ac:dyDescent="0.2">
      <c r="A17" s="133" t="s">
        <v>40</v>
      </c>
      <c r="B17" s="133" t="s">
        <v>235</v>
      </c>
      <c r="C17" s="134" t="s">
        <v>41</v>
      </c>
      <c r="D17" s="135"/>
      <c r="E17" s="135"/>
      <c r="F17" s="135">
        <v>0</v>
      </c>
      <c r="G17" s="136" t="s">
        <v>131</v>
      </c>
      <c r="H17" s="137">
        <v>21</v>
      </c>
      <c r="I17" s="136" t="str">
        <f t="shared" si="0"/>
        <v>III</v>
      </c>
      <c r="J17" s="138" t="s">
        <v>131</v>
      </c>
      <c r="K17" s="135">
        <v>1</v>
      </c>
      <c r="L17" s="303"/>
      <c r="M17" s="306"/>
    </row>
    <row r="18" spans="1:13" x14ac:dyDescent="0.2">
      <c r="A18" s="133" t="s">
        <v>42</v>
      </c>
      <c r="B18" s="133" t="s">
        <v>235</v>
      </c>
      <c r="C18" s="134" t="s">
        <v>43</v>
      </c>
      <c r="D18" s="135"/>
      <c r="E18" s="135"/>
      <c r="F18" s="135">
        <v>0</v>
      </c>
      <c r="G18" s="136" t="s">
        <v>131</v>
      </c>
      <c r="H18" s="137">
        <v>54</v>
      </c>
      <c r="I18" s="136" t="str">
        <f t="shared" si="0"/>
        <v>III</v>
      </c>
      <c r="J18" s="138" t="s">
        <v>131</v>
      </c>
      <c r="K18" s="135">
        <v>1</v>
      </c>
      <c r="L18" s="303"/>
      <c r="M18" s="306"/>
    </row>
    <row r="19" spans="1:13" x14ac:dyDescent="0.2">
      <c r="A19" s="133" t="s">
        <v>46</v>
      </c>
      <c r="B19" s="133" t="s">
        <v>235</v>
      </c>
      <c r="C19" s="134" t="s">
        <v>47</v>
      </c>
      <c r="D19" s="135"/>
      <c r="E19" s="135"/>
      <c r="F19" s="135">
        <v>0</v>
      </c>
      <c r="G19" s="136" t="s">
        <v>131</v>
      </c>
      <c r="H19" s="137">
        <v>50</v>
      </c>
      <c r="I19" s="136" t="str">
        <f t="shared" si="0"/>
        <v>III</v>
      </c>
      <c r="J19" s="138" t="s">
        <v>131</v>
      </c>
      <c r="K19" s="135">
        <v>1</v>
      </c>
      <c r="L19" s="303"/>
      <c r="M19" s="306"/>
    </row>
    <row r="20" spans="1:13" x14ac:dyDescent="0.2">
      <c r="A20" s="133" t="s">
        <v>30</v>
      </c>
      <c r="B20" s="133" t="s">
        <v>235</v>
      </c>
      <c r="C20" s="134" t="s">
        <v>31</v>
      </c>
      <c r="D20" s="135"/>
      <c r="E20" s="135"/>
      <c r="F20" s="135">
        <v>0</v>
      </c>
      <c r="G20" s="136" t="s">
        <v>131</v>
      </c>
      <c r="H20" s="137">
        <v>52</v>
      </c>
      <c r="I20" s="136" t="str">
        <f t="shared" si="0"/>
        <v>III</v>
      </c>
      <c r="J20" s="138" t="s">
        <v>131</v>
      </c>
      <c r="K20" s="135">
        <v>1</v>
      </c>
      <c r="L20" s="303"/>
      <c r="M20" s="306"/>
    </row>
    <row r="21" spans="1:13" x14ac:dyDescent="0.2">
      <c r="A21" s="133" t="s">
        <v>44</v>
      </c>
      <c r="B21" s="133" t="s">
        <v>235</v>
      </c>
      <c r="C21" s="134" t="s">
        <v>45</v>
      </c>
      <c r="D21" s="135"/>
      <c r="E21" s="135"/>
      <c r="F21" s="135">
        <v>0</v>
      </c>
      <c r="G21" s="136" t="s">
        <v>131</v>
      </c>
      <c r="H21" s="137">
        <v>9</v>
      </c>
      <c r="I21" s="136" t="str">
        <f t="shared" si="0"/>
        <v>III</v>
      </c>
      <c r="J21" s="138" t="s">
        <v>131</v>
      </c>
      <c r="K21" s="135">
        <v>1</v>
      </c>
      <c r="L21" s="303"/>
      <c r="M21" s="306"/>
    </row>
    <row r="22" spans="1:13" x14ac:dyDescent="0.2">
      <c r="A22" s="133" t="s">
        <v>38</v>
      </c>
      <c r="B22" s="133" t="s">
        <v>235</v>
      </c>
      <c r="C22" s="134" t="s">
        <v>39</v>
      </c>
      <c r="D22" s="135"/>
      <c r="E22" s="135"/>
      <c r="F22" s="135">
        <v>0</v>
      </c>
      <c r="G22" s="136" t="s">
        <v>131</v>
      </c>
      <c r="H22" s="137">
        <v>48</v>
      </c>
      <c r="I22" s="136" t="str">
        <f t="shared" si="0"/>
        <v>III</v>
      </c>
      <c r="J22" s="138" t="s">
        <v>131</v>
      </c>
      <c r="K22" s="135">
        <v>1</v>
      </c>
      <c r="L22" s="303"/>
      <c r="M22" s="306"/>
    </row>
    <row r="23" spans="1:13" x14ac:dyDescent="0.2">
      <c r="A23" s="133" t="s">
        <v>34</v>
      </c>
      <c r="B23" s="133" t="s">
        <v>235</v>
      </c>
      <c r="C23" s="134" t="s">
        <v>35</v>
      </c>
      <c r="D23" s="135"/>
      <c r="E23" s="135"/>
      <c r="F23" s="135">
        <v>0</v>
      </c>
      <c r="G23" s="136" t="s">
        <v>131</v>
      </c>
      <c r="H23" s="137">
        <v>25</v>
      </c>
      <c r="I23" s="136" t="str">
        <f t="shared" si="0"/>
        <v>III</v>
      </c>
      <c r="J23" s="138" t="s">
        <v>131</v>
      </c>
      <c r="K23" s="135">
        <v>1</v>
      </c>
      <c r="L23" s="304"/>
      <c r="M23" s="307"/>
    </row>
    <row r="24" spans="1:13" x14ac:dyDescent="0.2">
      <c r="A24" s="139" t="s">
        <v>100</v>
      </c>
      <c r="B24" s="139"/>
      <c r="C24" s="140"/>
      <c r="D24" s="141">
        <f>SUM(D8:D23)</f>
        <v>57</v>
      </c>
      <c r="E24" s="141">
        <f t="shared" ref="E24:H24" si="1">SUM(E8:E23)</f>
        <v>6</v>
      </c>
      <c r="F24" s="141">
        <f t="shared" si="1"/>
        <v>63</v>
      </c>
      <c r="G24" s="141"/>
      <c r="H24" s="142">
        <f t="shared" si="1"/>
        <v>4317</v>
      </c>
      <c r="I24" s="143"/>
      <c r="J24" s="144"/>
      <c r="K24" s="144">
        <f>SUM(K8:K23)</f>
        <v>26</v>
      </c>
      <c r="L24" s="145"/>
      <c r="M24" s="146">
        <f>SUM(M8:M23)</f>
        <v>32005202</v>
      </c>
    </row>
    <row r="25" spans="1:13" x14ac:dyDescent="0.2">
      <c r="D25" s="85"/>
      <c r="E25" s="85"/>
    </row>
    <row r="26" spans="1:13" x14ac:dyDescent="0.2">
      <c r="D26" s="85"/>
      <c r="E26" s="85"/>
    </row>
    <row r="27" spans="1:13" ht="30" customHeight="1" x14ac:dyDescent="0.2">
      <c r="D27" s="291" t="s">
        <v>226</v>
      </c>
      <c r="E27" s="291"/>
      <c r="F27" s="291"/>
      <c r="G27" s="291"/>
      <c r="M27" s="113">
        <v>17722280</v>
      </c>
    </row>
    <row r="28" spans="1:13" ht="63.75" x14ac:dyDescent="0.2">
      <c r="A28" s="114" t="s">
        <v>98</v>
      </c>
      <c r="B28" s="101" t="s">
        <v>99</v>
      </c>
      <c r="C28" s="101" t="s">
        <v>135</v>
      </c>
      <c r="D28" s="101" t="s">
        <v>224</v>
      </c>
      <c r="E28" s="102" t="s">
        <v>227</v>
      </c>
      <c r="F28" s="102" t="s">
        <v>228</v>
      </c>
      <c r="G28" s="115" t="s">
        <v>229</v>
      </c>
      <c r="H28" s="79" t="s">
        <v>178</v>
      </c>
      <c r="I28" s="116" t="s">
        <v>230</v>
      </c>
      <c r="J28" s="117" t="s">
        <v>231</v>
      </c>
      <c r="K28" s="118" t="s">
        <v>232</v>
      </c>
      <c r="L28" s="119" t="s">
        <v>233</v>
      </c>
      <c r="M28" s="118" t="s">
        <v>234</v>
      </c>
    </row>
    <row r="29" spans="1:13" x14ac:dyDescent="0.2">
      <c r="A29" s="147" t="s">
        <v>6</v>
      </c>
      <c r="B29" s="147" t="s">
        <v>239</v>
      </c>
      <c r="C29" s="148" t="s">
        <v>7</v>
      </c>
      <c r="D29" s="149">
        <v>32</v>
      </c>
      <c r="E29" s="149">
        <v>1</v>
      </c>
      <c r="F29" s="149">
        <v>33</v>
      </c>
      <c r="G29" s="150" t="s">
        <v>134</v>
      </c>
      <c r="H29" s="151">
        <v>1824</v>
      </c>
      <c r="I29" s="150" t="str">
        <f>IF(H29&gt;299,"I",IF(H29&gt;100,"II","III"))</f>
        <v>I</v>
      </c>
      <c r="J29" s="152" t="s">
        <v>134</v>
      </c>
      <c r="K29" s="149">
        <v>3</v>
      </c>
      <c r="L29" s="308" t="s">
        <v>240</v>
      </c>
      <c r="M29" s="309">
        <f>$M$27*SUM(K29:K30)/$K$38</f>
        <v>6254922.3529411769</v>
      </c>
    </row>
    <row r="30" spans="1:13" x14ac:dyDescent="0.2">
      <c r="A30" s="147" t="s">
        <v>8</v>
      </c>
      <c r="B30" s="147" t="s">
        <v>239</v>
      </c>
      <c r="C30" s="148" t="s">
        <v>9</v>
      </c>
      <c r="D30" s="149">
        <v>22</v>
      </c>
      <c r="E30" s="149">
        <v>0</v>
      </c>
      <c r="F30" s="149">
        <v>22</v>
      </c>
      <c r="G30" s="150" t="s">
        <v>134</v>
      </c>
      <c r="H30" s="151">
        <v>870</v>
      </c>
      <c r="I30" s="150" t="str">
        <f t="shared" ref="I30:I37" si="2">IF(H30&gt;299,"I",IF(H30&gt;100,"II","III"))</f>
        <v>I</v>
      </c>
      <c r="J30" s="152" t="s">
        <v>134</v>
      </c>
      <c r="K30" s="149">
        <v>3</v>
      </c>
      <c r="L30" s="308"/>
      <c r="M30" s="309"/>
    </row>
    <row r="31" spans="1:13" x14ac:dyDescent="0.2">
      <c r="A31" s="153" t="s">
        <v>12</v>
      </c>
      <c r="B31" s="153" t="s">
        <v>239</v>
      </c>
      <c r="C31" s="154" t="s">
        <v>13</v>
      </c>
      <c r="D31" s="155">
        <v>2</v>
      </c>
      <c r="E31" s="155">
        <v>2</v>
      </c>
      <c r="F31" s="155">
        <v>4</v>
      </c>
      <c r="G31" s="156" t="s">
        <v>128</v>
      </c>
      <c r="H31" s="157">
        <v>399</v>
      </c>
      <c r="I31" s="156" t="str">
        <f t="shared" si="2"/>
        <v>I</v>
      </c>
      <c r="J31" s="158" t="s">
        <v>128</v>
      </c>
      <c r="K31" s="155">
        <v>2</v>
      </c>
      <c r="L31" s="312" t="s">
        <v>241</v>
      </c>
      <c r="M31" s="313">
        <f>$M$27*SUM(K31:K34)/$K$38</f>
        <v>8339896.4705882352</v>
      </c>
    </row>
    <row r="32" spans="1:13" x14ac:dyDescent="0.2">
      <c r="A32" s="153" t="s">
        <v>10</v>
      </c>
      <c r="B32" s="153" t="s">
        <v>239</v>
      </c>
      <c r="C32" s="154" t="s">
        <v>11</v>
      </c>
      <c r="D32" s="155">
        <v>6</v>
      </c>
      <c r="E32" s="155">
        <v>3</v>
      </c>
      <c r="F32" s="155">
        <v>9</v>
      </c>
      <c r="G32" s="156" t="s">
        <v>128</v>
      </c>
      <c r="H32" s="157">
        <v>402</v>
      </c>
      <c r="I32" s="156" t="str">
        <f t="shared" si="2"/>
        <v>I</v>
      </c>
      <c r="J32" s="158" t="s">
        <v>128</v>
      </c>
      <c r="K32" s="155">
        <v>2</v>
      </c>
      <c r="L32" s="312"/>
      <c r="M32" s="313"/>
    </row>
    <row r="33" spans="1:13" x14ac:dyDescent="0.2">
      <c r="A33" s="153" t="s">
        <v>16</v>
      </c>
      <c r="B33" s="153" t="s">
        <v>239</v>
      </c>
      <c r="C33" s="154" t="s">
        <v>17</v>
      </c>
      <c r="D33" s="155">
        <v>8</v>
      </c>
      <c r="E33" s="155">
        <v>0</v>
      </c>
      <c r="F33" s="155">
        <v>8</v>
      </c>
      <c r="G33" s="156" t="s">
        <v>128</v>
      </c>
      <c r="H33" s="157">
        <v>403</v>
      </c>
      <c r="I33" s="156" t="str">
        <f t="shared" si="2"/>
        <v>I</v>
      </c>
      <c r="J33" s="158" t="s">
        <v>128</v>
      </c>
      <c r="K33" s="155">
        <v>2</v>
      </c>
      <c r="L33" s="312"/>
      <c r="M33" s="313"/>
    </row>
    <row r="34" spans="1:13" x14ac:dyDescent="0.2">
      <c r="A34" s="153" t="s">
        <v>18</v>
      </c>
      <c r="B34" s="153" t="s">
        <v>239</v>
      </c>
      <c r="C34" s="154" t="s">
        <v>19</v>
      </c>
      <c r="D34" s="155">
        <v>2</v>
      </c>
      <c r="E34" s="155">
        <v>3</v>
      </c>
      <c r="F34" s="155">
        <v>5</v>
      </c>
      <c r="G34" s="156" t="s">
        <v>128</v>
      </c>
      <c r="H34" s="157">
        <v>271</v>
      </c>
      <c r="I34" s="156" t="str">
        <f t="shared" si="2"/>
        <v>II</v>
      </c>
      <c r="J34" s="158" t="s">
        <v>128</v>
      </c>
      <c r="K34" s="155">
        <v>2</v>
      </c>
      <c r="L34" s="312"/>
      <c r="M34" s="313"/>
    </row>
    <row r="35" spans="1:13" x14ac:dyDescent="0.2">
      <c r="A35" s="159" t="s">
        <v>50</v>
      </c>
      <c r="B35" s="159" t="s">
        <v>239</v>
      </c>
      <c r="C35" s="160" t="s">
        <v>51</v>
      </c>
      <c r="D35" s="161">
        <v>1</v>
      </c>
      <c r="E35" s="161">
        <v>0</v>
      </c>
      <c r="F35" s="161">
        <v>1</v>
      </c>
      <c r="G35" s="162" t="s">
        <v>128</v>
      </c>
      <c r="H35" s="163">
        <v>80</v>
      </c>
      <c r="I35" s="162" t="str">
        <f t="shared" si="2"/>
        <v>III</v>
      </c>
      <c r="J35" s="164" t="s">
        <v>131</v>
      </c>
      <c r="K35" s="161">
        <v>1</v>
      </c>
      <c r="L35" s="314" t="s">
        <v>242</v>
      </c>
      <c r="M35" s="315">
        <f>$M$27*SUM(K35:K37)/$K$38</f>
        <v>3127461.1764705884</v>
      </c>
    </row>
    <row r="36" spans="1:13" x14ac:dyDescent="0.2">
      <c r="A36" s="159" t="s">
        <v>48</v>
      </c>
      <c r="B36" s="159" t="s">
        <v>239</v>
      </c>
      <c r="C36" s="160" t="s">
        <v>49</v>
      </c>
      <c r="D36" s="161"/>
      <c r="E36" s="161"/>
      <c r="F36" s="161">
        <v>0</v>
      </c>
      <c r="G36" s="162" t="s">
        <v>131</v>
      </c>
      <c r="H36" s="163">
        <v>56</v>
      </c>
      <c r="I36" s="162" t="str">
        <f t="shared" si="2"/>
        <v>III</v>
      </c>
      <c r="J36" s="164" t="s">
        <v>131</v>
      </c>
      <c r="K36" s="161">
        <v>1</v>
      </c>
      <c r="L36" s="314"/>
      <c r="M36" s="315"/>
    </row>
    <row r="37" spans="1:13" x14ac:dyDescent="0.2">
      <c r="A37" s="159" t="s">
        <v>52</v>
      </c>
      <c r="B37" s="159" t="s">
        <v>239</v>
      </c>
      <c r="C37" s="160" t="s">
        <v>53</v>
      </c>
      <c r="D37" s="161"/>
      <c r="E37" s="161"/>
      <c r="F37" s="161">
        <v>0</v>
      </c>
      <c r="G37" s="162" t="s">
        <v>131</v>
      </c>
      <c r="H37" s="163">
        <v>51</v>
      </c>
      <c r="I37" s="162" t="str">
        <f t="shared" si="2"/>
        <v>III</v>
      </c>
      <c r="J37" s="164" t="s">
        <v>131</v>
      </c>
      <c r="K37" s="161">
        <v>1</v>
      </c>
      <c r="L37" s="314"/>
      <c r="M37" s="315"/>
    </row>
    <row r="38" spans="1:13" x14ac:dyDescent="0.2">
      <c r="A38" s="165" t="s">
        <v>243</v>
      </c>
      <c r="B38" s="165"/>
      <c r="C38" s="166"/>
      <c r="D38" s="167">
        <f>SUM(D29:D37)</f>
        <v>73</v>
      </c>
      <c r="E38" s="167">
        <f t="shared" ref="E38:H38" si="3">SUM(E29:E37)</f>
        <v>9</v>
      </c>
      <c r="F38" s="167">
        <f t="shared" si="3"/>
        <v>82</v>
      </c>
      <c r="G38" s="168"/>
      <c r="H38" s="142">
        <f t="shared" si="3"/>
        <v>4356</v>
      </c>
      <c r="I38" s="143"/>
      <c r="J38" s="143"/>
      <c r="K38" s="142">
        <f t="shared" ref="K38:M38" si="4">SUM(K29:K37)</f>
        <v>17</v>
      </c>
      <c r="L38" s="169"/>
      <c r="M38" s="142">
        <f t="shared" si="4"/>
        <v>17722280</v>
      </c>
    </row>
    <row r="39" spans="1:13" x14ac:dyDescent="0.2">
      <c r="D39" s="85"/>
      <c r="E39" s="85"/>
    </row>
    <row r="40" spans="1:13" x14ac:dyDescent="0.2">
      <c r="D40" s="85"/>
      <c r="E40" s="85"/>
    </row>
    <row r="41" spans="1:13" ht="30" customHeight="1" x14ac:dyDescent="0.2">
      <c r="D41" s="291" t="s">
        <v>226</v>
      </c>
      <c r="E41" s="291"/>
      <c r="F41" s="291"/>
      <c r="G41" s="291"/>
      <c r="M41" s="113">
        <v>2700000</v>
      </c>
    </row>
    <row r="42" spans="1:13" ht="63.75" x14ac:dyDescent="0.2">
      <c r="A42" s="114" t="s">
        <v>98</v>
      </c>
      <c r="B42" s="101" t="s">
        <v>99</v>
      </c>
      <c r="C42" s="101" t="s">
        <v>135</v>
      </c>
      <c r="D42" s="101" t="s">
        <v>224</v>
      </c>
      <c r="E42" s="102" t="s">
        <v>227</v>
      </c>
      <c r="F42" s="102" t="s">
        <v>228</v>
      </c>
      <c r="G42" s="102" t="s">
        <v>229</v>
      </c>
      <c r="H42" s="79" t="s">
        <v>178</v>
      </c>
      <c r="I42" s="116" t="s">
        <v>230</v>
      </c>
      <c r="J42" s="117" t="s">
        <v>231</v>
      </c>
      <c r="K42" s="118" t="s">
        <v>232</v>
      </c>
      <c r="L42" s="119" t="s">
        <v>233</v>
      </c>
      <c r="M42" s="118" t="s">
        <v>234</v>
      </c>
    </row>
    <row r="43" spans="1:13" x14ac:dyDescent="0.2">
      <c r="A43" s="170" t="s">
        <v>95</v>
      </c>
      <c r="B43" s="170" t="s">
        <v>244</v>
      </c>
      <c r="C43" s="171" t="s">
        <v>94</v>
      </c>
      <c r="D43" s="172">
        <v>1</v>
      </c>
      <c r="E43" s="172">
        <v>0</v>
      </c>
      <c r="F43" s="172">
        <v>1</v>
      </c>
      <c r="G43" s="172" t="s">
        <v>128</v>
      </c>
      <c r="H43" s="173">
        <v>221</v>
      </c>
      <c r="I43" s="174" t="str">
        <f>IF(H43&gt;299,"I",IF(H43&gt;100,"II","III"))</f>
        <v>II</v>
      </c>
      <c r="J43" s="175" t="s">
        <v>128</v>
      </c>
      <c r="K43" s="172">
        <v>2</v>
      </c>
      <c r="L43" s="176" t="s">
        <v>245</v>
      </c>
      <c r="M43" s="177">
        <f>$M$41*SUM(K43)/$K$48</f>
        <v>900000</v>
      </c>
    </row>
    <row r="44" spans="1:13" x14ac:dyDescent="0.2">
      <c r="A44" s="178" t="s">
        <v>89</v>
      </c>
      <c r="B44" s="178" t="s">
        <v>244</v>
      </c>
      <c r="C44" s="179" t="s">
        <v>88</v>
      </c>
      <c r="D44" s="180">
        <v>2</v>
      </c>
      <c r="E44" s="180">
        <v>0</v>
      </c>
      <c r="F44" s="180">
        <v>2</v>
      </c>
      <c r="G44" s="180" t="s">
        <v>128</v>
      </c>
      <c r="H44" s="181">
        <v>70</v>
      </c>
      <c r="I44" s="182" t="str">
        <f t="shared" ref="I44:I47" si="5">IF(H44&gt;299,"I",IF(H44&gt;100,"II","III"))</f>
        <v>III</v>
      </c>
      <c r="J44" s="183" t="s">
        <v>131</v>
      </c>
      <c r="K44" s="180">
        <v>1</v>
      </c>
      <c r="L44" s="310" t="s">
        <v>246</v>
      </c>
      <c r="M44" s="311">
        <f>$M$41*SUM(K44:K47)/$K$48</f>
        <v>1800000</v>
      </c>
    </row>
    <row r="45" spans="1:13" x14ac:dyDescent="0.2">
      <c r="A45" s="178" t="s">
        <v>91</v>
      </c>
      <c r="B45" s="178" t="s">
        <v>244</v>
      </c>
      <c r="C45" s="179" t="s">
        <v>90</v>
      </c>
      <c r="D45" s="180"/>
      <c r="E45" s="180"/>
      <c r="F45" s="180">
        <v>0</v>
      </c>
      <c r="G45" s="180" t="s">
        <v>131</v>
      </c>
      <c r="H45" s="181">
        <v>225</v>
      </c>
      <c r="I45" s="182" t="str">
        <f t="shared" si="5"/>
        <v>II</v>
      </c>
      <c r="J45" s="183" t="s">
        <v>131</v>
      </c>
      <c r="K45" s="180">
        <v>1</v>
      </c>
      <c r="L45" s="310"/>
      <c r="M45" s="311"/>
    </row>
    <row r="46" spans="1:13" x14ac:dyDescent="0.2">
      <c r="A46" s="178" t="s">
        <v>97</v>
      </c>
      <c r="B46" s="178" t="s">
        <v>244</v>
      </c>
      <c r="C46" s="179" t="s">
        <v>96</v>
      </c>
      <c r="D46" s="180"/>
      <c r="E46" s="180"/>
      <c r="F46" s="180">
        <v>0</v>
      </c>
      <c r="G46" s="180" t="s">
        <v>131</v>
      </c>
      <c r="H46" s="181">
        <v>52</v>
      </c>
      <c r="I46" s="182" t="str">
        <f t="shared" si="5"/>
        <v>III</v>
      </c>
      <c r="J46" s="183" t="s">
        <v>131</v>
      </c>
      <c r="K46" s="180">
        <v>1</v>
      </c>
      <c r="L46" s="310"/>
      <c r="M46" s="311"/>
    </row>
    <row r="47" spans="1:13" x14ac:dyDescent="0.2">
      <c r="A47" s="178" t="s">
        <v>93</v>
      </c>
      <c r="B47" s="178" t="s">
        <v>244</v>
      </c>
      <c r="C47" s="179" t="s">
        <v>92</v>
      </c>
      <c r="D47" s="180"/>
      <c r="E47" s="180"/>
      <c r="F47" s="180">
        <v>0</v>
      </c>
      <c r="G47" s="180" t="s">
        <v>131</v>
      </c>
      <c r="H47" s="181">
        <v>9</v>
      </c>
      <c r="I47" s="182" t="str">
        <f t="shared" si="5"/>
        <v>III</v>
      </c>
      <c r="J47" s="183" t="s">
        <v>131</v>
      </c>
      <c r="K47" s="180">
        <v>1</v>
      </c>
      <c r="L47" s="310"/>
      <c r="M47" s="311"/>
    </row>
    <row r="48" spans="1:13" x14ac:dyDescent="0.2">
      <c r="A48" s="56" t="s">
        <v>247</v>
      </c>
      <c r="B48" s="56"/>
      <c r="C48" s="56"/>
      <c r="D48" s="184">
        <f>SUM(D43:D47)</f>
        <v>3</v>
      </c>
      <c r="E48" s="184">
        <f t="shared" ref="E48:F48" si="6">SUM(E43:E47)</f>
        <v>0</v>
      </c>
      <c r="F48" s="184">
        <f t="shared" si="6"/>
        <v>3</v>
      </c>
      <c r="G48" s="184"/>
      <c r="H48" s="142">
        <f>SUM(H43:H47)</f>
        <v>577</v>
      </c>
      <c r="I48" s="142"/>
      <c r="J48" s="142"/>
      <c r="K48" s="142">
        <f t="shared" ref="K48:M48" si="7">SUM(K43:K47)</f>
        <v>6</v>
      </c>
      <c r="L48" s="169"/>
      <c r="M48" s="142">
        <f t="shared" si="7"/>
        <v>2700000</v>
      </c>
    </row>
    <row r="49" spans="2:5" x14ac:dyDescent="0.2">
      <c r="B49" s="85"/>
      <c r="C49" s="85"/>
      <c r="D49" s="85"/>
      <c r="E49" s="85"/>
    </row>
    <row r="50" spans="2:5" x14ac:dyDescent="0.2">
      <c r="B50" s="85"/>
      <c r="C50" s="85"/>
      <c r="D50" s="85"/>
      <c r="E50" s="85"/>
    </row>
    <row r="51" spans="2:5" x14ac:dyDescent="0.2">
      <c r="B51" s="85"/>
      <c r="C51" s="85"/>
      <c r="D51" s="85"/>
      <c r="E51" s="85"/>
    </row>
  </sheetData>
  <mergeCells count="17">
    <mergeCell ref="D41:G41"/>
    <mergeCell ref="L44:L47"/>
    <mergeCell ref="M44:M47"/>
    <mergeCell ref="L31:L34"/>
    <mergeCell ref="M31:M34"/>
    <mergeCell ref="L35:L37"/>
    <mergeCell ref="M35:M37"/>
    <mergeCell ref="L16:L23"/>
    <mergeCell ref="M16:M23"/>
    <mergeCell ref="D27:G27"/>
    <mergeCell ref="L29:L30"/>
    <mergeCell ref="M29:M30"/>
    <mergeCell ref="D6:G6"/>
    <mergeCell ref="L8:L9"/>
    <mergeCell ref="M8:M9"/>
    <mergeCell ref="L10:L15"/>
    <mergeCell ref="M10:M15"/>
  </mergeCells>
  <pageMargins left="0.11811023622047245" right="0.11811023622047245" top="0.35433070866141736" bottom="0.15748031496062992" header="0.31496062992125984" footer="0.31496062992125984"/>
  <pageSetup paperSize="14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Detalle CM 2016</vt:lpstr>
      <vt:lpstr>DATOS Indicadores (DESEMPEÑO)</vt:lpstr>
      <vt:lpstr>Categoria 2016</vt:lpstr>
      <vt:lpstr>'DATOS Indicadores (DESEMPEÑO)'!Títulos_a_imprimir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Acuña Molina</dc:creator>
  <cp:lastModifiedBy>Roxana Acuña Molina</cp:lastModifiedBy>
  <cp:lastPrinted>2016-09-12T16:00:35Z</cp:lastPrinted>
  <dcterms:created xsi:type="dcterms:W3CDTF">2016-06-02T13:51:15Z</dcterms:created>
  <dcterms:modified xsi:type="dcterms:W3CDTF">2016-12-29T20:09:16Z</dcterms:modified>
</cp:coreProperties>
</file>