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CD Basal/BD 2020/"/>
    </mc:Choice>
  </mc:AlternateContent>
  <xr:revisionPtr revIDLastSave="18" documentId="8_{F311E1B5-FE01-4F53-940E-C632724F2A16}" xr6:coauthVersionLast="45" xr6:coauthVersionMax="45" xr10:uidLastSave="{B0447D93-7D79-4D84-B424-7E8B20BE658E}"/>
  <bookViews>
    <workbookView xWindow="-120" yWindow="-120" windowWidth="20730" windowHeight="11160" tabRatio="889" xr2:uid="{00000000-000D-0000-FFFF-FFFF00000000}"/>
  </bookViews>
  <sheets>
    <sheet name="Montos BD 2020" sheetId="4" r:id="rId1"/>
    <sheet name="Montos BD 2020 Anticipo y Saldo" sheetId="11" r:id="rId2"/>
    <sheet name="Categorías" sheetId="1" r:id="rId3"/>
    <sheet name="Valores" sheetId="2" r:id="rId4"/>
    <sheet name="Indicadores" sheetId="3" r:id="rId5"/>
    <sheet name="Publicaciones BD" sheetId="5" r:id="rId6"/>
    <sheet name="Acreditación BD" sheetId="6" r:id="rId7"/>
    <sheet name="Doctorado JC BD" sheetId="7" r:id="rId8"/>
    <sheet name="Programas Doct. Acreditados BD" sheetId="8" r:id="rId9"/>
    <sheet name="Académicos JC BD" sheetId="9" r:id="rId10"/>
    <sheet name="Matrícula Regular Pre BD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9" hidden="1">'Académicos JC BD'!$A$2:$C$11</definedName>
    <definedName name="_xlnm._FilterDatabase" localSheetId="2" hidden="1">Categorías!$A$3:$X$13</definedName>
    <definedName name="_xlnm._FilterDatabase" localSheetId="7" hidden="1">'Doctorado JC BD'!$A$2:$C$11</definedName>
    <definedName name="_xlnm._FilterDatabase" localSheetId="4" hidden="1">Indicadores!$A$1:$AI$3</definedName>
    <definedName name="_xlnm._FilterDatabase" localSheetId="0" hidden="1">'Montos BD 2020'!$A$6:$P$22</definedName>
    <definedName name="_xlnm._FilterDatabase" localSheetId="1" hidden="1">'Montos BD 2020 Anticipo y Saldo'!$A$6:$D$20</definedName>
    <definedName name="_xlnm._FilterDatabase" localSheetId="3" hidden="1">Valores!$A$1:$Y$17</definedName>
    <definedName name="_xlnm.Print_Titles" localSheetId="0">'Montos BD 2020'!$A:$A</definedName>
    <definedName name="_xlnm.Print_Titles" localSheetId="1">'Montos BD 2020 Anticipo y Saldo'!$A:$A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4" l="1"/>
  <c r="H14" i="4"/>
  <c r="H15" i="4"/>
  <c r="H16" i="4"/>
  <c r="H17" i="4"/>
  <c r="H18" i="4"/>
  <c r="H19" i="4"/>
  <c r="H20" i="4"/>
  <c r="H12" i="4"/>
  <c r="Q21" i="4" l="1"/>
  <c r="M5" i="2" l="1"/>
  <c r="M6" i="2"/>
  <c r="M7" i="2"/>
  <c r="M8" i="2"/>
  <c r="M9" i="2"/>
  <c r="M10" i="2"/>
  <c r="M11" i="2"/>
  <c r="M12" i="2"/>
  <c r="M4" i="2"/>
  <c r="L5" i="2"/>
  <c r="L6" i="2"/>
  <c r="L7" i="2"/>
  <c r="L8" i="2"/>
  <c r="L9" i="2"/>
  <c r="L10" i="2"/>
  <c r="L11" i="2"/>
  <c r="L12" i="2"/>
  <c r="L4" i="2"/>
  <c r="C4" i="8" l="1"/>
  <c r="C5" i="8"/>
  <c r="C6" i="8"/>
  <c r="C7" i="8"/>
  <c r="C8" i="8"/>
  <c r="C9" i="8"/>
  <c r="C11" i="8"/>
  <c r="C3" i="8"/>
  <c r="T5" i="1" l="1"/>
  <c r="T6" i="1"/>
  <c r="T7" i="1"/>
  <c r="T8" i="1"/>
  <c r="T9" i="1"/>
  <c r="T10" i="1"/>
  <c r="T11" i="1"/>
  <c r="T12" i="1"/>
  <c r="T4" i="1"/>
  <c r="E13" i="1"/>
  <c r="F13" i="1"/>
  <c r="G13" i="1"/>
  <c r="H13" i="1"/>
  <c r="D13" i="1"/>
  <c r="E4" i="6"/>
  <c r="E5" i="6"/>
  <c r="E6" i="6"/>
  <c r="E7" i="6"/>
  <c r="E8" i="6"/>
  <c r="E9" i="6"/>
  <c r="E10" i="6"/>
  <c r="E11" i="6"/>
  <c r="E3" i="6"/>
  <c r="D4" i="6"/>
  <c r="D5" i="6"/>
  <c r="D6" i="6"/>
  <c r="D7" i="6"/>
  <c r="D8" i="6"/>
  <c r="D9" i="6"/>
  <c r="D10" i="6"/>
  <c r="D11" i="6"/>
  <c r="D3" i="6"/>
  <c r="C4" i="6"/>
  <c r="C5" i="6"/>
  <c r="C6" i="6"/>
  <c r="C7" i="6"/>
  <c r="C8" i="6"/>
  <c r="C9" i="6"/>
  <c r="C10" i="6"/>
  <c r="C11" i="6"/>
  <c r="C3" i="6"/>
  <c r="U13" i="2" l="1"/>
  <c r="V13" i="2"/>
  <c r="C4" i="10" l="1"/>
  <c r="C5" i="10"/>
  <c r="C6" i="10"/>
  <c r="C7" i="10"/>
  <c r="C8" i="10"/>
  <c r="C9" i="10"/>
  <c r="C10" i="10"/>
  <c r="C11" i="10"/>
  <c r="C3" i="10"/>
  <c r="C4" i="9"/>
  <c r="C5" i="9"/>
  <c r="C6" i="9"/>
  <c r="C7" i="9"/>
  <c r="C8" i="9"/>
  <c r="C9" i="9"/>
  <c r="C10" i="9"/>
  <c r="C11" i="9"/>
  <c r="C3" i="9"/>
  <c r="C4" i="7"/>
  <c r="C5" i="7"/>
  <c r="C6" i="7"/>
  <c r="C7" i="7"/>
  <c r="C8" i="7"/>
  <c r="C9" i="7"/>
  <c r="C10" i="7"/>
  <c r="C11" i="7"/>
  <c r="C3" i="7"/>
  <c r="V5" i="1" l="1"/>
  <c r="V6" i="1"/>
  <c r="V7" i="1"/>
  <c r="V8" i="1"/>
  <c r="V9" i="1"/>
  <c r="V10" i="1"/>
  <c r="V11" i="1"/>
  <c r="V12" i="1"/>
  <c r="V4" i="1"/>
  <c r="C4" i="5"/>
  <c r="C5" i="5"/>
  <c r="C6" i="5"/>
  <c r="C7" i="5"/>
  <c r="C8" i="5"/>
  <c r="C9" i="5"/>
  <c r="C10" i="5"/>
  <c r="C11" i="5"/>
  <c r="C3" i="5"/>
  <c r="J19" i="11" l="1"/>
  <c r="F12" i="4" l="1"/>
  <c r="I12" i="4"/>
  <c r="F13" i="4"/>
  <c r="I13" i="4"/>
  <c r="F16" i="4"/>
  <c r="I16" i="4"/>
  <c r="F14" i="4"/>
  <c r="I14" i="4"/>
  <c r="F15" i="4"/>
  <c r="I15" i="4"/>
  <c r="F17" i="4"/>
  <c r="I17" i="4"/>
  <c r="F18" i="4"/>
  <c r="I18" i="4"/>
  <c r="F19" i="4"/>
  <c r="I19" i="4"/>
  <c r="F20" i="4"/>
  <c r="I20" i="4"/>
  <c r="E21" i="4"/>
  <c r="G21" i="4"/>
  <c r="D26" i="4"/>
  <c r="B28" i="4" s="1"/>
  <c r="F21" i="4" l="1"/>
  <c r="E26" i="4" s="1"/>
  <c r="H21" i="4"/>
  <c r="I21" i="4"/>
  <c r="F26" i="4" s="1"/>
  <c r="I4" i="1" l="1"/>
  <c r="I9" i="1"/>
  <c r="I5" i="1"/>
  <c r="R4" i="1"/>
  <c r="R9" i="1"/>
  <c r="R5" i="1"/>
  <c r="I12" i="1"/>
  <c r="R12" i="1"/>
  <c r="R8" i="1"/>
  <c r="R11" i="1"/>
  <c r="R7" i="1"/>
  <c r="I10" i="1"/>
  <c r="I6" i="1"/>
  <c r="I11" i="1"/>
  <c r="R10" i="1"/>
  <c r="R6" i="1"/>
  <c r="I7" i="1"/>
  <c r="I8" i="1"/>
  <c r="I13" i="1" l="1"/>
  <c r="U10" i="1"/>
  <c r="U11" i="1"/>
  <c r="S4" i="1"/>
  <c r="U4" i="1"/>
  <c r="U9" i="1"/>
  <c r="U6" i="1"/>
  <c r="S11" i="1"/>
  <c r="U7" i="1"/>
  <c r="C10" i="8" s="1"/>
  <c r="U8" i="1"/>
  <c r="S12" i="1"/>
  <c r="S9" i="1"/>
  <c r="U5" i="1"/>
  <c r="S8" i="1"/>
  <c r="U12" i="1"/>
  <c r="S5" i="1"/>
  <c r="S7" i="1"/>
  <c r="S6" i="1"/>
  <c r="S10" i="1"/>
  <c r="S13" i="1" l="1"/>
  <c r="H11" i="6" l="1"/>
  <c r="G11" i="6"/>
  <c r="F11" i="6"/>
  <c r="H10" i="6"/>
  <c r="G10" i="6"/>
  <c r="F10" i="6"/>
  <c r="H9" i="6"/>
  <c r="G9" i="6"/>
  <c r="F9" i="6"/>
  <c r="H8" i="6"/>
  <c r="G8" i="6"/>
  <c r="F8" i="6"/>
  <c r="H7" i="6"/>
  <c r="G7" i="6"/>
  <c r="F7" i="6"/>
  <c r="H6" i="6"/>
  <c r="G6" i="6"/>
  <c r="F6" i="6"/>
  <c r="H5" i="6"/>
  <c r="G5" i="6"/>
  <c r="F5" i="6"/>
  <c r="H4" i="6"/>
  <c r="G4" i="6"/>
  <c r="F4" i="6"/>
  <c r="G3" i="6"/>
  <c r="F3" i="6"/>
  <c r="C12" i="5"/>
  <c r="D11" i="5" s="1"/>
  <c r="U77" i="3"/>
  <c r="T77" i="3"/>
  <c r="S77" i="3"/>
  <c r="R77" i="3"/>
  <c r="Q77" i="3"/>
  <c r="U76" i="3"/>
  <c r="T76" i="3"/>
  <c r="S76" i="3"/>
  <c r="R76" i="3"/>
  <c r="Q76" i="3"/>
  <c r="U75" i="3"/>
  <c r="T75" i="3"/>
  <c r="S75" i="3"/>
  <c r="R75" i="3"/>
  <c r="Q75" i="3"/>
  <c r="U74" i="3"/>
  <c r="T74" i="3"/>
  <c r="S74" i="3"/>
  <c r="R74" i="3"/>
  <c r="Q74" i="3"/>
  <c r="U73" i="3"/>
  <c r="T73" i="3"/>
  <c r="S73" i="3"/>
  <c r="R73" i="3"/>
  <c r="Q73" i="3"/>
  <c r="U63" i="3"/>
  <c r="T63" i="3"/>
  <c r="S63" i="3"/>
  <c r="R63" i="3"/>
  <c r="Q63" i="3"/>
  <c r="U62" i="3"/>
  <c r="T62" i="3"/>
  <c r="S62" i="3"/>
  <c r="R62" i="3"/>
  <c r="Q62" i="3"/>
  <c r="U61" i="3"/>
  <c r="T61" i="3"/>
  <c r="S61" i="3"/>
  <c r="R61" i="3"/>
  <c r="Q61" i="3"/>
  <c r="U60" i="3"/>
  <c r="T60" i="3"/>
  <c r="S60" i="3"/>
  <c r="R60" i="3"/>
  <c r="Q60" i="3"/>
  <c r="U59" i="3"/>
  <c r="T59" i="3"/>
  <c r="S59" i="3"/>
  <c r="R59" i="3"/>
  <c r="Q59" i="3"/>
  <c r="U58" i="3"/>
  <c r="T58" i="3"/>
  <c r="S58" i="3"/>
  <c r="R58" i="3"/>
  <c r="Q58" i="3"/>
  <c r="U57" i="3"/>
  <c r="T57" i="3"/>
  <c r="S57" i="3"/>
  <c r="R57" i="3"/>
  <c r="Q57" i="3"/>
  <c r="U56" i="3"/>
  <c r="T56" i="3"/>
  <c r="S56" i="3"/>
  <c r="R56" i="3"/>
  <c r="Q56" i="3"/>
  <c r="U55" i="3"/>
  <c r="T55" i="3"/>
  <c r="S55" i="3"/>
  <c r="R55" i="3"/>
  <c r="Q55" i="3"/>
  <c r="U54" i="3"/>
  <c r="T54" i="3"/>
  <c r="S54" i="3"/>
  <c r="R54" i="3"/>
  <c r="Q54" i="3"/>
  <c r="U53" i="3"/>
  <c r="T53" i="3"/>
  <c r="S53" i="3"/>
  <c r="R53" i="3"/>
  <c r="Q53" i="3"/>
  <c r="U52" i="3"/>
  <c r="T52" i="3"/>
  <c r="S52" i="3"/>
  <c r="R52" i="3"/>
  <c r="Q52" i="3"/>
  <c r="U51" i="3"/>
  <c r="T51" i="3"/>
  <c r="S51" i="3"/>
  <c r="R51" i="3"/>
  <c r="Q51" i="3"/>
  <c r="U50" i="3"/>
  <c r="T50" i="3"/>
  <c r="S50" i="3"/>
  <c r="R50" i="3"/>
  <c r="Q50" i="3"/>
  <c r="U49" i="3"/>
  <c r="T49" i="3"/>
  <c r="S49" i="3"/>
  <c r="R49" i="3"/>
  <c r="Q49" i="3"/>
  <c r="U48" i="3"/>
  <c r="T48" i="3"/>
  <c r="S48" i="3"/>
  <c r="R48" i="3"/>
  <c r="Q48" i="3"/>
  <c r="C12" i="2"/>
  <c r="C12" i="3" s="1"/>
  <c r="B12" i="2"/>
  <c r="A12" i="2"/>
  <c r="A12" i="3" s="1"/>
  <c r="C11" i="2"/>
  <c r="C11" i="3" s="1"/>
  <c r="B11" i="2"/>
  <c r="A11" i="2"/>
  <c r="A11" i="3" s="1"/>
  <c r="C10" i="2"/>
  <c r="C10" i="3" s="1"/>
  <c r="B10" i="2"/>
  <c r="A10" i="2"/>
  <c r="A10" i="3" s="1"/>
  <c r="C9" i="2"/>
  <c r="C9" i="3" s="1"/>
  <c r="B9" i="2"/>
  <c r="A9" i="2"/>
  <c r="A9" i="3" s="1"/>
  <c r="C8" i="2"/>
  <c r="C8" i="3" s="1"/>
  <c r="B8" i="2"/>
  <c r="A8" i="2"/>
  <c r="A8" i="3" s="1"/>
  <c r="C7" i="2"/>
  <c r="C7" i="3" s="1"/>
  <c r="B7" i="2"/>
  <c r="A7" i="2"/>
  <c r="A7" i="3" s="1"/>
  <c r="C6" i="2"/>
  <c r="C6" i="3" s="1"/>
  <c r="B6" i="2"/>
  <c r="A6" i="2"/>
  <c r="A6" i="3" s="1"/>
  <c r="C5" i="2"/>
  <c r="C5" i="3" s="1"/>
  <c r="B5" i="2"/>
  <c r="A5" i="2"/>
  <c r="A5" i="3" s="1"/>
  <c r="C4" i="2"/>
  <c r="C4" i="3" s="1"/>
  <c r="B4" i="2"/>
  <c r="A4" i="2"/>
  <c r="A4" i="3" s="1"/>
  <c r="R13" i="1"/>
  <c r="O13" i="1"/>
  <c r="W12" i="1"/>
  <c r="D16" i="4" s="1"/>
  <c r="W11" i="1"/>
  <c r="D13" i="4" s="1"/>
  <c r="W10" i="1"/>
  <c r="D17" i="4" s="1"/>
  <c r="W9" i="1"/>
  <c r="D19" i="4" s="1"/>
  <c r="W8" i="1"/>
  <c r="D18" i="4" s="1"/>
  <c r="W7" i="1"/>
  <c r="D20" i="4" s="1"/>
  <c r="W6" i="1"/>
  <c r="D15" i="4" s="1"/>
  <c r="W5" i="1"/>
  <c r="D14" i="4" s="1"/>
  <c r="W4" i="1"/>
  <c r="D12" i="4" s="1"/>
  <c r="X5" i="2" l="1"/>
  <c r="W5" i="2"/>
  <c r="X9" i="2"/>
  <c r="W9" i="2"/>
  <c r="X6" i="2"/>
  <c r="W6" i="2"/>
  <c r="X10" i="2"/>
  <c r="W10" i="2"/>
  <c r="X4" i="2"/>
  <c r="W4" i="2"/>
  <c r="X8" i="2"/>
  <c r="W8" i="2"/>
  <c r="O8" i="3" s="1"/>
  <c r="X12" i="2"/>
  <c r="W12" i="2"/>
  <c r="X7" i="2"/>
  <c r="W7" i="2"/>
  <c r="X11" i="2"/>
  <c r="W11" i="2"/>
  <c r="T6" i="2"/>
  <c r="P6" i="2"/>
  <c r="I6" i="2"/>
  <c r="H6" i="2"/>
  <c r="S6" i="2"/>
  <c r="O6" i="2"/>
  <c r="L6" i="3" s="1"/>
  <c r="G6" i="2"/>
  <c r="R6" i="2"/>
  <c r="N6" i="2"/>
  <c r="Q6" i="2"/>
  <c r="J6" i="2"/>
  <c r="F6" i="2"/>
  <c r="E6" i="2"/>
  <c r="K6" i="2"/>
  <c r="J6" i="3" s="1"/>
  <c r="T10" i="2"/>
  <c r="P10" i="2"/>
  <c r="I10" i="2"/>
  <c r="H10" i="2"/>
  <c r="S10" i="2"/>
  <c r="O10" i="2"/>
  <c r="G10" i="2"/>
  <c r="R10" i="2"/>
  <c r="N10" i="2"/>
  <c r="Q10" i="2"/>
  <c r="J10" i="2"/>
  <c r="E10" i="2"/>
  <c r="F10" i="2"/>
  <c r="K10" i="2"/>
  <c r="T5" i="2"/>
  <c r="S5" i="2"/>
  <c r="O5" i="2"/>
  <c r="G5" i="2"/>
  <c r="R5" i="2"/>
  <c r="N5" i="2"/>
  <c r="Q5" i="2"/>
  <c r="J5" i="2"/>
  <c r="P5" i="2"/>
  <c r="M5" i="3" s="1"/>
  <c r="I5" i="2"/>
  <c r="H5" i="2"/>
  <c r="F5" i="2"/>
  <c r="E5" i="2"/>
  <c r="K5" i="2"/>
  <c r="T9" i="2"/>
  <c r="S9" i="2"/>
  <c r="O9" i="2"/>
  <c r="G9" i="2"/>
  <c r="R9" i="2"/>
  <c r="N9" i="2"/>
  <c r="Q9" i="2"/>
  <c r="J9" i="2"/>
  <c r="P9" i="2"/>
  <c r="I9" i="2"/>
  <c r="H9" i="2"/>
  <c r="F9" i="2"/>
  <c r="E9" i="2"/>
  <c r="K9" i="2"/>
  <c r="T8" i="2"/>
  <c r="R8" i="2"/>
  <c r="N8" i="2"/>
  <c r="Q8" i="2"/>
  <c r="J8" i="2"/>
  <c r="P8" i="2"/>
  <c r="I8" i="2"/>
  <c r="H8" i="2"/>
  <c r="S8" i="2"/>
  <c r="O8" i="2"/>
  <c r="G8" i="2"/>
  <c r="E8" i="2"/>
  <c r="F8" i="2"/>
  <c r="K8" i="2"/>
  <c r="J8" i="3" s="1"/>
  <c r="T12" i="2"/>
  <c r="R12" i="2"/>
  <c r="N12" i="2"/>
  <c r="Q12" i="2"/>
  <c r="J12" i="2"/>
  <c r="P12" i="2"/>
  <c r="I12" i="2"/>
  <c r="H12" i="2"/>
  <c r="S12" i="2"/>
  <c r="O12" i="2"/>
  <c r="G12" i="2"/>
  <c r="F12" i="2"/>
  <c r="E12" i="2"/>
  <c r="K12" i="2"/>
  <c r="T4" i="2"/>
  <c r="P4" i="2"/>
  <c r="S4" i="2"/>
  <c r="O4" i="2"/>
  <c r="G4" i="2"/>
  <c r="G4" i="3" s="1"/>
  <c r="R4" i="2"/>
  <c r="N4" i="3" s="1"/>
  <c r="N4" i="2"/>
  <c r="Q4" i="2"/>
  <c r="J4" i="2"/>
  <c r="I4" i="2"/>
  <c r="H4" i="2"/>
  <c r="F4" i="2"/>
  <c r="E4" i="2"/>
  <c r="K4" i="2"/>
  <c r="T7" i="2"/>
  <c r="Q7" i="2"/>
  <c r="J7" i="2"/>
  <c r="P7" i="2"/>
  <c r="I7" i="2"/>
  <c r="H7" i="2"/>
  <c r="S7" i="2"/>
  <c r="O7" i="2"/>
  <c r="G7" i="2"/>
  <c r="R7" i="2"/>
  <c r="N7" i="2"/>
  <c r="F7" i="2"/>
  <c r="E7" i="2"/>
  <c r="K7" i="2"/>
  <c r="T11" i="2"/>
  <c r="Q11" i="2"/>
  <c r="J11" i="2"/>
  <c r="P11" i="2"/>
  <c r="I11" i="2"/>
  <c r="H11" i="2"/>
  <c r="S11" i="2"/>
  <c r="O11" i="2"/>
  <c r="G11" i="2"/>
  <c r="R11" i="2"/>
  <c r="N11" i="2"/>
  <c r="F11" i="2"/>
  <c r="E11" i="2"/>
  <c r="K11" i="2"/>
  <c r="D4" i="5"/>
  <c r="D8" i="5"/>
  <c r="D5" i="5"/>
  <c r="D9" i="5"/>
  <c r="D6" i="5"/>
  <c r="D10" i="5"/>
  <c r="D3" i="5"/>
  <c r="D7" i="5"/>
  <c r="B9" i="3"/>
  <c r="B11" i="3"/>
  <c r="B5" i="3"/>
  <c r="B12" i="3"/>
  <c r="B7" i="3"/>
  <c r="J13" i="1"/>
  <c r="I4" i="6"/>
  <c r="I10" i="6"/>
  <c r="D12" i="6"/>
  <c r="B15" i="10"/>
  <c r="B15" i="8"/>
  <c r="B15" i="5"/>
  <c r="B15" i="7"/>
  <c r="B15" i="9"/>
  <c r="B15" i="6"/>
  <c r="B4" i="3"/>
  <c r="B8" i="3"/>
  <c r="P13" i="1"/>
  <c r="B6" i="3"/>
  <c r="B10" i="3"/>
  <c r="I6" i="6"/>
  <c r="I8" i="6"/>
  <c r="M13" i="1"/>
  <c r="I7" i="6"/>
  <c r="L13" i="1"/>
  <c r="V13" i="1"/>
  <c r="U13" i="1"/>
  <c r="T13" i="1"/>
  <c r="H3" i="6"/>
  <c r="E12" i="6"/>
  <c r="I9" i="6"/>
  <c r="I11" i="6"/>
  <c r="C12" i="10"/>
  <c r="D8" i="10" s="1"/>
  <c r="Q13" i="1"/>
  <c r="I5" i="6"/>
  <c r="F12" i="6"/>
  <c r="C12" i="9"/>
  <c r="D7" i="9" s="1"/>
  <c r="C12" i="6"/>
  <c r="G12" i="6"/>
  <c r="C12" i="7"/>
  <c r="D6" i="7" s="1"/>
  <c r="N9" i="3" l="1"/>
  <c r="J10" i="3"/>
  <c r="G7" i="3"/>
  <c r="J4" i="3"/>
  <c r="N8" i="3"/>
  <c r="I7" i="3"/>
  <c r="N10" i="3"/>
  <c r="M6" i="3"/>
  <c r="N5" i="3"/>
  <c r="N13" i="3" s="1"/>
  <c r="O7" i="3"/>
  <c r="O9" i="3"/>
  <c r="K4" i="3"/>
  <c r="F12" i="3"/>
  <c r="G12" i="3"/>
  <c r="G8" i="3"/>
  <c r="F10" i="3"/>
  <c r="I12" i="3"/>
  <c r="W13" i="2"/>
  <c r="D12" i="5"/>
  <c r="K7" i="3"/>
  <c r="L12" i="3"/>
  <c r="P8" i="3"/>
  <c r="I11" i="3"/>
  <c r="L11" i="3"/>
  <c r="L5" i="3"/>
  <c r="M10" i="3"/>
  <c r="P11" i="3"/>
  <c r="M9" i="3"/>
  <c r="M7" i="3"/>
  <c r="P9" i="3"/>
  <c r="F5" i="3"/>
  <c r="G11" i="3"/>
  <c r="F9" i="3"/>
  <c r="N7" i="3"/>
  <c r="K10" i="3"/>
  <c r="N6" i="3"/>
  <c r="K5" i="3"/>
  <c r="M12" i="3"/>
  <c r="P10" i="3"/>
  <c r="F11" i="3"/>
  <c r="F7" i="3"/>
  <c r="K9" i="3"/>
  <c r="P5" i="3"/>
  <c r="L9" i="3"/>
  <c r="P12" i="3"/>
  <c r="K11" i="3"/>
  <c r="L7" i="3"/>
  <c r="K6" i="3"/>
  <c r="H10" i="3"/>
  <c r="L10" i="3"/>
  <c r="K8" i="3"/>
  <c r="R13" i="2"/>
  <c r="M11" i="3"/>
  <c r="P7" i="3"/>
  <c r="Y13" i="2"/>
  <c r="P6" i="3"/>
  <c r="M4" i="3"/>
  <c r="L13" i="2"/>
  <c r="H8" i="3"/>
  <c r="P4" i="3"/>
  <c r="I8" i="3"/>
  <c r="N11" i="3"/>
  <c r="M8" i="3"/>
  <c r="F6" i="3"/>
  <c r="X13" i="2"/>
  <c r="K12" i="3"/>
  <c r="I5" i="3"/>
  <c r="N12" i="3"/>
  <c r="H9" i="3"/>
  <c r="H5" i="3"/>
  <c r="D10" i="10"/>
  <c r="E10" i="10" s="1"/>
  <c r="J11" i="3"/>
  <c r="J13" i="2"/>
  <c r="J5" i="3"/>
  <c r="J7" i="3"/>
  <c r="F13" i="2"/>
  <c r="Z8" i="3" a="1"/>
  <c r="Z8" i="3" s="1"/>
  <c r="D3" i="9"/>
  <c r="E3" i="9" s="1"/>
  <c r="G9" i="3"/>
  <c r="H11" i="3"/>
  <c r="E8" i="10"/>
  <c r="E7" i="9"/>
  <c r="E6" i="7"/>
  <c r="D6" i="10"/>
  <c r="E6" i="10" s="1"/>
  <c r="D7" i="10"/>
  <c r="E7" i="10" s="1"/>
  <c r="G13" i="2"/>
  <c r="H13" i="2"/>
  <c r="N13" i="1"/>
  <c r="H7" i="3"/>
  <c r="H6" i="3"/>
  <c r="O13" i="2"/>
  <c r="H4" i="3"/>
  <c r="J12" i="3"/>
  <c r="S13" i="2"/>
  <c r="G6" i="3"/>
  <c r="D4" i="9"/>
  <c r="E4" i="9" s="1"/>
  <c r="D11" i="10"/>
  <c r="E11" i="10" s="1"/>
  <c r="D11" i="9"/>
  <c r="E11" i="9" s="1"/>
  <c r="G5" i="3"/>
  <c r="G13" i="3" s="1"/>
  <c r="G10" i="3"/>
  <c r="F4" i="3"/>
  <c r="E13" i="2"/>
  <c r="I10" i="3"/>
  <c r="E11" i="5"/>
  <c r="E9" i="5"/>
  <c r="E7" i="5"/>
  <c r="E5" i="5"/>
  <c r="E3" i="5"/>
  <c r="E10" i="5"/>
  <c r="E8" i="5"/>
  <c r="E6" i="5"/>
  <c r="E4" i="5"/>
  <c r="H12" i="3"/>
  <c r="D7" i="7"/>
  <c r="E7" i="7" s="1"/>
  <c r="P13" i="2"/>
  <c r="D3" i="7"/>
  <c r="E3" i="7" s="1"/>
  <c r="D3" i="10"/>
  <c r="E3" i="10" s="1"/>
  <c r="I4" i="3"/>
  <c r="I13" i="3" s="1"/>
  <c r="K13" i="1"/>
  <c r="K13" i="2"/>
  <c r="I9" i="3"/>
  <c r="J9" i="3"/>
  <c r="I13" i="2"/>
  <c r="D8" i="9"/>
  <c r="E8" i="9" s="1"/>
  <c r="I6" i="3"/>
  <c r="D4" i="10"/>
  <c r="E4" i="10" s="1"/>
  <c r="N13" i="2"/>
  <c r="M13" i="2"/>
  <c r="F8" i="3"/>
  <c r="L4" i="3"/>
  <c r="L13" i="3" s="1"/>
  <c r="L8" i="3"/>
  <c r="Q13" i="2"/>
  <c r="D9" i="7"/>
  <c r="E9" i="7" s="1"/>
  <c r="D5" i="7"/>
  <c r="E5" i="7" s="1"/>
  <c r="D4" i="7"/>
  <c r="E4" i="7" s="1"/>
  <c r="D8" i="7"/>
  <c r="E8" i="7" s="1"/>
  <c r="D11" i="7"/>
  <c r="E11" i="7" s="1"/>
  <c r="D9" i="10"/>
  <c r="E9" i="10" s="1"/>
  <c r="D5" i="10"/>
  <c r="E5" i="10" s="1"/>
  <c r="D10" i="7"/>
  <c r="E10" i="7" s="1"/>
  <c r="D10" i="9"/>
  <c r="E10" i="9" s="1"/>
  <c r="D6" i="9"/>
  <c r="E6" i="9" s="1"/>
  <c r="D5" i="9"/>
  <c r="E5" i="9" s="1"/>
  <c r="D9" i="9"/>
  <c r="E9" i="9" s="1"/>
  <c r="H12" i="6"/>
  <c r="I3" i="6"/>
  <c r="M13" i="3" l="1"/>
  <c r="H13" i="3"/>
  <c r="P13" i="3"/>
  <c r="K13" i="3"/>
  <c r="J13" i="3"/>
  <c r="F13" i="3"/>
  <c r="L16" i="4"/>
  <c r="J13" i="4"/>
  <c r="N13" i="4"/>
  <c r="N14" i="4"/>
  <c r="O15" i="4"/>
  <c r="L13" i="4"/>
  <c r="J15" i="4"/>
  <c r="J14" i="4"/>
  <c r="L15" i="4"/>
  <c r="O13" i="4"/>
  <c r="L20" i="4"/>
  <c r="L12" i="4"/>
  <c r="J12" i="4"/>
  <c r="O20" i="4"/>
  <c r="L14" i="4"/>
  <c r="J16" i="4"/>
  <c r="J17" i="4"/>
  <c r="N19" i="4"/>
  <c r="N17" i="4"/>
  <c r="N12" i="4"/>
  <c r="N18" i="4"/>
  <c r="N16" i="4"/>
  <c r="J19" i="4"/>
  <c r="N15" i="4"/>
  <c r="O17" i="4"/>
  <c r="O14" i="4"/>
  <c r="L17" i="4"/>
  <c r="N20" i="4"/>
  <c r="L19" i="4"/>
  <c r="L18" i="4"/>
  <c r="O12" i="4"/>
  <c r="J20" i="4"/>
  <c r="J18" i="4"/>
  <c r="O16" i="4"/>
  <c r="O18" i="4"/>
  <c r="O19" i="4"/>
  <c r="D6" i="2"/>
  <c r="D6" i="3" s="1"/>
  <c r="X7" i="1"/>
  <c r="X10" i="1"/>
  <c r="E12" i="5"/>
  <c r="X8" i="1"/>
  <c r="D8" i="2"/>
  <c r="D8" i="3" s="1"/>
  <c r="D12" i="10"/>
  <c r="E12" i="9"/>
  <c r="E12" i="10"/>
  <c r="D12" i="7"/>
  <c r="X11" i="1"/>
  <c r="D11" i="2"/>
  <c r="D11" i="3" s="1"/>
  <c r="D12" i="9"/>
  <c r="I12" i="6"/>
  <c r="J3" i="6" s="1"/>
  <c r="E12" i="7"/>
  <c r="N21" i="4" l="1"/>
  <c r="L21" i="4"/>
  <c r="O21" i="4"/>
  <c r="J21" i="4"/>
  <c r="X6" i="1"/>
  <c r="D10" i="2"/>
  <c r="D10" i="3" s="1"/>
  <c r="D7" i="2"/>
  <c r="D7" i="3" s="1"/>
  <c r="D9" i="2"/>
  <c r="D9" i="3" s="1"/>
  <c r="X9" i="1"/>
  <c r="E11" i="3"/>
  <c r="D5" i="2"/>
  <c r="D5" i="3" s="1"/>
  <c r="X5" i="1"/>
  <c r="K3" i="6"/>
  <c r="J10" i="6"/>
  <c r="K10" i="6" s="1"/>
  <c r="J7" i="6"/>
  <c r="K7" i="6" s="1"/>
  <c r="J4" i="6"/>
  <c r="K4" i="6" s="1"/>
  <c r="J8" i="6"/>
  <c r="K8" i="6" s="1"/>
  <c r="J6" i="6"/>
  <c r="K6" i="6" s="1"/>
  <c r="J11" i="6"/>
  <c r="K11" i="6" s="1"/>
  <c r="J5" i="6"/>
  <c r="K5" i="6" s="1"/>
  <c r="J9" i="6"/>
  <c r="K9" i="6" s="1"/>
  <c r="X12" i="1"/>
  <c r="D12" i="2"/>
  <c r="D12" i="3" s="1"/>
  <c r="X4" i="1"/>
  <c r="D4" i="2"/>
  <c r="D4" i="3" s="1"/>
  <c r="E8" i="3"/>
  <c r="C12" i="8"/>
  <c r="D4" i="8" s="1"/>
  <c r="E4" i="8" s="1"/>
  <c r="E6" i="3"/>
  <c r="B17" i="1" l="1"/>
  <c r="K13" i="4"/>
  <c r="K15" i="4"/>
  <c r="K20" i="4"/>
  <c r="K14" i="4"/>
  <c r="K18" i="4"/>
  <c r="K16" i="4"/>
  <c r="K12" i="4"/>
  <c r="M13" i="4"/>
  <c r="K19" i="4"/>
  <c r="K17" i="4"/>
  <c r="E10" i="3"/>
  <c r="E7" i="3"/>
  <c r="D11" i="8"/>
  <c r="E11" i="8" s="1"/>
  <c r="D8" i="8"/>
  <c r="E8" i="8" s="1"/>
  <c r="D3" i="8"/>
  <c r="E3" i="8" s="1"/>
  <c r="E4" i="3"/>
  <c r="D7" i="8"/>
  <c r="E7" i="8" s="1"/>
  <c r="D5" i="8"/>
  <c r="E5" i="8" s="1"/>
  <c r="D9" i="8"/>
  <c r="E9" i="8" s="1"/>
  <c r="D10" i="8"/>
  <c r="E10" i="8" s="1"/>
  <c r="D6" i="8"/>
  <c r="E6" i="8" s="1"/>
  <c r="B19" i="1"/>
  <c r="B18" i="1"/>
  <c r="E5" i="3"/>
  <c r="J12" i="6"/>
  <c r="E12" i="3"/>
  <c r="K12" i="6"/>
  <c r="E9" i="3"/>
  <c r="P18" i="4" l="1"/>
  <c r="R18" i="4" s="1"/>
  <c r="P13" i="4"/>
  <c r="R13" i="4" s="1"/>
  <c r="C17" i="1"/>
  <c r="M20" i="4"/>
  <c r="P20" i="4" s="1"/>
  <c r="R20" i="4" s="1"/>
  <c r="M18" i="4"/>
  <c r="M12" i="4"/>
  <c r="P12" i="4" s="1"/>
  <c r="R12" i="4" s="1"/>
  <c r="K21" i="4"/>
  <c r="M14" i="4"/>
  <c r="P14" i="4" s="1"/>
  <c r="R14" i="4" s="1"/>
  <c r="M16" i="4"/>
  <c r="P16" i="4" s="1"/>
  <c r="R16" i="4" s="1"/>
  <c r="M15" i="4"/>
  <c r="P15" i="4" s="1"/>
  <c r="R15" i="4" s="1"/>
  <c r="M17" i="4"/>
  <c r="P17" i="4" s="1"/>
  <c r="R17" i="4" s="1"/>
  <c r="M19" i="4"/>
  <c r="P19" i="4" s="1"/>
  <c r="R19" i="4" s="1"/>
  <c r="AA10" i="3" a="1"/>
  <c r="AA10" i="3" s="1"/>
  <c r="AA7" i="3" a="1"/>
  <c r="AA7" i="3" s="1"/>
  <c r="AA11" i="3" a="1"/>
  <c r="AA11" i="3" s="1"/>
  <c r="Y6" i="3" a="1"/>
  <c r="Y6" i="3" s="1"/>
  <c r="AA8" i="3" a="1"/>
  <c r="AA8" i="3" s="1"/>
  <c r="D12" i="8"/>
  <c r="X11" i="3" a="1"/>
  <c r="X11" i="3" s="1"/>
  <c r="X6" i="3" a="1"/>
  <c r="X6" i="3" s="1"/>
  <c r="W7" i="3" a="1"/>
  <c r="W7" i="3" s="1"/>
  <c r="V7" i="3" a="1"/>
  <c r="V7" i="3" s="1"/>
  <c r="U8" i="3" a="1"/>
  <c r="U8" i="3" s="1"/>
  <c r="U68" i="3" s="1"/>
  <c r="X8" i="3" a="1"/>
  <c r="X8" i="3" s="1"/>
  <c r="T6" i="3" a="1"/>
  <c r="T6" i="3" s="1"/>
  <c r="T66" i="3" s="1"/>
  <c r="V5" i="3" a="1"/>
  <c r="V5" i="3" s="1"/>
  <c r="T5" i="3" a="1"/>
  <c r="T5" i="3" s="1"/>
  <c r="T65" i="3" s="1"/>
  <c r="W5" i="3" a="1"/>
  <c r="W5" i="3" s="1"/>
  <c r="AA5" i="3" a="1"/>
  <c r="AA5" i="3" s="1"/>
  <c r="Y5" i="3" a="1"/>
  <c r="Y5" i="3" s="1"/>
  <c r="X5" i="3" a="1"/>
  <c r="X5" i="3" s="1"/>
  <c r="S5" i="3" a="1"/>
  <c r="S5" i="3" s="1"/>
  <c r="S65" i="3" s="1"/>
  <c r="Q5" i="3" a="1"/>
  <c r="Q5" i="3" s="1"/>
  <c r="Q65" i="3" s="1"/>
  <c r="R5" i="3" a="1"/>
  <c r="R5" i="3" s="1"/>
  <c r="R65" i="3" s="1"/>
  <c r="U5" i="3" a="1"/>
  <c r="U5" i="3" s="1"/>
  <c r="U65" i="3" s="1"/>
  <c r="U10" i="3" a="1"/>
  <c r="U10" i="3" s="1"/>
  <c r="U70" i="3" s="1"/>
  <c r="X10" i="3" a="1"/>
  <c r="X10" i="3" s="1"/>
  <c r="U7" i="3" a="1"/>
  <c r="U7" i="3" s="1"/>
  <c r="U67" i="3" s="1"/>
  <c r="X7" i="3" a="1"/>
  <c r="X7" i="3" s="1"/>
  <c r="U11" i="3" a="1"/>
  <c r="U11" i="3" s="1"/>
  <c r="U71" i="3" s="1"/>
  <c r="S11" i="3" a="1"/>
  <c r="S11" i="3" s="1"/>
  <c r="S71" i="3" s="1"/>
  <c r="V11" i="3" a="1"/>
  <c r="V11" i="3" s="1"/>
  <c r="S8" i="3" a="1"/>
  <c r="S8" i="3" s="1"/>
  <c r="S68" i="3" s="1"/>
  <c r="W8" i="3" a="1"/>
  <c r="W8" i="3" s="1"/>
  <c r="AA6" i="3" a="1"/>
  <c r="AA6" i="3" s="1"/>
  <c r="R6" i="3" a="1"/>
  <c r="R6" i="3" s="1"/>
  <c r="R66" i="3" s="1"/>
  <c r="S10" i="3" a="1"/>
  <c r="S10" i="3" s="1"/>
  <c r="S70" i="3" s="1"/>
  <c r="T10" i="3" a="1"/>
  <c r="T10" i="3" s="1"/>
  <c r="T70" i="3" s="1"/>
  <c r="T9" i="3" a="1"/>
  <c r="T9" i="3" s="1"/>
  <c r="T69" i="3" s="1"/>
  <c r="Z9" i="3" a="1"/>
  <c r="Z9" i="3" s="1"/>
  <c r="W9" i="3" a="1"/>
  <c r="W9" i="3" s="1"/>
  <c r="AA9" i="3" a="1"/>
  <c r="AA9" i="3" s="1"/>
  <c r="Y9" i="3" a="1"/>
  <c r="Y9" i="3" s="1"/>
  <c r="Q9" i="3" a="1"/>
  <c r="Q9" i="3" s="1"/>
  <c r="Q69" i="3" s="1"/>
  <c r="U9" i="3" a="1"/>
  <c r="U9" i="3" s="1"/>
  <c r="U69" i="3" s="1"/>
  <c r="X9" i="3" a="1"/>
  <c r="X9" i="3" s="1"/>
  <c r="V9" i="3" a="1"/>
  <c r="V9" i="3" s="1"/>
  <c r="S9" i="3" a="1"/>
  <c r="S9" i="3" s="1"/>
  <c r="S69" i="3" s="1"/>
  <c r="R9" i="3" a="1"/>
  <c r="R9" i="3" s="1"/>
  <c r="R69" i="3" s="1"/>
  <c r="S7" i="3" a="1"/>
  <c r="S7" i="3" s="1"/>
  <c r="S67" i="3" s="1"/>
  <c r="R7" i="3" a="1"/>
  <c r="R7" i="3" s="1"/>
  <c r="R67" i="3" s="1"/>
  <c r="Q12" i="3" a="1"/>
  <c r="Q12" i="3" s="1"/>
  <c r="Q72" i="3" s="1"/>
  <c r="R12" i="3" a="1"/>
  <c r="R12" i="3" s="1"/>
  <c r="R72" i="3" s="1"/>
  <c r="Y12" i="3" a="1"/>
  <c r="Y12" i="3" s="1"/>
  <c r="W12" i="3" a="1"/>
  <c r="W12" i="3" s="1"/>
  <c r="V12" i="3" a="1"/>
  <c r="V12" i="3" s="1"/>
  <c r="S12" i="3" a="1"/>
  <c r="S12" i="3" s="1"/>
  <c r="S72" i="3" s="1"/>
  <c r="X12" i="3" a="1"/>
  <c r="X12" i="3" s="1"/>
  <c r="T12" i="3" a="1"/>
  <c r="T12" i="3" s="1"/>
  <c r="T72" i="3" s="1"/>
  <c r="AA12" i="3" a="1"/>
  <c r="AA12" i="3" s="1"/>
  <c r="U12" i="3" a="1"/>
  <c r="U12" i="3" s="1"/>
  <c r="U72" i="3" s="1"/>
  <c r="R11" i="3" a="1"/>
  <c r="R11" i="3" s="1"/>
  <c r="R71" i="3" s="1"/>
  <c r="T11" i="3" a="1"/>
  <c r="T11" i="3" s="1"/>
  <c r="T71" i="3" s="1"/>
  <c r="Q11" i="3" a="1"/>
  <c r="Q11" i="3" s="1"/>
  <c r="R8" i="3" a="1"/>
  <c r="R8" i="3" s="1"/>
  <c r="R68" i="3" s="1"/>
  <c r="Q8" i="3" a="1"/>
  <c r="Q8" i="3" s="1"/>
  <c r="Q68" i="3" s="1"/>
  <c r="Q6" i="3" a="1"/>
  <c r="Q6" i="3" s="1"/>
  <c r="Q66" i="3" s="1"/>
  <c r="U6" i="3" a="1"/>
  <c r="U6" i="3" s="1"/>
  <c r="U66" i="3" s="1"/>
  <c r="W6" i="3" a="1"/>
  <c r="W6" i="3" s="1"/>
  <c r="R10" i="3" a="1"/>
  <c r="R10" i="3" s="1"/>
  <c r="R70" i="3" s="1"/>
  <c r="V10" i="3" a="1"/>
  <c r="V10" i="3" s="1"/>
  <c r="Y10" i="3" a="1"/>
  <c r="Y10" i="3" s="1"/>
  <c r="C19" i="1"/>
  <c r="C18" i="1"/>
  <c r="B20" i="1"/>
  <c r="Y4" i="3" a="1"/>
  <c r="Y4" i="3" s="1"/>
  <c r="U4" i="3" a="1"/>
  <c r="U4" i="3" s="1"/>
  <c r="U64" i="3" s="1"/>
  <c r="S4" i="3" a="1"/>
  <c r="S4" i="3" s="1"/>
  <c r="S64" i="3" s="1"/>
  <c r="Q4" i="3" a="1"/>
  <c r="Q4" i="3" s="1"/>
  <c r="Q64" i="3" s="1"/>
  <c r="W4" i="3" a="1"/>
  <c r="W4" i="3" s="1"/>
  <c r="X4" i="3" a="1"/>
  <c r="X4" i="3" s="1"/>
  <c r="AA4" i="3" a="1"/>
  <c r="AA4" i="3" s="1"/>
  <c r="T4" i="3" a="1"/>
  <c r="T4" i="3" s="1"/>
  <c r="T64" i="3" s="1"/>
  <c r="R4" i="3" a="1"/>
  <c r="R4" i="3" s="1"/>
  <c r="R64" i="3" s="1"/>
  <c r="V4" i="3" a="1"/>
  <c r="V4" i="3" s="1"/>
  <c r="W10" i="3" a="1"/>
  <c r="W10" i="3" s="1"/>
  <c r="T7" i="3" a="1"/>
  <c r="T7" i="3" s="1"/>
  <c r="T67" i="3" s="1"/>
  <c r="Y7" i="3" a="1"/>
  <c r="Y7" i="3" s="1"/>
  <c r="Z7" i="3" a="1"/>
  <c r="Z7" i="3" s="1"/>
  <c r="Q7" i="3" a="1"/>
  <c r="Q7" i="3" s="1"/>
  <c r="Q67" i="3" s="1"/>
  <c r="E12" i="8"/>
  <c r="Y11" i="3" a="1"/>
  <c r="Y11" i="3" s="1"/>
  <c r="W11" i="3" a="1"/>
  <c r="W11" i="3" s="1"/>
  <c r="T8" i="3" a="1"/>
  <c r="T8" i="3" s="1"/>
  <c r="T68" i="3" s="1"/>
  <c r="V8" i="3" a="1"/>
  <c r="V8" i="3" s="1"/>
  <c r="Y8" i="3" a="1"/>
  <c r="Y8" i="3" s="1"/>
  <c r="V6" i="3" a="1"/>
  <c r="V6" i="3" s="1"/>
  <c r="S6" i="3" a="1"/>
  <c r="S6" i="3" s="1"/>
  <c r="S66" i="3" s="1"/>
  <c r="Q10" i="3" a="1"/>
  <c r="Q10" i="3" s="1"/>
  <c r="M21" i="4" l="1"/>
  <c r="P21" i="4"/>
  <c r="G26" i="4" s="1"/>
  <c r="I26" i="4" s="1"/>
  <c r="AB9" i="3"/>
  <c r="AB7" i="3"/>
  <c r="Q70" i="3"/>
  <c r="Q71" i="3"/>
  <c r="AB8" i="3"/>
  <c r="J26" i="4" l="1"/>
  <c r="R21" i="4"/>
  <c r="B23" i="1" l="1"/>
  <c r="B27" i="1" l="1"/>
  <c r="B26" i="1"/>
  <c r="B25" i="1"/>
  <c r="O5" i="3"/>
  <c r="O6" i="3"/>
  <c r="O10" i="3"/>
  <c r="O11" i="3"/>
  <c r="O12" i="3"/>
  <c r="O4" i="3"/>
  <c r="O13" i="3" l="1"/>
  <c r="B28" i="1"/>
  <c r="C25" i="1"/>
  <c r="C26" i="1"/>
  <c r="C27" i="1"/>
  <c r="T13" i="2"/>
  <c r="Z4" i="3" a="1"/>
  <c r="Z4" i="3" s="1"/>
  <c r="AB4" i="3" s="1"/>
  <c r="AE8" i="3" l="1"/>
  <c r="AE12" i="3"/>
  <c r="AE9" i="3"/>
  <c r="AE10" i="3"/>
  <c r="AE7" i="3"/>
  <c r="AE5" i="3"/>
  <c r="AE4" i="3"/>
  <c r="AE6" i="3"/>
  <c r="AE11" i="3"/>
  <c r="C28" i="1"/>
  <c r="Z11" i="3" a="1"/>
  <c r="Z11" i="3" s="1"/>
  <c r="AB11" i="3" s="1"/>
  <c r="Z5" i="3" a="1"/>
  <c r="Z5" i="3" s="1"/>
  <c r="AB5" i="3" s="1"/>
  <c r="Z12" i="3" a="1"/>
  <c r="Z12" i="3" s="1"/>
  <c r="AB12" i="3" s="1"/>
  <c r="Z6" i="3" a="1"/>
  <c r="Z6" i="3" s="1"/>
  <c r="AB6" i="3" s="1"/>
  <c r="Z10" i="3" a="1"/>
  <c r="Z10" i="3" s="1"/>
  <c r="AB10" i="3" s="1"/>
  <c r="AC5" i="3" l="1" a="1"/>
  <c r="AC5" i="3" s="1"/>
  <c r="AD5" i="3" s="1"/>
  <c r="AF5" i="3" s="1"/>
  <c r="AC6" i="3" a="1"/>
  <c r="AC6" i="3" s="1"/>
  <c r="AD6" i="3" s="1"/>
  <c r="AF6" i="3" s="1"/>
  <c r="AC12" i="3" a="1"/>
  <c r="AC12" i="3" s="1"/>
  <c r="AD12" i="3" s="1"/>
  <c r="AF12" i="3" s="1"/>
  <c r="AC8" i="3" a="1"/>
  <c r="AC8" i="3" s="1"/>
  <c r="AD8" i="3" s="1"/>
  <c r="AF8" i="3" s="1"/>
  <c r="AC7" i="3" a="1"/>
  <c r="AC7" i="3" s="1"/>
  <c r="AD7" i="3" s="1"/>
  <c r="AF7" i="3" s="1"/>
  <c r="AC11" i="3" a="1"/>
  <c r="AC11" i="3" s="1"/>
  <c r="AD11" i="3" s="1"/>
  <c r="AF11" i="3" s="1"/>
  <c r="AC4" i="3" a="1"/>
  <c r="AC4" i="3" s="1"/>
  <c r="AD4" i="3" s="1"/>
  <c r="AF4" i="3" s="1"/>
  <c r="AC10" i="3" a="1"/>
  <c r="AC10" i="3" s="1"/>
  <c r="AD10" i="3" s="1"/>
  <c r="AF10" i="3" s="1"/>
  <c r="AC9" i="3" a="1"/>
  <c r="AC9" i="3" s="1"/>
  <c r="AD9" i="3" s="1"/>
  <c r="AF9" i="3" s="1"/>
  <c r="AG12" i="3" l="1"/>
  <c r="AH12" i="3" s="1"/>
  <c r="AG11" i="3"/>
  <c r="AH11" i="3" s="1"/>
  <c r="AG6" i="3"/>
  <c r="AH6" i="3" s="1"/>
  <c r="S15" i="4" s="1"/>
  <c r="AG10" i="3"/>
  <c r="AH10" i="3" s="1"/>
  <c r="AG8" i="3"/>
  <c r="AH8" i="3" s="1"/>
  <c r="AG9" i="3"/>
  <c r="AH9" i="3" s="1"/>
  <c r="AG7" i="3"/>
  <c r="AH7" i="3" s="1"/>
  <c r="AG5" i="3"/>
  <c r="AH5" i="3" s="1"/>
  <c r="S14" i="4" s="1"/>
  <c r="AF13" i="3"/>
  <c r="AG4" i="3"/>
  <c r="T14" i="4" l="1"/>
  <c r="T15" i="4"/>
  <c r="S16" i="4"/>
  <c r="S17" i="4"/>
  <c r="S20" i="4"/>
  <c r="S19" i="4"/>
  <c r="S18" i="4"/>
  <c r="S13" i="4"/>
  <c r="AH4" i="3"/>
  <c r="S12" i="4" s="1"/>
  <c r="AG13" i="3"/>
  <c r="AI4" i="3" s="1" a="1"/>
  <c r="AI4" i="3" s="1"/>
  <c r="T20" i="4" l="1"/>
  <c r="T18" i="4"/>
  <c r="T19" i="4"/>
  <c r="T13" i="4"/>
  <c r="U13" i="4" s="1"/>
  <c r="E11" i="11" s="1"/>
  <c r="T17" i="4"/>
  <c r="T16" i="4"/>
  <c r="U14" i="4"/>
  <c r="E12" i="11" s="1"/>
  <c r="U15" i="4"/>
  <c r="E13" i="11" s="1"/>
  <c r="AI8" i="3" a="1"/>
  <c r="AI8" i="3" s="1"/>
  <c r="AI5" i="3" a="1"/>
  <c r="AI5" i="3" s="1"/>
  <c r="AI11" i="3" a="1"/>
  <c r="AI11" i="3" s="1"/>
  <c r="AI6" i="3" a="1"/>
  <c r="AI6" i="3" s="1"/>
  <c r="AI7" i="3" a="1"/>
  <c r="AI7" i="3" s="1"/>
  <c r="AI9" i="3" a="1"/>
  <c r="AI9" i="3" s="1"/>
  <c r="AH13" i="3"/>
  <c r="AI10" i="3" a="1"/>
  <c r="AI10" i="3" s="1"/>
  <c r="AI12" i="3" a="1"/>
  <c r="AI12" i="3" s="1"/>
  <c r="K13" i="11" l="1"/>
  <c r="L13" i="11" s="1"/>
  <c r="K12" i="11"/>
  <c r="L12" i="11" s="1"/>
  <c r="K11" i="11"/>
  <c r="L11" i="11" s="1"/>
  <c r="S21" i="4"/>
  <c r="T12" i="4"/>
  <c r="U16" i="4"/>
  <c r="E14" i="11" s="1"/>
  <c r="U20" i="4"/>
  <c r="E18" i="11" s="1"/>
  <c r="U17" i="4"/>
  <c r="E15" i="11" s="1"/>
  <c r="U19" i="4"/>
  <c r="E17" i="11" s="1"/>
  <c r="U18" i="4"/>
  <c r="E16" i="11" s="1"/>
  <c r="AI13" i="3"/>
  <c r="T21" i="4" l="1"/>
  <c r="K17" i="11"/>
  <c r="L17" i="11" s="1"/>
  <c r="K15" i="11"/>
  <c r="L15" i="11" s="1"/>
  <c r="K18" i="11"/>
  <c r="L18" i="11" s="1"/>
  <c r="K16" i="11"/>
  <c r="L16" i="11" s="1"/>
  <c r="K14" i="11"/>
  <c r="L14" i="11" s="1"/>
  <c r="U12" i="4"/>
  <c r="E10" i="11" s="1"/>
  <c r="H19" i="11"/>
  <c r="I10" i="11" s="1"/>
  <c r="K10" i="11" l="1"/>
  <c r="U21" i="4"/>
  <c r="V17" i="4" s="1"/>
  <c r="I14" i="11"/>
  <c r="I12" i="11"/>
  <c r="I16" i="11"/>
  <c r="I13" i="11"/>
  <c r="I11" i="11"/>
  <c r="I15" i="11"/>
  <c r="L10" i="11" l="1"/>
  <c r="K19" i="11"/>
  <c r="K20" i="11" s="1"/>
  <c r="E19" i="11"/>
  <c r="F10" i="11" s="1"/>
  <c r="V20" i="4"/>
  <c r="V15" i="4"/>
  <c r="V12" i="4"/>
  <c r="V13" i="4"/>
  <c r="V16" i="4"/>
  <c r="V19" i="4"/>
  <c r="V18" i="4"/>
  <c r="V14" i="4"/>
  <c r="F18" i="11" l="1"/>
  <c r="I18" i="11" s="1"/>
  <c r="F16" i="11"/>
  <c r="F14" i="11"/>
  <c r="F12" i="11"/>
  <c r="F15" i="11"/>
  <c r="F13" i="11"/>
  <c r="F11" i="11"/>
  <c r="F17" i="11"/>
  <c r="I17" i="11" s="1"/>
  <c r="I19" i="11"/>
  <c r="V21" i="4"/>
  <c r="F19" i="11" l="1"/>
</calcChain>
</file>

<file path=xl/sharedStrings.xml><?xml version="1.0" encoding="utf-8"?>
<sst xmlns="http://schemas.openxmlformats.org/spreadsheetml/2006/main" count="448" uniqueCount="191">
  <si>
    <t>Total general</t>
  </si>
  <si>
    <t>Cod</t>
  </si>
  <si>
    <t>PUC</t>
  </si>
  <si>
    <t>UCO</t>
  </si>
  <si>
    <t>UCV</t>
  </si>
  <si>
    <t>AUS</t>
  </si>
  <si>
    <t>FSM</t>
  </si>
  <si>
    <t>UCN</t>
  </si>
  <si>
    <t>UCT</t>
  </si>
  <si>
    <t>Institución</t>
  </si>
  <si>
    <t>PONTIFICIA UNIVERSIDAD CATÓLICA DE CHILE</t>
  </si>
  <si>
    <t>UNIVERSIDAD DE CONCEPCIÓN</t>
  </si>
  <si>
    <t>PONTIFICIA UNIVERSIDAD CATÓLICA DE VALPARAÍSO</t>
  </si>
  <si>
    <t>UNIVERSIDAD AUSTRAL DE CHILE</t>
  </si>
  <si>
    <t>UNIVERSIDAD TÉCNICA FEDERICO SANTA MARÍA</t>
  </si>
  <si>
    <t>UNIVERSIDAD CATÓLICA DEL NORTE</t>
  </si>
  <si>
    <t>UNIVERSIDAD CATÓLICA DE TEMUCO</t>
  </si>
  <si>
    <t>Tipo IES</t>
  </si>
  <si>
    <t>CRUCH-PRIVADA</t>
  </si>
  <si>
    <t>UCM</t>
  </si>
  <si>
    <t>USC</t>
  </si>
  <si>
    <t>UNIVERSIDAD CATÓLICA DE LA SANTÍSIMA CONCEPCIÓN</t>
  </si>
  <si>
    <t>UNIVERSIDAD CATÓLICA DEL MAULE</t>
  </si>
  <si>
    <t>Total Conjunto</t>
  </si>
  <si>
    <t>Total Conjunto &gt;=5 años</t>
  </si>
  <si>
    <t>Ind+Conj &gt;=5 años</t>
  </si>
  <si>
    <t>Categorías</t>
  </si>
  <si>
    <t>1/2</t>
  </si>
  <si>
    <t>3/4</t>
  </si>
  <si>
    <t>(3+5+6)/4</t>
  </si>
  <si>
    <t>7/4</t>
  </si>
  <si>
    <t>7/3</t>
  </si>
  <si>
    <t>(8/9)</t>
  </si>
  <si>
    <t>10/11</t>
  </si>
  <si>
    <t>12/13</t>
  </si>
  <si>
    <t>14/15</t>
  </si>
  <si>
    <t>a) N° Académicos JC por cada 100 matriculados</t>
  </si>
  <si>
    <t>b) Porcentaje de Ac con Doc respecto a JCE</t>
  </si>
  <si>
    <t>c) Porcentaje de Ac con Esp. Méd., Mg o Doc respecto a JCE</t>
  </si>
  <si>
    <t>d) N° Publicaciones Scopus por JCE</t>
  </si>
  <si>
    <t>e) N° Publicaciones Scopus por JCE con Doc.</t>
  </si>
  <si>
    <t>f) Promedio de citas por publicación quinquenio</t>
  </si>
  <si>
    <t>g) Porcentaje de est. 1er año Q1, Q2, Q3 respecto al total de alumnos de 1er año</t>
  </si>
  <si>
    <t>h) Porcentaje de retención primer año pregrado</t>
  </si>
  <si>
    <t>i) Tasa de titulación respecto a alumnos 1er año de la promoción</t>
  </si>
  <si>
    <t>j) Tasa de graduación programas doctorado</t>
  </si>
  <si>
    <t>k) N° Patentes solicitadas PCT por JCE</t>
  </si>
  <si>
    <t>d) N° Public. Scopus 2014/JCE 2014</t>
  </si>
  <si>
    <t>e) N° Public. Scopus 2014/N° JCE Doc 2014</t>
  </si>
  <si>
    <t>Resultado i/Resultado Máximo</t>
  </si>
  <si>
    <t>Concatenado</t>
  </si>
  <si>
    <t>Ajustes</t>
  </si>
  <si>
    <t>Promedio</t>
  </si>
  <si>
    <t>Ponderación</t>
  </si>
  <si>
    <t>Montos Categorías</t>
  </si>
  <si>
    <t>CRUCH-PRIVADACategoría I</t>
  </si>
  <si>
    <t>CRUCH-PRIVADACategoría II</t>
  </si>
  <si>
    <t>CRUCH-PRIVADACategoría III</t>
  </si>
  <si>
    <t>Factor</t>
  </si>
  <si>
    <t>Concatenar</t>
  </si>
  <si>
    <t>N° IES</t>
  </si>
  <si>
    <t>Montos</t>
  </si>
  <si>
    <t>M$</t>
  </si>
  <si>
    <t>Monto Categ</t>
  </si>
  <si>
    <t>AFI 2016</t>
  </si>
  <si>
    <t>Total Elemento Mixto</t>
  </si>
  <si>
    <t>BD-Universidades CRUCH-PRIVADAS</t>
  </si>
  <si>
    <t>% Por tipo de IES</t>
  </si>
  <si>
    <t>Monto por Tipo IES-Categoría</t>
  </si>
  <si>
    <t>Suma Promedio por Tipo IES-Categoría</t>
  </si>
  <si>
    <t>Total por IES</t>
  </si>
  <si>
    <t>Redondear por IES</t>
  </si>
  <si>
    <t>Ajustado por IES</t>
  </si>
  <si>
    <t>16/19</t>
  </si>
  <si>
    <t>(20+21)/4)</t>
  </si>
  <si>
    <t>Redondear</t>
  </si>
  <si>
    <t>f) (N° Citas 2010-2014)/(N° Public. Scopus 2010-2014)</t>
  </si>
  <si>
    <t>% por IES</t>
  </si>
  <si>
    <t>Reajuste AFI</t>
  </si>
  <si>
    <t>Tipos IES</t>
  </si>
  <si>
    <t>j) Mat Graduados 2016 Doctorados/Mat 1er año 2012 Doctorados</t>
  </si>
  <si>
    <t>a) (N° Ac. JC 2016/Mat Total 2016)*100</t>
  </si>
  <si>
    <t>b) (N° JCE Doc 2016/JCE 2016)</t>
  </si>
  <si>
    <t>c) ((N° JCE Doc 2016+N° JCE Mg 2016+N° JCE Esp Med 2016)/JCE 2016)</t>
  </si>
  <si>
    <t>TOTAL MAT PhD 2012</t>
  </si>
  <si>
    <t>g) (N° Est 1er año Q1, Q2, Q3 2016/Mat 1er nivel 2016)</t>
  </si>
  <si>
    <t>h) (Mat 1er nivel 2015 Retenida 2016/Mat 1er nivel 2015)</t>
  </si>
  <si>
    <t>i) (Mat Ret 4° Año 2016/Mat 1er año 2013)</t>
  </si>
  <si>
    <t>k) (N° Patentes solicitadas PCT 2015 +2016)*1000/(JCE 2016))</t>
  </si>
  <si>
    <t>AFI 2016 Reajustado 3,0%</t>
  </si>
  <si>
    <t>Porcentaje</t>
  </si>
  <si>
    <t>Monto</t>
  </si>
  <si>
    <t>Monto Publicaciones</t>
  </si>
  <si>
    <t>Publicaciones M$</t>
  </si>
  <si>
    <t>Acreditación Institucional M$</t>
  </si>
  <si>
    <t>Académicos JC con Doctorado M$</t>
  </si>
  <si>
    <t>Programas Doctorado Acreditado M$</t>
  </si>
  <si>
    <t>Académicos Jornada Completa M$</t>
  </si>
  <si>
    <t>Matrícula Regular Pregrado M$</t>
  </si>
  <si>
    <t>Acreditación Investigación</t>
  </si>
  <si>
    <t>Acreditación Todas las Áreas</t>
  </si>
  <si>
    <t>Años Acreditación Institucional</t>
  </si>
  <si>
    <t>Puntaje Acreditación Investigación</t>
  </si>
  <si>
    <t>Puntaje Acreditación Todas las Áreas</t>
  </si>
  <si>
    <t>Puntaje Años Acreditación</t>
  </si>
  <si>
    <t>Suma Puntajes</t>
  </si>
  <si>
    <t>Monto por IES</t>
  </si>
  <si>
    <t>Porcentaje por IES</t>
  </si>
  <si>
    <t>Monto Acreditaciones</t>
  </si>
  <si>
    <t>Monto Académicos JC Doctorado</t>
  </si>
  <si>
    <t>N° Doctorados Acreditados</t>
  </si>
  <si>
    <t>PONTIFICIA UNIVERSIDAD CATOLICA DE CHILE</t>
  </si>
  <si>
    <t>UNIVERSIDAD DE CONCEPCION</t>
  </si>
  <si>
    <t>PONTIFICIA UNIVERSIDAD CATOLICA DE VALPARAISO</t>
  </si>
  <si>
    <t>UNIVERSIDAD CATOLICA DEL NORTE</t>
  </si>
  <si>
    <t>UNIVERSIDAD TECNICA FEDERICO SANTA MARIA</t>
  </si>
  <si>
    <t>UNIVERSIDAD CATOLICA DE TEMUCO</t>
  </si>
  <si>
    <t>UNIVERSIDAD CATOLICA DE LA SANTISIMA CONCEPCION</t>
  </si>
  <si>
    <t>UNIVERSIDAD CATOLICA DEL MAULE</t>
  </si>
  <si>
    <t>Monto Matrícula Regula Pregrado</t>
  </si>
  <si>
    <t>Monto Académicos JC</t>
  </si>
  <si>
    <t>Monto Programas Doct. Acreditados</t>
  </si>
  <si>
    <t>Oferta Pedagogía M$</t>
  </si>
  <si>
    <t>Indicadores Pedagogía M$</t>
  </si>
  <si>
    <t>TOTAL Mejoramiento Pedagogía M$</t>
  </si>
  <si>
    <t>Total</t>
  </si>
  <si>
    <t>Total Complejidad Institucional</t>
  </si>
  <si>
    <t>Unidad de Análisis e Información, DFI</t>
  </si>
  <si>
    <t>Detalle del cálculo</t>
  </si>
  <si>
    <t>Código DFI</t>
  </si>
  <si>
    <t>Doctorado Conjunto Años Acreditación</t>
  </si>
  <si>
    <t>Total individual</t>
  </si>
  <si>
    <t>Total General</t>
  </si>
  <si>
    <t>TOTAL MAT PhD 2013</t>
  </si>
  <si>
    <t>Solicitud_ pat_nac_2017</t>
  </si>
  <si>
    <t>Categoría I</t>
  </si>
  <si>
    <t>Categoría II</t>
  </si>
  <si>
    <t>Categoría III</t>
  </si>
  <si>
    <t>Transferencias Corrientes</t>
  </si>
  <si>
    <t>Transferencias de Capital</t>
  </si>
  <si>
    <t>Complejidad Institucional BD 30%</t>
  </si>
  <si>
    <t>Doctorado Individual Años Acreditación</t>
  </si>
  <si>
    <t>a) ELEMENTO MIXTO</t>
  </si>
  <si>
    <t>b) Total Elemento Desempeño</t>
  </si>
  <si>
    <t>1. AFI 2016</t>
  </si>
  <si>
    <t>2. Oferta Pedagogía M$</t>
  </si>
  <si>
    <t>3. Complejidad Institucional</t>
  </si>
  <si>
    <t>a) Elemento Mixto</t>
  </si>
  <si>
    <t>b) Elemento Desempeño</t>
  </si>
  <si>
    <t>1. AFI 2016 Reajustado</t>
  </si>
  <si>
    <t>2. Pedagogías</t>
  </si>
  <si>
    <t>% Saldo respecto a la Universidad</t>
  </si>
  <si>
    <t>Anticipo y Saldo</t>
  </si>
  <si>
    <t>N° Scopus 2018</t>
  </si>
  <si>
    <t>N° Publicaciones 2018</t>
  </si>
  <si>
    <t>Publicaciones  (citables)
2018</t>
  </si>
  <si>
    <t>Citas 2014_2018</t>
  </si>
  <si>
    <t>Publicaciones 2014-2018 (citables)</t>
  </si>
  <si>
    <t>JC_2018</t>
  </si>
  <si>
    <t>MAT_2018</t>
  </si>
  <si>
    <t>JCE Doctor 2018</t>
  </si>
  <si>
    <t>JCE 2018</t>
  </si>
  <si>
    <t>N° Doc JC 2019</t>
  </si>
  <si>
    <t>N° Acad. JC 2019</t>
  </si>
  <si>
    <t>N° Matrícula Regular Pregrado 2019</t>
  </si>
  <si>
    <t>JCE Magister 2018</t>
  </si>
  <si>
    <t>JCE Esp. Med._Odont. 2018</t>
  </si>
  <si>
    <t>Q1_Q2_Q3_MAT_1año_2018</t>
  </si>
  <si>
    <t>MAT_1año_2018(g)</t>
  </si>
  <si>
    <t>MAT_2017_Ret_1er_enMAT_2018</t>
  </si>
  <si>
    <t>MAT_2017</t>
  </si>
  <si>
    <t>MAT_2015_Ret_4to_enMAT_2018</t>
  </si>
  <si>
    <t>MAT_1año_2015(i)</t>
  </si>
  <si>
    <t>Grad_PhD_2014 al_2018</t>
  </si>
  <si>
    <t>TOTAL MAT PhD 2014</t>
  </si>
  <si>
    <t>Solicitud_ pat_nac_2018</t>
  </si>
  <si>
    <t>Total Asignación 2020
 M$</t>
  </si>
  <si>
    <t>BD 2019
Nominal
M$</t>
  </si>
  <si>
    <t>%  año 2019</t>
  </si>
  <si>
    <t>Presupuesto 2020</t>
  </si>
  <si>
    <t>4. U. Tutoras CFT Estatales</t>
  </si>
  <si>
    <t>Distribución Recursos Basal por Desempeño 2020 M$</t>
  </si>
  <si>
    <t>Reglamento año 2020</t>
  </si>
  <si>
    <t>Decreto N°31
13-02-2020</t>
  </si>
  <si>
    <t>Total Asignación BD 2020
M$
Sin decimales</t>
  </si>
  <si>
    <t>CÁLCULO BASAL POR DESEMPEÑO 2020, Santiago, marzo de 2020</t>
  </si>
  <si>
    <t>Santiago, marzo de 2020</t>
  </si>
  <si>
    <t>Indicadores y Montos por IES, BD, Santiago, marzo de 2020</t>
  </si>
  <si>
    <t>Santiago, 24 julio de 2020</t>
  </si>
  <si>
    <t>Saldo BD
2020
M$</t>
  </si>
  <si>
    <t>Anticipo BD
2020
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</si>
</sst>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_-;\-* #,##0.00_-;_-* &quot;-&quot;??_-;_-@_-"/>
    <numFmt numFmtId="165" formatCode="0.00000"/>
    <numFmt numFmtId="166" formatCode="_-* #,##0_-;\-* #,##0_-;_-* &quot;-&quot;??_-;_-@_-"/>
    <numFmt numFmtId="167" formatCode="0.0000000"/>
    <numFmt numFmtId="168" formatCode="_-* #,##0.0000_-;\-* #,##0.0000_-;_-* &quot;-&quot;??_-;_-@_-"/>
    <numFmt numFmtId="169" formatCode="_-* #,##0.0000_-;\-* #,##0.0000_-;_-* &quot;-&quot;????_-;_-@_-"/>
    <numFmt numFmtId="170" formatCode="_-* #,##0.00\ _€_-;\-* #,##0.00\ _€_-;_-* &quot;-&quot;??\ _€_-;_-@_-"/>
    <numFmt numFmtId="171" formatCode="_-* #,##0.000_-;\-* #,##0.000_-;_-* &quot;-&quot;??_-;_-@_-"/>
    <numFmt numFmtId="172" formatCode="_-* #,##0.0_-;\-* #,##0.0_-;_-* &quot;-&quot;??_-;_-@_-"/>
    <numFmt numFmtId="173" formatCode="#,##0.0"/>
    <numFmt numFmtId="174" formatCode="0.000%"/>
    <numFmt numFmtId="175" formatCode="0.0%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0"/>
      <color theme="6" tint="0.3999755851924192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3" applyNumberFormat="1" applyFont="1"/>
    <xf numFmtId="166" fontId="6" fillId="0" borderId="0" xfId="3" applyNumberFormat="1" applyFont="1"/>
    <xf numFmtId="0" fontId="6" fillId="0" borderId="0" xfId="0" applyFont="1"/>
    <xf numFmtId="0" fontId="6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2" fillId="6" borderId="0" xfId="0" applyNumberFormat="1" applyFont="1" applyFill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10" fontId="1" fillId="0" borderId="1" xfId="0" applyNumberFormat="1" applyFont="1" applyBorder="1"/>
    <xf numFmtId="166" fontId="1" fillId="0" borderId="1" xfId="3" applyNumberFormat="1" applyFont="1" applyBorder="1"/>
    <xf numFmtId="10" fontId="2" fillId="6" borderId="0" xfId="4" applyNumberFormat="1" applyFont="1" applyFill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9" borderId="3" xfId="0" applyFont="1" applyFill="1" applyBorder="1"/>
    <xf numFmtId="0" fontId="1" fillId="9" borderId="0" xfId="0" applyFont="1" applyFill="1"/>
    <xf numFmtId="0" fontId="2" fillId="9" borderId="0" xfId="0" applyFont="1" applyFill="1"/>
    <xf numFmtId="0" fontId="2" fillId="2" borderId="0" xfId="0" applyFont="1" applyFill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2" fillId="10" borderId="0" xfId="0" applyFont="1" applyFill="1" applyAlignment="1">
      <alignment horizontal="center" wrapText="1"/>
    </xf>
    <xf numFmtId="0" fontId="2" fillId="10" borderId="5" xfId="0" applyFont="1" applyFill="1" applyBorder="1" applyAlignment="1">
      <alignment horizontal="center" wrapText="1"/>
    </xf>
    <xf numFmtId="165" fontId="2" fillId="11" borderId="0" xfId="0" applyNumberFormat="1" applyFont="1" applyFill="1" applyAlignment="1">
      <alignment horizontal="center" wrapText="1"/>
    </xf>
    <xf numFmtId="165" fontId="2" fillId="11" borderId="5" xfId="0" applyNumberFormat="1" applyFont="1" applyFill="1" applyBorder="1" applyAlignment="1">
      <alignment horizontal="center" wrapText="1"/>
    </xf>
    <xf numFmtId="165" fontId="2" fillId="12" borderId="0" xfId="0" applyNumberFormat="1" applyFont="1" applyFill="1" applyAlignment="1">
      <alignment horizontal="center" wrapText="1"/>
    </xf>
    <xf numFmtId="166" fontId="2" fillId="12" borderId="0" xfId="3" applyNumberFormat="1" applyFont="1" applyFill="1" applyAlignment="1">
      <alignment horizont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167" fontId="2" fillId="12" borderId="0" xfId="0" applyNumberFormat="1" applyFont="1" applyFill="1" applyAlignment="1">
      <alignment horizontal="center" wrapText="1"/>
    </xf>
    <xf numFmtId="0" fontId="0" fillId="0" borderId="0" xfId="0" applyFill="1"/>
    <xf numFmtId="0" fontId="1" fillId="0" borderId="0" xfId="0" applyFont="1" applyFill="1"/>
    <xf numFmtId="1" fontId="0" fillId="0" borderId="0" xfId="0" applyNumberFormat="1" applyFill="1"/>
    <xf numFmtId="165" fontId="0" fillId="0" borderId="0" xfId="0" applyNumberFormat="1"/>
    <xf numFmtId="0" fontId="6" fillId="0" borderId="0" xfId="0" applyFont="1" applyFill="1" applyBorder="1" applyAlignment="1">
      <alignment horizontal="center"/>
    </xf>
    <xf numFmtId="166" fontId="6" fillId="0" borderId="0" xfId="3" applyNumberFormat="1" applyFont="1" applyFill="1" applyBorder="1"/>
    <xf numFmtId="166" fontId="1" fillId="7" borderId="1" xfId="3" applyNumberFormat="1" applyFont="1" applyFill="1" applyBorder="1"/>
    <xf numFmtId="0" fontId="1" fillId="0" borderId="1" xfId="0" applyFont="1" applyFill="1" applyBorder="1"/>
    <xf numFmtId="166" fontId="1" fillId="0" borderId="1" xfId="3" applyNumberFormat="1" applyFont="1" applyFill="1" applyBorder="1"/>
    <xf numFmtId="166" fontId="2" fillId="16" borderId="1" xfId="3" applyNumberFormat="1" applyFont="1" applyFill="1" applyBorder="1" applyAlignment="1">
      <alignment horizontal="center"/>
    </xf>
    <xf numFmtId="0" fontId="1" fillId="11" borderId="0" xfId="0" applyFont="1" applyFill="1"/>
    <xf numFmtId="0" fontId="2" fillId="11" borderId="0" xfId="0" applyFont="1" applyFill="1"/>
    <xf numFmtId="168" fontId="0" fillId="0" borderId="0" xfId="0" applyNumberFormat="1"/>
    <xf numFmtId="169" fontId="0" fillId="0" borderId="0" xfId="0" applyNumberFormat="1"/>
    <xf numFmtId="0" fontId="1" fillId="0" borderId="1" xfId="0" applyFont="1" applyBorder="1"/>
    <xf numFmtId="10" fontId="1" fillId="0" borderId="1" xfId="4" applyNumberFormat="1" applyFont="1" applyBorder="1"/>
    <xf numFmtId="166" fontId="1" fillId="0" borderId="1" xfId="0" applyNumberFormat="1" applyFont="1" applyBorder="1"/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10" fontId="7" fillId="0" borderId="1" xfId="4" applyNumberFormat="1" applyFont="1" applyBorder="1"/>
    <xf numFmtId="166" fontId="7" fillId="0" borderId="1" xfId="3" applyNumberFormat="1" applyFont="1" applyBorder="1"/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0" fontId="1" fillId="7" borderId="1" xfId="4" applyNumberFormat="1" applyFont="1" applyFill="1" applyBorder="1"/>
    <xf numFmtId="166" fontId="1" fillId="7" borderId="1" xfId="0" applyNumberFormat="1" applyFont="1" applyFill="1" applyBorder="1"/>
    <xf numFmtId="166" fontId="7" fillId="7" borderId="1" xfId="3" applyNumberFormat="1" applyFont="1" applyFill="1" applyBorder="1"/>
    <xf numFmtId="166" fontId="7" fillId="0" borderId="1" xfId="0" applyNumberFormat="1" applyFont="1" applyBorder="1"/>
    <xf numFmtId="166" fontId="7" fillId="5" borderId="1" xfId="3" applyNumberFormat="1" applyFont="1" applyFill="1" applyBorder="1"/>
    <xf numFmtId="10" fontId="7" fillId="5" borderId="2" xfId="4" applyNumberFormat="1" applyFont="1" applyFill="1" applyBorder="1"/>
    <xf numFmtId="166" fontId="7" fillId="5" borderId="1" xfId="4" applyNumberFormat="1" applyFont="1" applyFill="1" applyBorder="1"/>
    <xf numFmtId="0" fontId="1" fillId="0" borderId="2" xfId="0" applyFont="1" applyBorder="1"/>
    <xf numFmtId="0" fontId="7" fillId="5" borderId="1" xfId="0" applyFont="1" applyFill="1" applyBorder="1"/>
    <xf numFmtId="10" fontId="7" fillId="5" borderId="1" xfId="4" applyNumberFormat="1" applyFont="1" applyFill="1" applyBorder="1"/>
    <xf numFmtId="164" fontId="1" fillId="0" borderId="0" xfId="3" applyNumberFormat="1" applyFont="1"/>
    <xf numFmtId="164" fontId="6" fillId="0" borderId="0" xfId="3" applyNumberFormat="1" applyFont="1"/>
    <xf numFmtId="164" fontId="1" fillId="0" borderId="1" xfId="3" applyNumberFormat="1" applyFont="1" applyBorder="1"/>
    <xf numFmtId="166" fontId="2" fillId="12" borderId="1" xfId="3" applyNumberFormat="1" applyFont="1" applyFill="1" applyBorder="1" applyAlignment="1">
      <alignment horizontal="center" wrapText="1"/>
    </xf>
    <xf numFmtId="171" fontId="7" fillId="0" borderId="0" xfId="0" applyNumberFormat="1" applyFont="1"/>
    <xf numFmtId="166" fontId="0" fillId="0" borderId="0" xfId="0" applyNumberFormat="1"/>
    <xf numFmtId="172" fontId="1" fillId="0" borderId="0" xfId="3" applyNumberFormat="1" applyFont="1"/>
    <xf numFmtId="172" fontId="2" fillId="12" borderId="0" xfId="3" applyNumberFormat="1" applyFont="1" applyFill="1" applyAlignment="1">
      <alignment horizontal="center" wrapText="1"/>
    </xf>
    <xf numFmtId="164" fontId="2" fillId="12" borderId="0" xfId="3" applyNumberFormat="1" applyFont="1" applyFill="1" applyAlignment="1">
      <alignment horizontal="center" wrapText="1"/>
    </xf>
    <xf numFmtId="164" fontId="2" fillId="12" borderId="1" xfId="3" applyNumberFormat="1" applyFont="1" applyFill="1" applyBorder="1" applyAlignment="1">
      <alignment horizontal="center" wrapText="1"/>
    </xf>
    <xf numFmtId="172" fontId="2" fillId="12" borderId="1" xfId="3" applyNumberFormat="1" applyFont="1" applyFill="1" applyBorder="1" applyAlignment="1">
      <alignment horizontal="center" wrapText="1"/>
    </xf>
    <xf numFmtId="0" fontId="8" fillId="0" borderId="0" xfId="0" applyFont="1"/>
    <xf numFmtId="0" fontId="2" fillId="0" borderId="1" xfId="0" applyFont="1" applyBorder="1"/>
    <xf numFmtId="0" fontId="2" fillId="0" borderId="7" xfId="0" applyFont="1" applyBorder="1"/>
    <xf numFmtId="166" fontId="6" fillId="7" borderId="9" xfId="3" applyNumberFormat="1" applyFont="1" applyFill="1" applyBorder="1"/>
    <xf numFmtId="166" fontId="6" fillId="15" borderId="9" xfId="3" applyNumberFormat="1" applyFont="1" applyFill="1" applyBorder="1"/>
    <xf numFmtId="166" fontId="6" fillId="3" borderId="9" xfId="3" applyNumberFormat="1" applyFont="1" applyFill="1" applyBorder="1"/>
    <xf numFmtId="172" fontId="6" fillId="14" borderId="9" xfId="3" applyNumberFormat="1" applyFont="1" applyFill="1" applyBorder="1"/>
    <xf numFmtId="0" fontId="9" fillId="0" borderId="0" xfId="0" applyFont="1" applyAlignment="1">
      <alignment horizontal="center"/>
    </xf>
    <xf numFmtId="166" fontId="1" fillId="15" borderId="1" xfId="3" applyNumberFormat="1" applyFont="1" applyFill="1" applyBorder="1"/>
    <xf numFmtId="166" fontId="1" fillId="3" borderId="1" xfId="3" applyNumberFormat="1" applyFont="1" applyFill="1" applyBorder="1"/>
    <xf numFmtId="0" fontId="1" fillId="0" borderId="14" xfId="0" applyFont="1" applyBorder="1"/>
    <xf numFmtId="0" fontId="1" fillId="0" borderId="17" xfId="0" applyFont="1" applyBorder="1"/>
    <xf numFmtId="0" fontId="2" fillId="0" borderId="6" xfId="0" applyFont="1" applyBorder="1"/>
    <xf numFmtId="166" fontId="1" fillId="7" borderId="6" xfId="3" applyNumberFormat="1" applyFont="1" applyFill="1" applyBorder="1"/>
    <xf numFmtId="166" fontId="1" fillId="15" borderId="6" xfId="3" applyNumberFormat="1" applyFont="1" applyFill="1" applyBorder="1"/>
    <xf numFmtId="166" fontId="1" fillId="3" borderId="6" xfId="3" applyNumberFormat="1" applyFont="1" applyFill="1" applyBorder="1"/>
    <xf numFmtId="172" fontId="6" fillId="14" borderId="6" xfId="3" applyNumberFormat="1" applyFont="1" applyFill="1" applyBorder="1"/>
    <xf numFmtId="10" fontId="6" fillId="14" borderId="18" xfId="4" applyNumberFormat="1" applyFont="1" applyFill="1" applyBorder="1" applyAlignment="1">
      <alignment horizont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0" borderId="21" xfId="0" applyFont="1" applyBorder="1"/>
    <xf numFmtId="166" fontId="1" fillId="7" borderId="7" xfId="3" applyNumberFormat="1" applyFont="1" applyFill="1" applyBorder="1"/>
    <xf numFmtId="166" fontId="1" fillId="15" borderId="7" xfId="3" applyNumberFormat="1" applyFont="1" applyFill="1" applyBorder="1"/>
    <xf numFmtId="166" fontId="1" fillId="3" borderId="7" xfId="3" applyNumberFormat="1" applyFont="1" applyFill="1" applyBorder="1"/>
    <xf numFmtId="9" fontId="6" fillId="14" borderId="10" xfId="4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1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9" fontId="2" fillId="12" borderId="1" xfId="4" applyFont="1" applyFill="1" applyBorder="1" applyAlignment="1">
      <alignment horizontal="center" wrapText="1"/>
    </xf>
    <xf numFmtId="171" fontId="2" fillId="16" borderId="1" xfId="3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2" fontId="6" fillId="7" borderId="6" xfId="3" applyNumberFormat="1" applyFont="1" applyFill="1" applyBorder="1"/>
    <xf numFmtId="172" fontId="6" fillId="7" borderId="1" xfId="3" applyNumberFormat="1" applyFont="1" applyFill="1" applyBorder="1"/>
    <xf numFmtId="172" fontId="6" fillId="7" borderId="7" xfId="3" applyNumberFormat="1" applyFont="1" applyFill="1" applyBorder="1"/>
    <xf numFmtId="172" fontId="6" fillId="15" borderId="6" xfId="3" applyNumberFormat="1" applyFont="1" applyFill="1" applyBorder="1"/>
    <xf numFmtId="172" fontId="6" fillId="15" borderId="1" xfId="3" applyNumberFormat="1" applyFont="1" applyFill="1" applyBorder="1"/>
    <xf numFmtId="172" fontId="6" fillId="15" borderId="7" xfId="3" applyNumberFormat="1" applyFont="1" applyFill="1" applyBorder="1"/>
    <xf numFmtId="172" fontId="6" fillId="10" borderId="6" xfId="3" applyNumberFormat="1" applyFont="1" applyFill="1" applyBorder="1"/>
    <xf numFmtId="172" fontId="6" fillId="10" borderId="1" xfId="3" applyNumberFormat="1" applyFont="1" applyFill="1" applyBorder="1"/>
    <xf numFmtId="172" fontId="6" fillId="10" borderId="7" xfId="3" applyNumberFormat="1" applyFont="1" applyFill="1" applyBorder="1"/>
    <xf numFmtId="172" fontId="6" fillId="10" borderId="9" xfId="3" applyNumberFormat="1" applyFont="1" applyFill="1" applyBorder="1"/>
    <xf numFmtId="172" fontId="6" fillId="8" borderId="6" xfId="3" applyNumberFormat="1" applyFont="1" applyFill="1" applyBorder="1"/>
    <xf numFmtId="172" fontId="6" fillId="8" borderId="9" xfId="3" applyNumberFormat="1" applyFont="1" applyFill="1" applyBorder="1"/>
    <xf numFmtId="0" fontId="5" fillId="0" borderId="1" xfId="0" applyFont="1" applyBorder="1" applyAlignment="1">
      <alignment horizontal="center" wrapText="1"/>
    </xf>
    <xf numFmtId="9" fontId="11" fillId="0" borderId="1" xfId="0" applyNumberFormat="1" applyFont="1" applyBorder="1" applyAlignment="1">
      <alignment horizontal="center" vertical="center"/>
    </xf>
    <xf numFmtId="173" fontId="12" fillId="0" borderId="1" xfId="0" applyNumberFormat="1" applyFont="1" applyBorder="1"/>
    <xf numFmtId="174" fontId="12" fillId="0" borderId="1" xfId="4" applyNumberFormat="1" applyFont="1" applyBorder="1" applyAlignment="1">
      <alignment horizontal="right"/>
    </xf>
    <xf numFmtId="173" fontId="1" fillId="0" borderId="1" xfId="0" applyNumberFormat="1" applyFont="1" applyBorder="1"/>
    <xf numFmtId="9" fontId="1" fillId="0" borderId="1" xfId="4" applyFont="1" applyBorder="1" applyAlignment="1">
      <alignment horizontal="center"/>
    </xf>
    <xf numFmtId="0" fontId="6" fillId="14" borderId="13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6" fillId="4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6" fillId="3" borderId="1" xfId="0" applyFont="1" applyFill="1" applyBorder="1"/>
    <xf numFmtId="0" fontId="1" fillId="7" borderId="1" xfId="0" applyFont="1" applyFill="1" applyBorder="1"/>
    <xf numFmtId="41" fontId="1" fillId="7" borderId="1" xfId="8" applyFont="1" applyFill="1" applyBorder="1"/>
    <xf numFmtId="0" fontId="6" fillId="7" borderId="1" xfId="0" applyFont="1" applyFill="1" applyBorder="1"/>
    <xf numFmtId="41" fontId="6" fillId="7" borderId="1" xfId="8" applyFont="1" applyFill="1" applyBorder="1"/>
    <xf numFmtId="0" fontId="4" fillId="17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center" vertical="top" wrapText="1"/>
    </xf>
    <xf numFmtId="0" fontId="4" fillId="17" borderId="1" xfId="1" applyNumberFormat="1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left" vertical="top" wrapText="1"/>
    </xf>
    <xf numFmtId="0" fontId="4" fillId="17" borderId="1" xfId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17" borderId="1" xfId="0" applyFont="1" applyFill="1" applyBorder="1" applyAlignment="1">
      <alignment horizontal="left" vertical="top" wrapText="1"/>
    </xf>
    <xf numFmtId="0" fontId="4" fillId="17" borderId="1" xfId="1" applyFont="1" applyFill="1" applyBorder="1" applyAlignment="1">
      <alignment horizontal="center" vertical="top" wrapText="1"/>
    </xf>
    <xf numFmtId="166" fontId="2" fillId="5" borderId="1" xfId="3" applyNumberFormat="1" applyFont="1" applyFill="1" applyBorder="1" applyAlignment="1">
      <alignment horizontal="center"/>
    </xf>
    <xf numFmtId="166" fontId="2" fillId="5" borderId="1" xfId="3" applyNumberFormat="1" applyFont="1" applyFill="1" applyBorder="1" applyAlignment="1">
      <alignment horizontal="center" vertical="center"/>
    </xf>
    <xf numFmtId="166" fontId="2" fillId="5" borderId="1" xfId="3" applyNumberFormat="1" applyFont="1" applyFill="1" applyBorder="1"/>
    <xf numFmtId="0" fontId="7" fillId="0" borderId="1" xfId="0" applyFont="1" applyFill="1" applyBorder="1"/>
    <xf numFmtId="10" fontId="7" fillId="0" borderId="1" xfId="4" applyNumberFormat="1" applyFont="1" applyFill="1" applyBorder="1"/>
    <xf numFmtId="166" fontId="7" fillId="0" borderId="1" xfId="3" applyNumberFormat="1" applyFont="1" applyFill="1" applyBorder="1"/>
    <xf numFmtId="0" fontId="6" fillId="8" borderId="1" xfId="0" applyFont="1" applyFill="1" applyBorder="1" applyAlignment="1"/>
    <xf numFmtId="0" fontId="6" fillId="8" borderId="28" xfId="0" applyFont="1" applyFill="1" applyBorder="1" applyAlignment="1">
      <alignment horizontal="center"/>
    </xf>
    <xf numFmtId="172" fontId="6" fillId="18" borderId="6" xfId="3" applyNumberFormat="1" applyFont="1" applyFill="1" applyBorder="1"/>
    <xf numFmtId="172" fontId="6" fillId="18" borderId="26" xfId="3" applyNumberFormat="1" applyFont="1" applyFill="1" applyBorder="1"/>
    <xf numFmtId="166" fontId="6" fillId="18" borderId="9" xfId="3" applyNumberFormat="1" applyFont="1" applyFill="1" applyBorder="1"/>
    <xf numFmtId="164" fontId="1" fillId="0" borderId="6" xfId="3" applyNumberFormat="1" applyFont="1" applyBorder="1"/>
    <xf numFmtId="0" fontId="6" fillId="18" borderId="1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7" fillId="0" borderId="0" xfId="0" applyFont="1"/>
    <xf numFmtId="172" fontId="1" fillId="15" borderId="6" xfId="3" applyNumberFormat="1" applyFont="1" applyFill="1" applyBorder="1"/>
    <xf numFmtId="0" fontId="5" fillId="0" borderId="0" xfId="0" applyFont="1" applyFill="1"/>
    <xf numFmtId="173" fontId="1" fillId="0" borderId="0" xfId="0" applyNumberFormat="1" applyFont="1"/>
    <xf numFmtId="173" fontId="6" fillId="0" borderId="1" xfId="0" applyNumberFormat="1" applyFont="1" applyBorder="1"/>
    <xf numFmtId="175" fontId="6" fillId="0" borderId="1" xfId="0" applyNumberFormat="1" applyFont="1" applyBorder="1"/>
    <xf numFmtId="166" fontId="11" fillId="3" borderId="6" xfId="3" applyNumberFormat="1" applyFont="1" applyFill="1" applyBorder="1"/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16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14" borderId="25" xfId="0" applyFont="1" applyFill="1" applyBorder="1" applyAlignment="1">
      <alignment horizontal="center" vertical="center" wrapText="1"/>
    </xf>
    <xf numFmtId="0" fontId="6" fillId="14" borderId="26" xfId="0" applyFont="1" applyFill="1" applyBorder="1" applyAlignment="1">
      <alignment horizontal="center" vertical="center" wrapText="1"/>
    </xf>
    <xf numFmtId="0" fontId="6" fillId="14" borderId="2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 wrapText="1"/>
    </xf>
    <xf numFmtId="0" fontId="6" fillId="15" borderId="23" xfId="0" applyFont="1" applyFill="1" applyBorder="1" applyAlignment="1">
      <alignment horizontal="center" wrapText="1"/>
    </xf>
    <xf numFmtId="0" fontId="6" fillId="15" borderId="4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</cellXfs>
  <cellStyles count="9">
    <cellStyle name="Millares" xfId="3" builtinId="3"/>
    <cellStyle name="Millares [0]" xfId="8" builtinId="6"/>
    <cellStyle name="Millares 2" xfId="2" xr:uid="{00000000-0005-0000-0000-000001000000}"/>
    <cellStyle name="Millares 3" xfId="6" xr:uid="{00000000-0005-0000-0000-000031000000}"/>
    <cellStyle name="Normal" xfId="0" builtinId="0"/>
    <cellStyle name="Normal 2" xfId="1" xr:uid="{00000000-0005-0000-0000-000003000000}"/>
    <cellStyle name="Normal 3" xfId="5" xr:uid="{00000000-0005-0000-0000-000032000000}"/>
    <cellStyle name="Porcentaje" xfId="4" builtinId="5"/>
    <cellStyle name="Porcentaje 2" xfId="7" xr:uid="{00000000-0005-0000-0000-000033000000}"/>
  </cellStyles>
  <dxfs count="0"/>
  <tableStyles count="0" defaultTableStyle="TableStyleMedium2" defaultPivotStyle="PivotStyleLight16"/>
  <colors>
    <mruColors>
      <color rgb="FFE9F5D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1013314</xdr:colOff>
      <xdr:row>0</xdr:row>
      <xdr:rowOff>1054954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EEA93015-CCDE-4971-A9EB-90ECA72E62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3314" cy="10549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1013314</xdr:colOff>
      <xdr:row>0</xdr:row>
      <xdr:rowOff>1054954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DF77837B-6302-44E3-976C-4E4D08DD05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3314" cy="10549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752475</xdr:colOff>
      <xdr:row>0</xdr:row>
      <xdr:rowOff>514350</xdr:rowOff>
    </xdr:from>
    <xdr:to>
      <xdr:col>11</xdr:col>
      <xdr:colOff>549637</xdr:colOff>
      <xdr:row>0</xdr:row>
      <xdr:rowOff>933910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6FCF31-8FAB-4136-80D2-1A2BD9B66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0" y="514350"/>
          <a:ext cx="1473562" cy="419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os_Pedagogia_G9_2020_VF%20(ATH%2023jul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_Conicyt_2018_2701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dores_SIES_BD2020_2701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olicitudes%20PCT_2018_2801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creditaci&#243;n_IES-PED-PREG-DOC-MAG%20(31.12.2019)_B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tricula_2019_150120_B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aje Final FID"/>
      <sheetName val="Criterios Puntajes"/>
      <sheetName val="Promedio Acreditación"/>
      <sheetName val="Cantidad Matrícula FID"/>
      <sheetName val="Porcentaje Matrícula FID"/>
      <sheetName val="Oferta FID"/>
      <sheetName val="Puntaje Postgrado"/>
      <sheetName val="Porcentaje Matrícula Per 1-6"/>
    </sheetNames>
    <sheetDataSet>
      <sheetData sheetId="0">
        <row r="7">
          <cell r="C7" t="str">
            <v>UCV</v>
          </cell>
          <cell r="D7">
            <v>8</v>
          </cell>
          <cell r="E7">
            <v>25</v>
          </cell>
          <cell r="F7">
            <v>6</v>
          </cell>
          <cell r="G7">
            <v>25</v>
          </cell>
          <cell r="H7">
            <v>6</v>
          </cell>
          <cell r="I7">
            <v>12</v>
          </cell>
          <cell r="J7">
            <v>82</v>
          </cell>
          <cell r="K7">
            <v>0.14748201438848921</v>
          </cell>
          <cell r="L7">
            <v>471942.44604316546</v>
          </cell>
          <cell r="M7">
            <v>471942</v>
          </cell>
        </row>
        <row r="8">
          <cell r="C8" t="str">
            <v>UCO</v>
          </cell>
          <cell r="D8">
            <v>6</v>
          </cell>
          <cell r="E8">
            <v>25</v>
          </cell>
          <cell r="F8">
            <v>6</v>
          </cell>
          <cell r="G8">
            <v>25</v>
          </cell>
          <cell r="H8">
            <v>6</v>
          </cell>
          <cell r="I8">
            <v>12</v>
          </cell>
          <cell r="J8">
            <v>80</v>
          </cell>
          <cell r="K8">
            <v>0.14388489208633093</v>
          </cell>
          <cell r="L8">
            <v>460431.65467625897</v>
          </cell>
          <cell r="M8">
            <v>460432</v>
          </cell>
        </row>
        <row r="9">
          <cell r="C9" t="str">
            <v>USC</v>
          </cell>
          <cell r="D9">
            <v>6</v>
          </cell>
          <cell r="E9">
            <v>20</v>
          </cell>
          <cell r="F9">
            <v>6</v>
          </cell>
          <cell r="G9">
            <v>25</v>
          </cell>
          <cell r="H9">
            <v>6</v>
          </cell>
          <cell r="I9">
            <v>15</v>
          </cell>
          <cell r="J9">
            <v>78</v>
          </cell>
          <cell r="K9">
            <v>0.14028776978417265</v>
          </cell>
          <cell r="L9">
            <v>448920.86330935248</v>
          </cell>
          <cell r="M9">
            <v>448921</v>
          </cell>
        </row>
        <row r="10">
          <cell r="C10" t="str">
            <v>UCT</v>
          </cell>
          <cell r="D10">
            <v>8</v>
          </cell>
          <cell r="E10">
            <v>20</v>
          </cell>
          <cell r="F10">
            <v>6</v>
          </cell>
          <cell r="G10">
            <v>25</v>
          </cell>
          <cell r="H10">
            <v>4</v>
          </cell>
          <cell r="I10">
            <v>15</v>
          </cell>
          <cell r="J10">
            <v>78</v>
          </cell>
          <cell r="K10">
            <v>0.14028776978417265</v>
          </cell>
          <cell r="L10">
            <v>448920.86330935248</v>
          </cell>
          <cell r="M10">
            <v>448921</v>
          </cell>
        </row>
        <row r="11">
          <cell r="C11" t="str">
            <v>UCM</v>
          </cell>
          <cell r="D11">
            <v>8</v>
          </cell>
          <cell r="E11">
            <v>20</v>
          </cell>
          <cell r="F11">
            <v>6</v>
          </cell>
          <cell r="G11">
            <v>25</v>
          </cell>
          <cell r="H11">
            <v>4</v>
          </cell>
          <cell r="I11">
            <v>15</v>
          </cell>
          <cell r="J11">
            <v>78</v>
          </cell>
          <cell r="K11">
            <v>0.14028776978417265</v>
          </cell>
          <cell r="L11">
            <v>448920.86330935248</v>
          </cell>
          <cell r="M11">
            <v>448921</v>
          </cell>
        </row>
        <row r="12">
          <cell r="C12" t="str">
            <v>PUC</v>
          </cell>
          <cell r="D12">
            <v>6</v>
          </cell>
          <cell r="E12">
            <v>20</v>
          </cell>
          <cell r="F12">
            <v>3</v>
          </cell>
          <cell r="G12">
            <v>20</v>
          </cell>
          <cell r="H12">
            <v>8</v>
          </cell>
          <cell r="I12">
            <v>9</v>
          </cell>
          <cell r="J12">
            <v>66</v>
          </cell>
          <cell r="K12">
            <v>0.11870503597122302</v>
          </cell>
          <cell r="L12">
            <v>379856.11510791368</v>
          </cell>
          <cell r="M12">
            <v>379856</v>
          </cell>
        </row>
        <row r="13">
          <cell r="C13" t="str">
            <v>AUS</v>
          </cell>
          <cell r="D13">
            <v>6</v>
          </cell>
          <cell r="E13">
            <v>15</v>
          </cell>
          <cell r="F13">
            <v>3</v>
          </cell>
          <cell r="G13">
            <v>15</v>
          </cell>
          <cell r="H13">
            <v>4</v>
          </cell>
          <cell r="I13">
            <v>15</v>
          </cell>
          <cell r="J13">
            <v>58</v>
          </cell>
          <cell r="K13">
            <v>0.10431654676258993</v>
          </cell>
          <cell r="L13">
            <v>333812.94964028778</v>
          </cell>
          <cell r="M13">
            <v>333813</v>
          </cell>
        </row>
        <row r="14">
          <cell r="C14" t="str">
            <v>UCN</v>
          </cell>
          <cell r="D14">
            <v>4</v>
          </cell>
          <cell r="E14">
            <v>10</v>
          </cell>
          <cell r="F14">
            <v>3</v>
          </cell>
          <cell r="G14">
            <v>10</v>
          </cell>
          <cell r="H14">
            <v>0</v>
          </cell>
          <cell r="I14">
            <v>9</v>
          </cell>
          <cell r="J14">
            <v>36</v>
          </cell>
          <cell r="K14">
            <v>6.4748201438848921E-2</v>
          </cell>
          <cell r="L14">
            <v>207194.24460431654</v>
          </cell>
          <cell r="M14">
            <v>207194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ECYT"/>
      <sheetName val="FONDEF"/>
      <sheetName val="Publicaciones SciELO"/>
      <sheetName val="Publicaciones WOS"/>
      <sheetName val="SCOPUS"/>
    </sheetNames>
    <sheetDataSet>
      <sheetData sheetId="0"/>
      <sheetData sheetId="1"/>
      <sheetData sheetId="2"/>
      <sheetData sheetId="3"/>
      <sheetData sheetId="4">
        <row r="6">
          <cell r="B6" t="str">
            <v>UCH</v>
          </cell>
          <cell r="C6" t="str">
            <v>CRUCH-ESTATAL</v>
          </cell>
          <cell r="D6">
            <v>2359</v>
          </cell>
          <cell r="E6">
            <v>32476</v>
          </cell>
          <cell r="F6">
            <v>2533</v>
          </cell>
          <cell r="G6">
            <v>27792</v>
          </cell>
          <cell r="H6">
            <v>2724</v>
          </cell>
          <cell r="I6">
            <v>23064</v>
          </cell>
          <cell r="J6">
            <v>2763</v>
          </cell>
          <cell r="K6">
            <v>14689</v>
          </cell>
          <cell r="L6">
            <v>2752</v>
          </cell>
          <cell r="M6">
            <v>7202</v>
          </cell>
          <cell r="N6">
            <v>13131</v>
          </cell>
          <cell r="O6">
            <v>105223</v>
          </cell>
        </row>
        <row r="7">
          <cell r="B7" t="str">
            <v>PUC</v>
          </cell>
          <cell r="C7" t="str">
            <v>CRUCH-PRIVADA</v>
          </cell>
          <cell r="D7">
            <v>2087</v>
          </cell>
          <cell r="E7">
            <v>31554</v>
          </cell>
          <cell r="F7">
            <v>2119</v>
          </cell>
          <cell r="G7">
            <v>27670</v>
          </cell>
          <cell r="H7">
            <v>2429</v>
          </cell>
          <cell r="I7">
            <v>28901</v>
          </cell>
          <cell r="J7">
            <v>2497</v>
          </cell>
          <cell r="K7">
            <v>18186</v>
          </cell>
          <cell r="L7">
            <v>2379</v>
          </cell>
          <cell r="M7">
            <v>5768</v>
          </cell>
          <cell r="N7">
            <v>11511</v>
          </cell>
          <cell r="O7">
            <v>112079</v>
          </cell>
        </row>
        <row r="8">
          <cell r="B8" t="str">
            <v>UCO</v>
          </cell>
          <cell r="C8" t="str">
            <v>CRUCH-PRIVADA</v>
          </cell>
          <cell r="D8">
            <v>991</v>
          </cell>
          <cell r="E8">
            <v>11760</v>
          </cell>
          <cell r="F8">
            <v>1015</v>
          </cell>
          <cell r="G8">
            <v>9695</v>
          </cell>
          <cell r="H8">
            <v>1149</v>
          </cell>
          <cell r="I8">
            <v>7675</v>
          </cell>
          <cell r="J8">
            <v>1148</v>
          </cell>
          <cell r="K8">
            <v>5465</v>
          </cell>
          <cell r="L8">
            <v>1272</v>
          </cell>
          <cell r="M8">
            <v>5877</v>
          </cell>
          <cell r="N8">
            <v>5575</v>
          </cell>
          <cell r="O8">
            <v>40472</v>
          </cell>
        </row>
        <row r="9">
          <cell r="B9" t="str">
            <v>USA</v>
          </cell>
          <cell r="C9" t="str">
            <v>CRUCH-ESTATAL</v>
          </cell>
          <cell r="D9">
            <v>530</v>
          </cell>
          <cell r="E9">
            <v>4378</v>
          </cell>
          <cell r="F9">
            <v>516</v>
          </cell>
          <cell r="G9">
            <v>3990</v>
          </cell>
          <cell r="H9">
            <v>683</v>
          </cell>
          <cell r="I9">
            <v>4495</v>
          </cell>
          <cell r="J9">
            <v>706</v>
          </cell>
          <cell r="K9">
            <v>2548</v>
          </cell>
          <cell r="L9">
            <v>781</v>
          </cell>
          <cell r="M9">
            <v>1315</v>
          </cell>
          <cell r="N9">
            <v>3216</v>
          </cell>
          <cell r="O9">
            <v>16726</v>
          </cell>
        </row>
        <row r="10">
          <cell r="B10" t="str">
            <v>UCV</v>
          </cell>
          <cell r="C10" t="str">
            <v>CRUCH-PRIVADA</v>
          </cell>
          <cell r="D10">
            <v>466</v>
          </cell>
          <cell r="E10">
            <v>4872</v>
          </cell>
          <cell r="F10">
            <v>549</v>
          </cell>
          <cell r="G10">
            <v>3826</v>
          </cell>
          <cell r="H10">
            <v>662</v>
          </cell>
          <cell r="I10">
            <v>3481</v>
          </cell>
          <cell r="J10">
            <v>624</v>
          </cell>
          <cell r="K10">
            <v>2573</v>
          </cell>
          <cell r="L10">
            <v>787</v>
          </cell>
          <cell r="M10">
            <v>1306</v>
          </cell>
          <cell r="N10">
            <v>3088</v>
          </cell>
          <cell r="O10">
            <v>16058</v>
          </cell>
        </row>
        <row r="11">
          <cell r="B11" t="str">
            <v>FSM</v>
          </cell>
          <cell r="C11" t="str">
            <v>CRUCH-PRIVADA</v>
          </cell>
          <cell r="D11">
            <v>479</v>
          </cell>
          <cell r="E11">
            <v>9226</v>
          </cell>
          <cell r="F11">
            <v>555</v>
          </cell>
          <cell r="G11">
            <v>10235</v>
          </cell>
          <cell r="H11">
            <v>625</v>
          </cell>
          <cell r="I11">
            <v>8525</v>
          </cell>
          <cell r="J11">
            <v>603</v>
          </cell>
          <cell r="K11">
            <v>4555</v>
          </cell>
          <cell r="L11">
            <v>658</v>
          </cell>
          <cell r="M11">
            <v>2644</v>
          </cell>
          <cell r="N11">
            <v>2920</v>
          </cell>
          <cell r="O11">
            <v>35185</v>
          </cell>
        </row>
        <row r="12">
          <cell r="B12" t="str">
            <v>AUS</v>
          </cell>
          <cell r="C12" t="str">
            <v>CRUCH-PRIVADA</v>
          </cell>
          <cell r="D12">
            <v>468</v>
          </cell>
          <cell r="E12">
            <v>5668</v>
          </cell>
          <cell r="F12">
            <v>491</v>
          </cell>
          <cell r="G12">
            <v>4305</v>
          </cell>
          <cell r="H12">
            <v>553</v>
          </cell>
          <cell r="I12">
            <v>6064</v>
          </cell>
          <cell r="J12">
            <v>564</v>
          </cell>
          <cell r="K12">
            <v>2594</v>
          </cell>
          <cell r="L12">
            <v>712</v>
          </cell>
          <cell r="M12">
            <v>1393</v>
          </cell>
          <cell r="N12">
            <v>2788</v>
          </cell>
          <cell r="O12">
            <v>20024</v>
          </cell>
        </row>
        <row r="13">
          <cell r="B13" t="str">
            <v>FRO</v>
          </cell>
          <cell r="C13" t="str">
            <v>CRUCH-ESTATAL</v>
          </cell>
          <cell r="D13">
            <v>382</v>
          </cell>
          <cell r="E13">
            <v>5459</v>
          </cell>
          <cell r="F13">
            <v>446</v>
          </cell>
          <cell r="G13">
            <v>4065</v>
          </cell>
          <cell r="H13">
            <v>470</v>
          </cell>
          <cell r="I13">
            <v>4022</v>
          </cell>
          <cell r="J13">
            <v>518</v>
          </cell>
          <cell r="K13">
            <v>2578</v>
          </cell>
          <cell r="L13">
            <v>545</v>
          </cell>
          <cell r="M13">
            <v>1054</v>
          </cell>
          <cell r="N13">
            <v>2361</v>
          </cell>
          <cell r="O13">
            <v>17178</v>
          </cell>
        </row>
        <row r="14">
          <cell r="B14" t="str">
            <v>UVA</v>
          </cell>
          <cell r="C14" t="str">
            <v>CRUCH-ESTATAL</v>
          </cell>
          <cell r="D14">
            <v>346</v>
          </cell>
          <cell r="E14">
            <v>3945</v>
          </cell>
          <cell r="F14">
            <v>386</v>
          </cell>
          <cell r="G14">
            <v>3663</v>
          </cell>
          <cell r="H14">
            <v>416</v>
          </cell>
          <cell r="I14">
            <v>3726</v>
          </cell>
          <cell r="J14">
            <v>450</v>
          </cell>
          <cell r="K14">
            <v>2707</v>
          </cell>
          <cell r="L14">
            <v>463</v>
          </cell>
          <cell r="M14">
            <v>1023</v>
          </cell>
          <cell r="N14">
            <v>2061</v>
          </cell>
          <cell r="O14">
            <v>15064</v>
          </cell>
        </row>
        <row r="15">
          <cell r="B15" t="str">
            <v>TAL</v>
          </cell>
          <cell r="C15" t="str">
            <v>CRUCH-ESTATAL</v>
          </cell>
          <cell r="D15">
            <v>319</v>
          </cell>
          <cell r="E15">
            <v>2964</v>
          </cell>
          <cell r="F15">
            <v>375</v>
          </cell>
          <cell r="G15">
            <v>3017</v>
          </cell>
          <cell r="H15">
            <v>401</v>
          </cell>
          <cell r="I15">
            <v>2372</v>
          </cell>
          <cell r="J15">
            <v>426</v>
          </cell>
          <cell r="K15">
            <v>1890</v>
          </cell>
          <cell r="L15">
            <v>410</v>
          </cell>
          <cell r="M15">
            <v>691</v>
          </cell>
          <cell r="N15">
            <v>1931</v>
          </cell>
          <cell r="O15">
            <v>10934</v>
          </cell>
        </row>
        <row r="16">
          <cell r="B16" t="str">
            <v>UCN</v>
          </cell>
          <cell r="C16" t="str">
            <v>CRUCH-PRIVADA</v>
          </cell>
          <cell r="D16">
            <v>311</v>
          </cell>
          <cell r="E16">
            <v>3443</v>
          </cell>
          <cell r="F16">
            <v>340</v>
          </cell>
          <cell r="G16">
            <v>2367</v>
          </cell>
          <cell r="H16">
            <v>329</v>
          </cell>
          <cell r="I16">
            <v>1795</v>
          </cell>
          <cell r="J16">
            <v>369</v>
          </cell>
          <cell r="K16">
            <v>1590</v>
          </cell>
          <cell r="L16">
            <v>454</v>
          </cell>
          <cell r="M16">
            <v>830</v>
          </cell>
          <cell r="N16">
            <v>1803</v>
          </cell>
          <cell r="O16">
            <v>10025</v>
          </cell>
        </row>
        <row r="17">
          <cell r="B17" t="str">
            <v>UBB</v>
          </cell>
          <cell r="C17" t="str">
            <v>CRUCH-ESTATAL</v>
          </cell>
          <cell r="D17">
            <v>177</v>
          </cell>
          <cell r="E17">
            <v>1368</v>
          </cell>
          <cell r="F17">
            <v>187</v>
          </cell>
          <cell r="G17">
            <v>1004</v>
          </cell>
          <cell r="H17">
            <v>248</v>
          </cell>
          <cell r="I17">
            <v>1107</v>
          </cell>
          <cell r="J17">
            <v>260</v>
          </cell>
          <cell r="K17">
            <v>796</v>
          </cell>
          <cell r="L17">
            <v>294</v>
          </cell>
          <cell r="M17">
            <v>430</v>
          </cell>
          <cell r="N17">
            <v>1166</v>
          </cell>
          <cell r="O17">
            <v>4705</v>
          </cell>
        </row>
        <row r="18">
          <cell r="B18" t="str">
            <v>UTA</v>
          </cell>
          <cell r="C18" t="str">
            <v>CRUCH-ESTATAL</v>
          </cell>
          <cell r="D18">
            <v>205</v>
          </cell>
          <cell r="E18">
            <v>1913</v>
          </cell>
          <cell r="F18">
            <v>202</v>
          </cell>
          <cell r="G18">
            <v>1398</v>
          </cell>
          <cell r="H18">
            <v>214</v>
          </cell>
          <cell r="I18">
            <v>1086</v>
          </cell>
          <cell r="J18">
            <v>239</v>
          </cell>
          <cell r="K18">
            <v>777</v>
          </cell>
          <cell r="L18">
            <v>281</v>
          </cell>
          <cell r="M18">
            <v>384</v>
          </cell>
          <cell r="N18">
            <v>1141</v>
          </cell>
          <cell r="O18">
            <v>5558</v>
          </cell>
        </row>
        <row r="19">
          <cell r="B19" t="str">
            <v>ANT</v>
          </cell>
          <cell r="C19" t="str">
            <v>CRUCH-ESTATAL</v>
          </cell>
          <cell r="D19">
            <v>139</v>
          </cell>
          <cell r="E19">
            <v>1528</v>
          </cell>
          <cell r="F19">
            <v>159</v>
          </cell>
          <cell r="G19">
            <v>1818</v>
          </cell>
          <cell r="H19">
            <v>204</v>
          </cell>
          <cell r="I19">
            <v>1844</v>
          </cell>
          <cell r="J19">
            <v>210</v>
          </cell>
          <cell r="K19">
            <v>1631</v>
          </cell>
          <cell r="L19">
            <v>275</v>
          </cell>
          <cell r="M19">
            <v>1873</v>
          </cell>
          <cell r="N19">
            <v>987</v>
          </cell>
          <cell r="O19">
            <v>8694</v>
          </cell>
        </row>
        <row r="20">
          <cell r="B20" t="str">
            <v>ULS</v>
          </cell>
          <cell r="C20" t="str">
            <v>CRUCH-ESTATAL</v>
          </cell>
          <cell r="D20">
            <v>112</v>
          </cell>
          <cell r="E20">
            <v>1422</v>
          </cell>
          <cell r="F20">
            <v>113</v>
          </cell>
          <cell r="G20">
            <v>1036</v>
          </cell>
          <cell r="H20">
            <v>138</v>
          </cell>
          <cell r="I20">
            <v>1210</v>
          </cell>
          <cell r="J20">
            <v>178</v>
          </cell>
          <cell r="K20">
            <v>1934</v>
          </cell>
          <cell r="L20">
            <v>205</v>
          </cell>
          <cell r="M20">
            <v>745</v>
          </cell>
          <cell r="N20">
            <v>746</v>
          </cell>
          <cell r="O20">
            <v>6347</v>
          </cell>
        </row>
        <row r="21">
          <cell r="B21" t="str">
            <v>UCT</v>
          </cell>
          <cell r="C21" t="str">
            <v>CRUCH-PRIVADA</v>
          </cell>
          <cell r="D21">
            <v>98</v>
          </cell>
          <cell r="E21">
            <v>582</v>
          </cell>
          <cell r="F21">
            <v>120</v>
          </cell>
          <cell r="G21">
            <v>838</v>
          </cell>
          <cell r="H21">
            <v>133</v>
          </cell>
          <cell r="I21">
            <v>551</v>
          </cell>
          <cell r="J21">
            <v>166</v>
          </cell>
          <cell r="K21">
            <v>506</v>
          </cell>
          <cell r="L21">
            <v>193</v>
          </cell>
          <cell r="M21">
            <v>163</v>
          </cell>
          <cell r="N21">
            <v>710</v>
          </cell>
          <cell r="O21">
            <v>2640</v>
          </cell>
        </row>
        <row r="22">
          <cell r="B22" t="str">
            <v>MAG</v>
          </cell>
          <cell r="C22" t="str">
            <v>CRUCH-ESTATAL</v>
          </cell>
          <cell r="D22">
            <v>63</v>
          </cell>
          <cell r="E22">
            <v>589</v>
          </cell>
          <cell r="F22">
            <v>87</v>
          </cell>
          <cell r="G22">
            <v>906</v>
          </cell>
          <cell r="H22">
            <v>125</v>
          </cell>
          <cell r="I22">
            <v>1215</v>
          </cell>
          <cell r="J22">
            <v>106</v>
          </cell>
          <cell r="K22">
            <v>494</v>
          </cell>
          <cell r="L22">
            <v>142</v>
          </cell>
          <cell r="M22">
            <v>387</v>
          </cell>
          <cell r="N22">
            <v>523</v>
          </cell>
          <cell r="O22">
            <v>3591</v>
          </cell>
        </row>
        <row r="23">
          <cell r="B23" t="str">
            <v>UPA</v>
          </cell>
          <cell r="C23" t="str">
            <v>CRUCH-ESTATAL</v>
          </cell>
          <cell r="D23">
            <v>67</v>
          </cell>
          <cell r="E23">
            <v>320</v>
          </cell>
          <cell r="F23">
            <v>115</v>
          </cell>
          <cell r="G23">
            <v>541</v>
          </cell>
          <cell r="H23">
            <v>122</v>
          </cell>
          <cell r="I23">
            <v>339</v>
          </cell>
          <cell r="J23">
            <v>91</v>
          </cell>
          <cell r="K23">
            <v>143</v>
          </cell>
          <cell r="L23">
            <v>144</v>
          </cell>
          <cell r="M23">
            <v>153</v>
          </cell>
          <cell r="N23">
            <v>539</v>
          </cell>
          <cell r="O23">
            <v>1496</v>
          </cell>
        </row>
        <row r="24">
          <cell r="B24" t="str">
            <v>ULA</v>
          </cell>
          <cell r="C24" t="str">
            <v>CRUCH-ESTATAL</v>
          </cell>
          <cell r="D24">
            <v>68</v>
          </cell>
          <cell r="E24">
            <v>564</v>
          </cell>
          <cell r="F24">
            <v>92</v>
          </cell>
          <cell r="G24">
            <v>606</v>
          </cell>
          <cell r="H24">
            <v>110</v>
          </cell>
          <cell r="I24">
            <v>672</v>
          </cell>
          <cell r="J24">
            <v>132</v>
          </cell>
          <cell r="K24">
            <v>457</v>
          </cell>
          <cell r="L24">
            <v>186</v>
          </cell>
          <cell r="M24">
            <v>314</v>
          </cell>
          <cell r="N24">
            <v>588</v>
          </cell>
          <cell r="O24">
            <v>2613</v>
          </cell>
        </row>
        <row r="25">
          <cell r="B25" t="str">
            <v>USC</v>
          </cell>
          <cell r="C25" t="str">
            <v>CRUCH-PRIVADA</v>
          </cell>
          <cell r="D25">
            <v>76</v>
          </cell>
          <cell r="E25">
            <v>542</v>
          </cell>
          <cell r="F25">
            <v>86</v>
          </cell>
          <cell r="G25">
            <v>398</v>
          </cell>
          <cell r="H25">
            <v>102</v>
          </cell>
          <cell r="I25">
            <v>578</v>
          </cell>
          <cell r="J25">
            <v>148</v>
          </cell>
          <cell r="K25">
            <v>500</v>
          </cell>
          <cell r="L25">
            <v>195</v>
          </cell>
          <cell r="M25">
            <v>462</v>
          </cell>
          <cell r="N25">
            <v>607</v>
          </cell>
          <cell r="O25">
            <v>2480</v>
          </cell>
        </row>
        <row r="26">
          <cell r="B26" t="str">
            <v>UCM</v>
          </cell>
          <cell r="C26" t="str">
            <v>CRUCH-PRIVADA</v>
          </cell>
          <cell r="D26">
            <v>73</v>
          </cell>
          <cell r="E26">
            <v>700</v>
          </cell>
          <cell r="F26">
            <v>75</v>
          </cell>
          <cell r="G26">
            <v>381</v>
          </cell>
          <cell r="H26">
            <v>95</v>
          </cell>
          <cell r="I26">
            <v>354</v>
          </cell>
          <cell r="J26">
            <v>142</v>
          </cell>
          <cell r="K26">
            <v>387</v>
          </cell>
          <cell r="L26">
            <v>190</v>
          </cell>
          <cell r="M26">
            <v>223</v>
          </cell>
          <cell r="N26">
            <v>575</v>
          </cell>
          <cell r="O26">
            <v>2045</v>
          </cell>
        </row>
        <row r="27">
          <cell r="B27" t="str">
            <v>UAP</v>
          </cell>
          <cell r="C27" t="str">
            <v>CRUCH-ESTATAL</v>
          </cell>
          <cell r="D27">
            <v>63</v>
          </cell>
          <cell r="E27">
            <v>337</v>
          </cell>
          <cell r="F27">
            <v>60</v>
          </cell>
          <cell r="G27">
            <v>447</v>
          </cell>
          <cell r="H27">
            <v>82</v>
          </cell>
          <cell r="I27">
            <v>366</v>
          </cell>
          <cell r="J27">
            <v>68</v>
          </cell>
          <cell r="K27">
            <v>226</v>
          </cell>
          <cell r="L27">
            <v>90</v>
          </cell>
          <cell r="M27">
            <v>114</v>
          </cell>
          <cell r="N27">
            <v>363</v>
          </cell>
          <cell r="O27">
            <v>1490</v>
          </cell>
        </row>
        <row r="28">
          <cell r="B28" t="str">
            <v>ATA</v>
          </cell>
          <cell r="C28" t="str">
            <v>CRUCH-ESTATAL</v>
          </cell>
          <cell r="D28">
            <v>30</v>
          </cell>
          <cell r="E28">
            <v>251</v>
          </cell>
          <cell r="F28">
            <v>33</v>
          </cell>
          <cell r="G28">
            <v>250</v>
          </cell>
          <cell r="H28">
            <v>55</v>
          </cell>
          <cell r="I28">
            <v>388</v>
          </cell>
          <cell r="J28">
            <v>96</v>
          </cell>
          <cell r="K28">
            <v>300</v>
          </cell>
          <cell r="L28">
            <v>151</v>
          </cell>
          <cell r="M28">
            <v>305</v>
          </cell>
          <cell r="N28">
            <v>365</v>
          </cell>
          <cell r="O28">
            <v>1494</v>
          </cell>
        </row>
        <row r="29">
          <cell r="B29" t="str">
            <v>UMC</v>
          </cell>
          <cell r="C29" t="str">
            <v>CRUCH-ESTATAL</v>
          </cell>
          <cell r="D29">
            <v>24</v>
          </cell>
          <cell r="E29">
            <v>128</v>
          </cell>
          <cell r="F29">
            <v>41</v>
          </cell>
          <cell r="G29">
            <v>257</v>
          </cell>
          <cell r="H29">
            <v>42</v>
          </cell>
          <cell r="I29">
            <v>78</v>
          </cell>
          <cell r="J29">
            <v>39</v>
          </cell>
          <cell r="K29">
            <v>130</v>
          </cell>
          <cell r="L29">
            <v>35</v>
          </cell>
          <cell r="M29">
            <v>23</v>
          </cell>
          <cell r="N29">
            <v>181</v>
          </cell>
          <cell r="O29">
            <v>616</v>
          </cell>
        </row>
        <row r="30">
          <cell r="B30" t="str">
            <v>UTM</v>
          </cell>
          <cell r="C30" t="str">
            <v>CRUCH-ESTATAL</v>
          </cell>
          <cell r="D30">
            <v>11</v>
          </cell>
          <cell r="E30">
            <v>63</v>
          </cell>
          <cell r="F30">
            <v>20</v>
          </cell>
          <cell r="G30">
            <v>94</v>
          </cell>
          <cell r="H30">
            <v>37</v>
          </cell>
          <cell r="I30">
            <v>122</v>
          </cell>
          <cell r="J30">
            <v>60</v>
          </cell>
          <cell r="K30">
            <v>233</v>
          </cell>
          <cell r="L30">
            <v>102</v>
          </cell>
          <cell r="M30">
            <v>204</v>
          </cell>
          <cell r="N30">
            <v>230</v>
          </cell>
          <cell r="O30">
            <v>716</v>
          </cell>
        </row>
        <row r="31">
          <cell r="B31" t="str">
            <v>URO</v>
          </cell>
          <cell r="C31" t="str">
            <v>CRUCH-ESTATAL</v>
          </cell>
          <cell r="D31"/>
          <cell r="E31"/>
          <cell r="F31"/>
          <cell r="G31"/>
          <cell r="H31">
            <v>1</v>
          </cell>
          <cell r="I31">
            <v>2</v>
          </cell>
          <cell r="J31">
            <v>13</v>
          </cell>
          <cell r="K31">
            <v>24</v>
          </cell>
          <cell r="L31">
            <v>18</v>
          </cell>
          <cell r="M31">
            <v>37</v>
          </cell>
          <cell r="N31">
            <v>32</v>
          </cell>
          <cell r="O31">
            <v>63</v>
          </cell>
        </row>
        <row r="32">
          <cell r="B32" t="str">
            <v>URY</v>
          </cell>
          <cell r="C32" t="str">
            <v>CRUCH-ESTATAL</v>
          </cell>
          <cell r="D32"/>
          <cell r="E32"/>
          <cell r="F32"/>
          <cell r="G32"/>
          <cell r="H32"/>
          <cell r="I32"/>
          <cell r="J32">
            <v>5</v>
          </cell>
          <cell r="K32">
            <v>21</v>
          </cell>
          <cell r="L32">
            <v>12</v>
          </cell>
          <cell r="M32">
            <v>35</v>
          </cell>
          <cell r="N32">
            <v>17</v>
          </cell>
          <cell r="O32">
            <v>56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a)"/>
      <sheetName val="Indicador b)"/>
      <sheetName val="Indicador b.1)"/>
      <sheetName val="Indicador c)"/>
      <sheetName val="Indicador c.1)"/>
      <sheetName val="Indicador g)"/>
      <sheetName val="Indicador h)"/>
      <sheetName val="Indicador h.1)"/>
      <sheetName val="Indicador i.1)"/>
      <sheetName val="Indicador i.2)"/>
      <sheetName val="Indicador j)"/>
      <sheetName val="Indicador k)"/>
    </sheetNames>
    <sheetDataSet>
      <sheetData sheetId="0">
        <row r="2">
          <cell r="D2" t="str">
            <v>U.PRIVADA</v>
          </cell>
          <cell r="E2">
            <v>51</v>
          </cell>
          <cell r="F2">
            <v>2202</v>
          </cell>
        </row>
        <row r="3">
          <cell r="C3" t="str">
            <v>UFT</v>
          </cell>
          <cell r="D3" t="str">
            <v>U.PRIVADA</v>
          </cell>
          <cell r="E3">
            <v>122</v>
          </cell>
          <cell r="F3">
            <v>8899</v>
          </cell>
        </row>
        <row r="4">
          <cell r="C4" t="str">
            <v>UDP</v>
          </cell>
          <cell r="D4" t="str">
            <v>U.PRIVADA</v>
          </cell>
          <cell r="E4">
            <v>326</v>
          </cell>
          <cell r="F4">
            <v>17588</v>
          </cell>
        </row>
        <row r="5">
          <cell r="D5" t="str">
            <v>U.PRIVADA</v>
          </cell>
          <cell r="E5">
            <v>285</v>
          </cell>
          <cell r="F5">
            <v>13338</v>
          </cell>
        </row>
        <row r="6">
          <cell r="D6" t="str">
            <v>U.PRIVADA</v>
          </cell>
          <cell r="E6">
            <v>9</v>
          </cell>
          <cell r="F6">
            <v>4419</v>
          </cell>
        </row>
        <row r="7">
          <cell r="D7" t="str">
            <v>U.PRIVADA</v>
          </cell>
          <cell r="E7">
            <v>24</v>
          </cell>
          <cell r="F7">
            <v>5909</v>
          </cell>
        </row>
        <row r="8">
          <cell r="D8" t="str">
            <v>U.PRIVADA</v>
          </cell>
          <cell r="E8">
            <v>549</v>
          </cell>
          <cell r="F8">
            <v>20733</v>
          </cell>
        </row>
        <row r="9">
          <cell r="C9" t="str">
            <v>AHC</v>
          </cell>
          <cell r="D9" t="str">
            <v>U.PRIVADA</v>
          </cell>
          <cell r="E9">
            <v>52</v>
          </cell>
          <cell r="F9">
            <v>3571</v>
          </cell>
        </row>
        <row r="10">
          <cell r="D10" t="str">
            <v>U.PRIVADA</v>
          </cell>
          <cell r="E10">
            <v>521</v>
          </cell>
          <cell r="F10">
            <v>29762</v>
          </cell>
        </row>
        <row r="11">
          <cell r="D11" t="str">
            <v>U.PRIVADA</v>
          </cell>
          <cell r="E11">
            <v>52</v>
          </cell>
          <cell r="F11">
            <v>5169</v>
          </cell>
        </row>
        <row r="12">
          <cell r="D12" t="str">
            <v>U.PRIVADA</v>
          </cell>
          <cell r="E12">
            <v>82</v>
          </cell>
          <cell r="F12">
            <v>6809</v>
          </cell>
        </row>
        <row r="13">
          <cell r="D13" t="str">
            <v>U.PRIVADA</v>
          </cell>
          <cell r="E13">
            <v>518</v>
          </cell>
          <cell r="F13">
            <v>23183</v>
          </cell>
        </row>
        <row r="14">
          <cell r="D14" t="str">
            <v>U.PRIVADA</v>
          </cell>
          <cell r="E14">
            <v>1082</v>
          </cell>
          <cell r="F14">
            <v>48119</v>
          </cell>
        </row>
        <row r="15">
          <cell r="D15" t="str">
            <v>U.PRIVADA</v>
          </cell>
          <cell r="E15">
            <v>187</v>
          </cell>
          <cell r="F15">
            <v>9144</v>
          </cell>
        </row>
        <row r="16">
          <cell r="D16" t="str">
            <v>U.PRIVADA</v>
          </cell>
          <cell r="E16">
            <v>340</v>
          </cell>
          <cell r="F16">
            <v>10908</v>
          </cell>
        </row>
        <row r="17">
          <cell r="D17" t="str">
            <v>U.PRIVADA</v>
          </cell>
          <cell r="E17">
            <v>25</v>
          </cell>
          <cell r="F17">
            <v>1103</v>
          </cell>
        </row>
        <row r="18">
          <cell r="D18" t="str">
            <v>U.PRIVADA</v>
          </cell>
          <cell r="E18">
            <v>61</v>
          </cell>
          <cell r="F18">
            <v>4825</v>
          </cell>
        </row>
        <row r="19">
          <cell r="D19" t="str">
            <v>U.PRIVADA</v>
          </cell>
          <cell r="E19">
            <v>0</v>
          </cell>
          <cell r="F19">
            <v>148</v>
          </cell>
        </row>
        <row r="20">
          <cell r="C20" t="str">
            <v>UAU</v>
          </cell>
          <cell r="D20" t="str">
            <v>U.PRIVADA</v>
          </cell>
          <cell r="E20">
            <v>569</v>
          </cell>
          <cell r="F20">
            <v>24541</v>
          </cell>
        </row>
        <row r="21">
          <cell r="D21" t="str">
            <v>U.PRIVADA</v>
          </cell>
          <cell r="E21">
            <v>193</v>
          </cell>
          <cell r="F21">
            <v>9520</v>
          </cell>
        </row>
        <row r="22">
          <cell r="D22" t="str">
            <v>U.PRIVADA</v>
          </cell>
          <cell r="E22">
            <v>118</v>
          </cell>
          <cell r="F22">
            <v>2248</v>
          </cell>
        </row>
        <row r="23">
          <cell r="D23" t="str">
            <v>U.PRIVADA</v>
          </cell>
          <cell r="E23">
            <v>743</v>
          </cell>
          <cell r="F23">
            <v>32409</v>
          </cell>
        </row>
        <row r="24">
          <cell r="D24" t="str">
            <v>U.PRIVADA</v>
          </cell>
          <cell r="E24">
            <v>141</v>
          </cell>
          <cell r="F24">
            <v>6787</v>
          </cell>
        </row>
        <row r="25">
          <cell r="D25" t="str">
            <v>U.PRIVADA</v>
          </cell>
          <cell r="E25">
            <v>303</v>
          </cell>
          <cell r="F25">
            <v>16062</v>
          </cell>
        </row>
        <row r="26">
          <cell r="C26" t="str">
            <v>UCS</v>
          </cell>
          <cell r="D26" t="str">
            <v>U.PRIVADA</v>
          </cell>
          <cell r="E26">
            <v>62</v>
          </cell>
          <cell r="F26">
            <v>7551</v>
          </cell>
        </row>
        <row r="27">
          <cell r="D27" t="str">
            <v>U.PRIVADA</v>
          </cell>
          <cell r="E27">
            <v>66</v>
          </cell>
          <cell r="F27">
            <v>2709</v>
          </cell>
        </row>
        <row r="28">
          <cell r="D28" t="str">
            <v>U.PRIVADA</v>
          </cell>
          <cell r="E28">
            <v>8</v>
          </cell>
          <cell r="F28">
            <v>3915</v>
          </cell>
        </row>
        <row r="29">
          <cell r="D29" t="str">
            <v>U.PRIVADA</v>
          </cell>
          <cell r="E29">
            <v>222</v>
          </cell>
          <cell r="F29">
            <v>6786</v>
          </cell>
        </row>
        <row r="30">
          <cell r="D30" t="str">
            <v>U.PRIVADA</v>
          </cell>
          <cell r="E30">
            <v>21</v>
          </cell>
          <cell r="F30">
            <v>35160</v>
          </cell>
        </row>
        <row r="31">
          <cell r="D31" t="str">
            <v>U.PRIVADA</v>
          </cell>
          <cell r="E31">
            <v>27</v>
          </cell>
          <cell r="F31">
            <v>2407</v>
          </cell>
        </row>
        <row r="32">
          <cell r="C32" t="str">
            <v>UAH</v>
          </cell>
          <cell r="D32" t="str">
            <v>U.PRIVADA</v>
          </cell>
          <cell r="E32">
            <v>167</v>
          </cell>
          <cell r="F32">
            <v>7553</v>
          </cell>
        </row>
        <row r="33">
          <cell r="C33" t="str">
            <v>UCH</v>
          </cell>
          <cell r="D33" t="str">
            <v>CRUCH-ESTATAL</v>
          </cell>
          <cell r="E33">
            <v>1579</v>
          </cell>
          <cell r="F33">
            <v>39400</v>
          </cell>
        </row>
        <row r="34">
          <cell r="C34" t="str">
            <v>USA</v>
          </cell>
          <cell r="D34" t="str">
            <v>CRUCH-ESTATAL</v>
          </cell>
          <cell r="E34">
            <v>653</v>
          </cell>
          <cell r="F34">
            <v>23469</v>
          </cell>
        </row>
        <row r="35">
          <cell r="C35" t="str">
            <v>UVA</v>
          </cell>
          <cell r="D35" t="str">
            <v>CRUCH-ESTATAL</v>
          </cell>
          <cell r="E35">
            <v>564</v>
          </cell>
          <cell r="F35">
            <v>16682</v>
          </cell>
        </row>
        <row r="36">
          <cell r="C36" t="str">
            <v>ANT</v>
          </cell>
          <cell r="D36" t="str">
            <v>CRUCH-ESTATAL</v>
          </cell>
          <cell r="E36">
            <v>333</v>
          </cell>
          <cell r="F36">
            <v>8338</v>
          </cell>
        </row>
        <row r="37">
          <cell r="C37" t="str">
            <v>ULS</v>
          </cell>
          <cell r="D37" t="str">
            <v>CRUCH-ESTATAL</v>
          </cell>
          <cell r="E37">
            <v>213</v>
          </cell>
          <cell r="F37">
            <v>7686</v>
          </cell>
        </row>
        <row r="38">
          <cell r="C38" t="str">
            <v>UBB</v>
          </cell>
          <cell r="D38" t="str">
            <v>CRUCH-ESTATAL</v>
          </cell>
          <cell r="E38">
            <v>459</v>
          </cell>
          <cell r="F38">
            <v>12821</v>
          </cell>
        </row>
        <row r="39">
          <cell r="C39" t="str">
            <v>FRO</v>
          </cell>
          <cell r="D39" t="str">
            <v>CRUCH-ESTATAL</v>
          </cell>
          <cell r="E39">
            <v>321</v>
          </cell>
          <cell r="F39">
            <v>10930</v>
          </cell>
        </row>
        <row r="40">
          <cell r="C40" t="str">
            <v>MAG</v>
          </cell>
          <cell r="D40" t="str">
            <v>CRUCH-ESTATAL</v>
          </cell>
          <cell r="E40">
            <v>200</v>
          </cell>
          <cell r="F40">
            <v>4559</v>
          </cell>
        </row>
        <row r="41">
          <cell r="C41" t="str">
            <v>TAL</v>
          </cell>
          <cell r="D41" t="str">
            <v>CRUCH-ESTATAL</v>
          </cell>
          <cell r="E41">
            <v>419</v>
          </cell>
          <cell r="F41">
            <v>11606</v>
          </cell>
        </row>
        <row r="42">
          <cell r="C42" t="str">
            <v>ATA</v>
          </cell>
          <cell r="D42" t="str">
            <v>CRUCH-ESTATAL</v>
          </cell>
          <cell r="E42">
            <v>328</v>
          </cell>
          <cell r="F42">
            <v>7128</v>
          </cell>
        </row>
        <row r="43">
          <cell r="C43" t="str">
            <v>UTA</v>
          </cell>
          <cell r="D43" t="str">
            <v>CRUCH-ESTATAL</v>
          </cell>
          <cell r="E43">
            <v>319</v>
          </cell>
          <cell r="F43">
            <v>8995</v>
          </cell>
        </row>
        <row r="44">
          <cell r="C44" t="str">
            <v>UAP</v>
          </cell>
          <cell r="D44" t="str">
            <v>CRUCH-ESTATAL</v>
          </cell>
          <cell r="E44">
            <v>311</v>
          </cell>
          <cell r="F44">
            <v>13911</v>
          </cell>
        </row>
        <row r="45">
          <cell r="C45" t="str">
            <v>UMC</v>
          </cell>
          <cell r="D45" t="str">
            <v>CRUCH-ESTATAL</v>
          </cell>
          <cell r="E45">
            <v>229</v>
          </cell>
          <cell r="F45">
            <v>5050</v>
          </cell>
        </row>
        <row r="46">
          <cell r="C46" t="str">
            <v>UPA</v>
          </cell>
          <cell r="D46" t="str">
            <v>CRUCH-ESTATAL</v>
          </cell>
          <cell r="E46">
            <v>289</v>
          </cell>
          <cell r="F46">
            <v>8661</v>
          </cell>
        </row>
        <row r="47">
          <cell r="C47" t="str">
            <v>ULA</v>
          </cell>
          <cell r="D47" t="str">
            <v>CRUCH-ESTATAL</v>
          </cell>
          <cell r="E47">
            <v>325</v>
          </cell>
          <cell r="F47">
            <v>9871</v>
          </cell>
        </row>
        <row r="48">
          <cell r="C48" t="str">
            <v>UTM</v>
          </cell>
          <cell r="D48" t="str">
            <v>CRUCH-ESTATAL</v>
          </cell>
          <cell r="E48">
            <v>197</v>
          </cell>
          <cell r="F48">
            <v>9000</v>
          </cell>
        </row>
        <row r="49">
          <cell r="C49" t="str">
            <v>PUC</v>
          </cell>
          <cell r="D49" t="str">
            <v>CRUCH-PRIVADA</v>
          </cell>
          <cell r="E49">
            <v>1572</v>
          </cell>
          <cell r="F49">
            <v>31606</v>
          </cell>
        </row>
        <row r="50">
          <cell r="C50" t="str">
            <v>UCO</v>
          </cell>
          <cell r="D50" t="str">
            <v>CRUCH-PRIVADA</v>
          </cell>
          <cell r="E50">
            <v>1154</v>
          </cell>
          <cell r="F50">
            <v>27354</v>
          </cell>
        </row>
        <row r="51">
          <cell r="C51" t="str">
            <v>FSM</v>
          </cell>
          <cell r="D51" t="str">
            <v>CRUCH-PRIVADA</v>
          </cell>
          <cell r="E51">
            <v>476</v>
          </cell>
          <cell r="F51">
            <v>19335</v>
          </cell>
        </row>
        <row r="52">
          <cell r="C52" t="str">
            <v>UCV</v>
          </cell>
          <cell r="D52" t="str">
            <v>CRUCH-PRIVADA</v>
          </cell>
          <cell r="E52">
            <v>522</v>
          </cell>
          <cell r="F52">
            <v>16672</v>
          </cell>
        </row>
        <row r="53">
          <cell r="C53" t="str">
            <v>AUS</v>
          </cell>
          <cell r="D53" t="str">
            <v>CRUCH-PRIVADA</v>
          </cell>
          <cell r="E53">
            <v>748</v>
          </cell>
          <cell r="F53">
            <v>15934</v>
          </cell>
        </row>
        <row r="54">
          <cell r="C54" t="str">
            <v>UCN</v>
          </cell>
          <cell r="D54" t="str">
            <v>CRUCH-PRIVADA</v>
          </cell>
          <cell r="E54">
            <v>450</v>
          </cell>
          <cell r="F54">
            <v>11357</v>
          </cell>
        </row>
        <row r="55">
          <cell r="C55" t="str">
            <v>UCM</v>
          </cell>
          <cell r="D55" t="str">
            <v>CRUCH-PRIVADA</v>
          </cell>
          <cell r="E55">
            <v>295</v>
          </cell>
          <cell r="F55">
            <v>8613</v>
          </cell>
        </row>
        <row r="56">
          <cell r="C56" t="str">
            <v>USC</v>
          </cell>
          <cell r="D56" t="str">
            <v>CRUCH-PRIVADA</v>
          </cell>
          <cell r="E56">
            <v>300</v>
          </cell>
          <cell r="F56">
            <v>14041</v>
          </cell>
        </row>
        <row r="57">
          <cell r="C57" t="str">
            <v>UCT</v>
          </cell>
          <cell r="D57" t="str">
            <v>CRUCH-PRIVADA</v>
          </cell>
          <cell r="E57">
            <v>335</v>
          </cell>
          <cell r="F57">
            <v>11327</v>
          </cell>
        </row>
        <row r="58">
          <cell r="D58" t="str">
            <v>U.PRIVADA</v>
          </cell>
          <cell r="E58">
            <v>4</v>
          </cell>
          <cell r="F58">
            <v>295</v>
          </cell>
        </row>
        <row r="59">
          <cell r="C59" t="str">
            <v>URO</v>
          </cell>
          <cell r="D59" t="str">
            <v>CRUCH-ESTATAL</v>
          </cell>
          <cell r="E59">
            <v>55</v>
          </cell>
          <cell r="F59">
            <v>1328</v>
          </cell>
        </row>
        <row r="60">
          <cell r="C60" t="str">
            <v>URY</v>
          </cell>
          <cell r="D60" t="str">
            <v>CRUCH-ESTATAL</v>
          </cell>
          <cell r="E60">
            <v>22</v>
          </cell>
          <cell r="F60">
            <v>199</v>
          </cell>
        </row>
      </sheetData>
      <sheetData sheetId="1">
        <row r="2">
          <cell r="D2" t="str">
            <v>U.PRIVADA</v>
          </cell>
          <cell r="E2">
            <v>13.2340909090909</v>
          </cell>
          <cell r="F2">
            <v>93.102499999999964</v>
          </cell>
        </row>
        <row r="3">
          <cell r="C3" t="str">
            <v>UFT</v>
          </cell>
          <cell r="D3" t="str">
            <v>U.PRIVADA</v>
          </cell>
          <cell r="E3">
            <v>51.859005681818211</v>
          </cell>
          <cell r="F3">
            <v>384.01133522727253</v>
          </cell>
        </row>
        <row r="4">
          <cell r="C4" t="str">
            <v>UDP</v>
          </cell>
          <cell r="D4" t="str">
            <v>U.PRIVADA</v>
          </cell>
          <cell r="E4">
            <v>193.50909090909079</v>
          </cell>
          <cell r="F4">
            <v>666.69090909090835</v>
          </cell>
        </row>
        <row r="5">
          <cell r="D5" t="str">
            <v>U.PRIVADA</v>
          </cell>
          <cell r="E5">
            <v>90.499999999999972</v>
          </cell>
          <cell r="F5">
            <v>500.77272727272754</v>
          </cell>
        </row>
        <row r="6">
          <cell r="D6" t="str">
            <v>U.PRIVADA</v>
          </cell>
          <cell r="E6">
            <v>3.9090909090909092</v>
          </cell>
          <cell r="F6">
            <v>93.736363636363677</v>
          </cell>
        </row>
        <row r="7">
          <cell r="D7" t="str">
            <v>U.PRIVADA</v>
          </cell>
          <cell r="E7">
            <v>6.5965909090909092</v>
          </cell>
          <cell r="F7">
            <v>244.51704545454533</v>
          </cell>
        </row>
        <row r="8">
          <cell r="D8" t="str">
            <v>U.PRIVADA</v>
          </cell>
          <cell r="E8">
            <v>200.55136363636345</v>
          </cell>
          <cell r="F8">
            <v>1021.2109090909065</v>
          </cell>
        </row>
        <row r="9">
          <cell r="C9" t="str">
            <v>AHC</v>
          </cell>
          <cell r="D9" t="str">
            <v>U.PRIVADA</v>
          </cell>
          <cell r="E9">
            <v>34.136363636363633</v>
          </cell>
          <cell r="F9">
            <v>108.04545454545458</v>
          </cell>
        </row>
        <row r="10">
          <cell r="D10" t="str">
            <v>U.PRIVADA</v>
          </cell>
          <cell r="E10">
            <v>97.861363636363748</v>
          </cell>
          <cell r="F10">
            <v>1165.0781818181777</v>
          </cell>
        </row>
        <row r="11">
          <cell r="D11" t="str">
            <v>U.PRIVADA</v>
          </cell>
          <cell r="E11">
            <v>3.2045454545454541</v>
          </cell>
          <cell r="F11">
            <v>171.34090909090878</v>
          </cell>
        </row>
        <row r="12">
          <cell r="D12" t="str">
            <v>U.PRIVADA</v>
          </cell>
          <cell r="E12">
            <v>13.434090909090907</v>
          </cell>
          <cell r="F12">
            <v>174.38749999999993</v>
          </cell>
        </row>
        <row r="13">
          <cell r="D13" t="str">
            <v>U.PRIVADA</v>
          </cell>
          <cell r="E13">
            <v>39.459090909090946</v>
          </cell>
          <cell r="F13">
            <v>985.29999999999507</v>
          </cell>
        </row>
        <row r="14">
          <cell r="D14" t="str">
            <v>U.PRIVADA</v>
          </cell>
          <cell r="E14">
            <v>410.34090909090867</v>
          </cell>
          <cell r="F14">
            <v>2154.9090909090855</v>
          </cell>
        </row>
        <row r="15">
          <cell r="D15" t="str">
            <v>U.PRIVADA</v>
          </cell>
          <cell r="E15">
            <v>25.738636363636374</v>
          </cell>
          <cell r="F15">
            <v>351.72940340909031</v>
          </cell>
        </row>
        <row r="16">
          <cell r="D16" t="str">
            <v>U.PRIVADA</v>
          </cell>
          <cell r="E16">
            <v>252.22727272727283</v>
          </cell>
          <cell r="F16">
            <v>497.52272727272737</v>
          </cell>
        </row>
        <row r="17">
          <cell r="D17" t="str">
            <v>U.PRIVADA</v>
          </cell>
          <cell r="E17">
            <v>4.2727272727272716</v>
          </cell>
          <cell r="F17">
            <v>65.318181818181841</v>
          </cell>
        </row>
        <row r="18">
          <cell r="D18" t="str">
            <v>U.PRIVADA</v>
          </cell>
          <cell r="E18">
            <v>7.5369318181818183</v>
          </cell>
          <cell r="F18">
            <v>194.05560458959093</v>
          </cell>
        </row>
        <row r="19">
          <cell r="D19" t="str">
            <v>U.PRIVADA</v>
          </cell>
          <cell r="E19">
            <v>0.59090909090909083</v>
          </cell>
          <cell r="F19">
            <v>14.204545454545453</v>
          </cell>
        </row>
        <row r="20">
          <cell r="C20" t="str">
            <v>UAU</v>
          </cell>
          <cell r="D20" t="str">
            <v>U.PRIVADA</v>
          </cell>
          <cell r="E20">
            <v>193.24454545454458</v>
          </cell>
          <cell r="F20">
            <v>1056.3134090909093</v>
          </cell>
        </row>
        <row r="21">
          <cell r="D21" t="str">
            <v>U.PRIVADA</v>
          </cell>
          <cell r="E21">
            <v>171.86363636363646</v>
          </cell>
          <cell r="F21">
            <v>597.13636363636408</v>
          </cell>
        </row>
        <row r="22">
          <cell r="D22" t="str">
            <v>U.PRIVADA</v>
          </cell>
          <cell r="E22">
            <v>17.09090909090909</v>
          </cell>
          <cell r="F22">
            <v>164.06818181818181</v>
          </cell>
        </row>
        <row r="23">
          <cell r="D23" t="str">
            <v>U.PRIVADA</v>
          </cell>
          <cell r="E23">
            <v>129.97909090909093</v>
          </cell>
          <cell r="F23">
            <v>1825.7750000000035</v>
          </cell>
        </row>
        <row r="24">
          <cell r="D24" t="str">
            <v>U.PRIVADA</v>
          </cell>
          <cell r="E24">
            <v>54.613636363636367</v>
          </cell>
          <cell r="F24">
            <v>277.79545454545473</v>
          </cell>
        </row>
        <row r="25">
          <cell r="D25" t="str">
            <v>U.PRIVADA</v>
          </cell>
          <cell r="E25">
            <v>133.61363636363635</v>
          </cell>
          <cell r="F25">
            <v>808.93181818181654</v>
          </cell>
        </row>
        <row r="26">
          <cell r="C26" t="str">
            <v>UCS</v>
          </cell>
          <cell r="D26" t="str">
            <v>U.PRIVADA</v>
          </cell>
          <cell r="E26">
            <v>4.625</v>
          </cell>
          <cell r="F26">
            <v>205.43409090909105</v>
          </cell>
        </row>
        <row r="27">
          <cell r="D27" t="str">
            <v>U.PRIVADA</v>
          </cell>
          <cell r="E27">
            <v>9.8636363636363633</v>
          </cell>
          <cell r="F27">
            <v>115.95454545454548</v>
          </cell>
        </row>
        <row r="28">
          <cell r="D28" t="str">
            <v>U.PRIVADA</v>
          </cell>
          <cell r="E28">
            <v>0.48863636363636365</v>
          </cell>
          <cell r="F28">
            <v>43.531818181818203</v>
          </cell>
        </row>
        <row r="29">
          <cell r="D29" t="str">
            <v>U.PRIVADA</v>
          </cell>
          <cell r="E29">
            <v>68.727272727272606</v>
          </cell>
          <cell r="F29">
            <v>365.886363636363</v>
          </cell>
        </row>
        <row r="30">
          <cell r="D30" t="str">
            <v>U.PRIVADA</v>
          </cell>
          <cell r="E30">
            <v>13.333454545454545</v>
          </cell>
          <cell r="F30">
            <v>849.37571590909556</v>
          </cell>
        </row>
        <row r="31">
          <cell r="D31" t="str">
            <v>U.PRIVADA</v>
          </cell>
          <cell r="E31">
            <v>6.1818181818181799</v>
          </cell>
          <cell r="F31">
            <v>54.704545454545439</v>
          </cell>
        </row>
        <row r="32">
          <cell r="C32" t="str">
            <v>UAH</v>
          </cell>
          <cell r="D32" t="str">
            <v>U.PRIVADA</v>
          </cell>
          <cell r="E32">
            <v>138.04545454545456</v>
          </cell>
          <cell r="F32">
            <v>252.18181818181813</v>
          </cell>
        </row>
        <row r="33">
          <cell r="C33" t="str">
            <v>UCH</v>
          </cell>
          <cell r="D33" t="str">
            <v>CRUCH-ESTATAL</v>
          </cell>
          <cell r="E33">
            <v>1214.7045454545462</v>
          </cell>
          <cell r="F33">
            <v>2320.3863636363621</v>
          </cell>
        </row>
        <row r="34">
          <cell r="C34" t="str">
            <v>USA</v>
          </cell>
          <cell r="D34" t="str">
            <v>CRUCH-ESTATAL</v>
          </cell>
          <cell r="E34">
            <v>486.57272727272766</v>
          </cell>
          <cell r="F34">
            <v>1161.5409090909136</v>
          </cell>
        </row>
        <row r="35">
          <cell r="C35" t="str">
            <v>UVA</v>
          </cell>
          <cell r="D35" t="str">
            <v>CRUCH-ESTATAL</v>
          </cell>
          <cell r="E35">
            <v>265.54090909090905</v>
          </cell>
          <cell r="F35">
            <v>886.66090909090883</v>
          </cell>
        </row>
        <row r="36">
          <cell r="C36" t="str">
            <v>ANT</v>
          </cell>
          <cell r="D36" t="str">
            <v>CRUCH-ESTATAL</v>
          </cell>
          <cell r="E36">
            <v>149.76704545454544</v>
          </cell>
          <cell r="F36">
            <v>432.02272727272708</v>
          </cell>
        </row>
        <row r="37">
          <cell r="C37" t="str">
            <v>ULS</v>
          </cell>
          <cell r="D37" t="str">
            <v>CRUCH-ESTATAL</v>
          </cell>
          <cell r="E37">
            <v>117.15909090909092</v>
          </cell>
          <cell r="F37">
            <v>360.90909090909048</v>
          </cell>
        </row>
        <row r="38">
          <cell r="C38" t="str">
            <v>UBB</v>
          </cell>
          <cell r="D38" t="str">
            <v>CRUCH-ESTATAL</v>
          </cell>
          <cell r="E38">
            <v>246.56818181818181</v>
          </cell>
          <cell r="F38">
            <v>502.06818181818198</v>
          </cell>
        </row>
        <row r="39">
          <cell r="C39" t="str">
            <v>FRO</v>
          </cell>
          <cell r="D39" t="str">
            <v>CRUCH-ESTATAL</v>
          </cell>
          <cell r="E39">
            <v>216.47727272727266</v>
          </cell>
          <cell r="F39">
            <v>425.7954545454545</v>
          </cell>
        </row>
        <row r="40">
          <cell r="C40" t="str">
            <v>MAG</v>
          </cell>
          <cell r="D40" t="str">
            <v>CRUCH-ESTATAL</v>
          </cell>
          <cell r="E40">
            <v>76.5</v>
          </cell>
          <cell r="F40">
            <v>212.04545454545456</v>
          </cell>
        </row>
        <row r="41">
          <cell r="C41" t="str">
            <v>TAL</v>
          </cell>
          <cell r="D41" t="str">
            <v>CRUCH-ESTATAL</v>
          </cell>
          <cell r="E41">
            <v>257.2045454545455</v>
          </cell>
          <cell r="F41">
            <v>526.9545454545455</v>
          </cell>
        </row>
        <row r="42">
          <cell r="C42" t="str">
            <v>ATA</v>
          </cell>
          <cell r="D42" t="str">
            <v>CRUCH-ESTATAL</v>
          </cell>
          <cell r="E42">
            <v>74</v>
          </cell>
          <cell r="F42">
            <v>331.65909090909088</v>
          </cell>
        </row>
        <row r="43">
          <cell r="C43" t="str">
            <v>UTA</v>
          </cell>
          <cell r="D43" t="str">
            <v>CRUCH-ESTATAL</v>
          </cell>
          <cell r="E43">
            <v>130.22727272727275</v>
          </cell>
          <cell r="F43">
            <v>358.00000000000006</v>
          </cell>
        </row>
        <row r="44">
          <cell r="C44" t="str">
            <v>UAP</v>
          </cell>
          <cell r="D44" t="str">
            <v>CRUCH-ESTATAL</v>
          </cell>
          <cell r="E44">
            <v>81.204545454545411</v>
          </cell>
          <cell r="F44">
            <v>490.5681818181821</v>
          </cell>
        </row>
        <row r="45">
          <cell r="C45" t="str">
            <v>UMC</v>
          </cell>
          <cell r="D45" t="str">
            <v>CRUCH-ESTATAL</v>
          </cell>
          <cell r="E45">
            <v>77.727272727272705</v>
          </cell>
          <cell r="F45">
            <v>313.18181818181819</v>
          </cell>
        </row>
        <row r="46">
          <cell r="C46" t="str">
            <v>UPA</v>
          </cell>
          <cell r="D46" t="str">
            <v>CRUCH-ESTATAL</v>
          </cell>
          <cell r="E46">
            <v>122.67840909090899</v>
          </cell>
          <cell r="F46">
            <v>397.13477272727289</v>
          </cell>
        </row>
        <row r="47">
          <cell r="C47" t="str">
            <v>ULA</v>
          </cell>
          <cell r="D47" t="str">
            <v>CRUCH-ESTATAL</v>
          </cell>
          <cell r="E47">
            <v>108.81818181818181</v>
          </cell>
          <cell r="F47">
            <v>458.9402272727279</v>
          </cell>
        </row>
        <row r="48">
          <cell r="C48" t="str">
            <v>UTM</v>
          </cell>
          <cell r="D48" t="str">
            <v>CRUCH-ESTATAL</v>
          </cell>
          <cell r="E48">
            <v>61.954545454545439</v>
          </cell>
          <cell r="F48">
            <v>339.02272727272754</v>
          </cell>
        </row>
        <row r="49">
          <cell r="C49" t="str">
            <v>PUC</v>
          </cell>
          <cell r="D49" t="str">
            <v>CRUCH-PRIVADA</v>
          </cell>
          <cell r="E49">
            <v>1059.6818181818178</v>
          </cell>
          <cell r="F49">
            <v>2242.8409090909086</v>
          </cell>
        </row>
        <row r="50">
          <cell r="C50" t="str">
            <v>UCO</v>
          </cell>
          <cell r="D50" t="str">
            <v>CRUCH-PRIVADA</v>
          </cell>
          <cell r="E50">
            <v>771.04545454545428</v>
          </cell>
          <cell r="F50">
            <v>1464.8409090909088</v>
          </cell>
        </row>
        <row r="51">
          <cell r="C51" t="str">
            <v>FSM</v>
          </cell>
          <cell r="D51" t="str">
            <v>CRUCH-PRIVADA</v>
          </cell>
          <cell r="E51">
            <v>269.04562500000026</v>
          </cell>
          <cell r="F51">
            <v>697.47744318181708</v>
          </cell>
        </row>
        <row r="52">
          <cell r="C52" t="str">
            <v>UCV</v>
          </cell>
          <cell r="D52" t="str">
            <v>CRUCH-PRIVADA</v>
          </cell>
          <cell r="E52">
            <v>417.15340909090895</v>
          </cell>
          <cell r="F52">
            <v>659.86931818181836</v>
          </cell>
        </row>
        <row r="53">
          <cell r="C53" t="str">
            <v>AUS</v>
          </cell>
          <cell r="D53" t="str">
            <v>CRUCH-PRIVADA</v>
          </cell>
          <cell r="E53">
            <v>410.68181818181813</v>
          </cell>
          <cell r="F53">
            <v>918.22727272727263</v>
          </cell>
        </row>
        <row r="54">
          <cell r="C54" t="str">
            <v>UCN</v>
          </cell>
          <cell r="D54" t="str">
            <v>CRUCH-PRIVADA</v>
          </cell>
          <cell r="E54">
            <v>218.44090909090912</v>
          </cell>
          <cell r="F54">
            <v>635.52803030318205</v>
          </cell>
        </row>
        <row r="55">
          <cell r="C55" t="str">
            <v>UCM</v>
          </cell>
          <cell r="D55" t="str">
            <v>CRUCH-PRIVADA</v>
          </cell>
          <cell r="E55">
            <v>146.59090909090909</v>
          </cell>
          <cell r="F55">
            <v>411.21363636363645</v>
          </cell>
        </row>
        <row r="56">
          <cell r="C56" t="str">
            <v>USC</v>
          </cell>
          <cell r="D56" t="str">
            <v>CRUCH-PRIVADA</v>
          </cell>
          <cell r="E56">
            <v>149.70454545454538</v>
          </cell>
          <cell r="F56">
            <v>500.5227272727268</v>
          </cell>
        </row>
        <row r="57">
          <cell r="C57" t="str">
            <v>UCT</v>
          </cell>
          <cell r="D57" t="str">
            <v>CRUCH-PRIVADA</v>
          </cell>
          <cell r="E57">
            <v>161.28409090909088</v>
          </cell>
          <cell r="F57">
            <v>486.65795454545474</v>
          </cell>
        </row>
        <row r="58">
          <cell r="D58" t="str">
            <v>U.PRIVADA</v>
          </cell>
          <cell r="E58">
            <v>2.0909090909090908</v>
          </cell>
          <cell r="F58">
            <v>14.681818181818182</v>
          </cell>
        </row>
        <row r="59">
          <cell r="C59" t="str">
            <v>URO</v>
          </cell>
          <cell r="D59" t="str">
            <v>CRUCH-ESTATAL</v>
          </cell>
          <cell r="E59">
            <v>47.534090909090885</v>
          </cell>
          <cell r="F59">
            <v>72.249999999999986</v>
          </cell>
        </row>
        <row r="60">
          <cell r="C60" t="str">
            <v>URY</v>
          </cell>
          <cell r="D60" t="str">
            <v>CRUCH-ESTATAL</v>
          </cell>
          <cell r="E60">
            <v>17.34090909090909</v>
          </cell>
          <cell r="F60">
            <v>23.65443181818182</v>
          </cell>
        </row>
      </sheetData>
      <sheetData sheetId="2">
        <row r="2">
          <cell r="D2" t="str">
            <v>U.PRIVADA</v>
          </cell>
          <cell r="E2">
            <v>9</v>
          </cell>
          <cell r="F2">
            <v>51</v>
          </cell>
          <cell r="G2">
            <v>0.17647058823529413</v>
          </cell>
          <cell r="H2">
            <v>4</v>
          </cell>
          <cell r="I2">
            <v>41</v>
          </cell>
        </row>
        <row r="3">
          <cell r="C3" t="str">
            <v>UFT</v>
          </cell>
          <cell r="D3" t="str">
            <v>U.PRIVADA</v>
          </cell>
          <cell r="E3">
            <v>28</v>
          </cell>
          <cell r="F3">
            <v>122</v>
          </cell>
          <cell r="G3">
            <v>0.22950819672131148</v>
          </cell>
          <cell r="H3">
            <v>41</v>
          </cell>
          <cell r="I3">
            <v>146</v>
          </cell>
        </row>
        <row r="4">
          <cell r="C4" t="str">
            <v>UDP</v>
          </cell>
          <cell r="D4" t="str">
            <v>U.PRIVADA</v>
          </cell>
          <cell r="E4">
            <v>155</v>
          </cell>
          <cell r="F4">
            <v>326</v>
          </cell>
          <cell r="G4">
            <v>0.47546012269938648</v>
          </cell>
          <cell r="H4">
            <v>156</v>
          </cell>
          <cell r="I4">
            <v>309</v>
          </cell>
        </row>
        <row r="5">
          <cell r="D5" t="str">
            <v>U.PRIVADA</v>
          </cell>
          <cell r="E5">
            <v>70</v>
          </cell>
          <cell r="F5">
            <v>285</v>
          </cell>
          <cell r="G5">
            <v>0.24561403508771928</v>
          </cell>
          <cell r="H5">
            <v>59</v>
          </cell>
          <cell r="I5">
            <v>282</v>
          </cell>
        </row>
        <row r="6">
          <cell r="D6" t="str">
            <v>U.PRIVADA</v>
          </cell>
          <cell r="E6">
            <v>2</v>
          </cell>
          <cell r="F6">
            <v>9</v>
          </cell>
          <cell r="G6">
            <v>0.22222222222222221</v>
          </cell>
          <cell r="H6">
            <v>1</v>
          </cell>
          <cell r="I6">
            <v>13</v>
          </cell>
        </row>
        <row r="7">
          <cell r="D7" t="str">
            <v>U.PRIVADA</v>
          </cell>
          <cell r="E7">
            <v>0</v>
          </cell>
          <cell r="F7">
            <v>24</v>
          </cell>
          <cell r="G7">
            <v>0</v>
          </cell>
          <cell r="H7">
            <v>2</v>
          </cell>
          <cell r="I7">
            <v>57</v>
          </cell>
        </row>
        <row r="8">
          <cell r="D8" t="str">
            <v>U.PRIVADA</v>
          </cell>
          <cell r="E8">
            <v>174</v>
          </cell>
          <cell r="F8">
            <v>549</v>
          </cell>
          <cell r="G8">
            <v>0.31693989071038253</v>
          </cell>
          <cell r="H8">
            <v>194</v>
          </cell>
          <cell r="I8">
            <v>580</v>
          </cell>
        </row>
        <row r="9">
          <cell r="C9" t="str">
            <v>AHC</v>
          </cell>
          <cell r="D9" t="str">
            <v>U.PRIVADA</v>
          </cell>
          <cell r="E9">
            <v>21</v>
          </cell>
          <cell r="F9">
            <v>52</v>
          </cell>
          <cell r="G9">
            <v>0.40384615384615385</v>
          </cell>
          <cell r="H9">
            <v>34</v>
          </cell>
          <cell r="I9">
            <v>82</v>
          </cell>
        </row>
        <row r="10">
          <cell r="D10" t="str">
            <v>U.PRIVADA</v>
          </cell>
          <cell r="E10">
            <v>62</v>
          </cell>
          <cell r="F10">
            <v>521</v>
          </cell>
          <cell r="G10">
            <v>0.11900191938579655</v>
          </cell>
          <cell r="H10">
            <v>69</v>
          </cell>
          <cell r="I10">
            <v>586</v>
          </cell>
        </row>
        <row r="11">
          <cell r="D11" t="str">
            <v>U.PRIVADA</v>
          </cell>
          <cell r="E11">
            <v>1</v>
          </cell>
          <cell r="F11">
            <v>52</v>
          </cell>
          <cell r="G11">
            <v>1.9230769230769232E-2</v>
          </cell>
          <cell r="H11">
            <v>2</v>
          </cell>
          <cell r="I11">
            <v>46</v>
          </cell>
        </row>
        <row r="12">
          <cell r="D12" t="str">
            <v>U.PRIVADA</v>
          </cell>
          <cell r="E12">
            <v>7</v>
          </cell>
          <cell r="F12">
            <v>82</v>
          </cell>
          <cell r="G12">
            <v>8.5365853658536592E-2</v>
          </cell>
          <cell r="H12">
            <v>15</v>
          </cell>
          <cell r="I12">
            <v>91</v>
          </cell>
        </row>
        <row r="13">
          <cell r="D13" t="str">
            <v>U.PRIVADA</v>
          </cell>
          <cell r="E13">
            <v>25</v>
          </cell>
          <cell r="F13">
            <v>518</v>
          </cell>
          <cell r="G13">
            <v>4.8262548262548263E-2</v>
          </cell>
          <cell r="H13">
            <v>28</v>
          </cell>
          <cell r="I13">
            <v>524</v>
          </cell>
        </row>
        <row r="14">
          <cell r="D14" t="str">
            <v>U.PRIVADA</v>
          </cell>
          <cell r="E14">
            <v>317</v>
          </cell>
          <cell r="F14">
            <v>1082</v>
          </cell>
          <cell r="G14">
            <v>0.29297597042513862</v>
          </cell>
          <cell r="H14">
            <v>347</v>
          </cell>
          <cell r="I14">
            <v>1166</v>
          </cell>
        </row>
        <row r="15">
          <cell r="D15" t="str">
            <v>U.PRIVADA</v>
          </cell>
          <cell r="E15">
            <v>20</v>
          </cell>
          <cell r="F15">
            <v>187</v>
          </cell>
          <cell r="G15">
            <v>0.10695187165775401</v>
          </cell>
          <cell r="H15">
            <v>30</v>
          </cell>
          <cell r="I15">
            <v>252</v>
          </cell>
        </row>
        <row r="16">
          <cell r="D16" t="str">
            <v>U.PRIVADA</v>
          </cell>
          <cell r="E16">
            <v>221</v>
          </cell>
          <cell r="F16">
            <v>340</v>
          </cell>
          <cell r="G16">
            <v>0.65</v>
          </cell>
          <cell r="H16">
            <v>241</v>
          </cell>
          <cell r="I16">
            <v>356</v>
          </cell>
        </row>
        <row r="17">
          <cell r="D17" t="str">
            <v>U.PRIVADA</v>
          </cell>
          <cell r="E17">
            <v>2</v>
          </cell>
          <cell r="F17">
            <v>25</v>
          </cell>
          <cell r="G17">
            <v>0.08</v>
          </cell>
          <cell r="H17"/>
          <cell r="I17"/>
        </row>
        <row r="18">
          <cell r="D18" t="str">
            <v>U.PRIVADA</v>
          </cell>
          <cell r="E18">
            <v>4</v>
          </cell>
          <cell r="F18">
            <v>61</v>
          </cell>
          <cell r="G18">
            <v>6.5573770491803282E-2</v>
          </cell>
          <cell r="H18">
            <v>0</v>
          </cell>
          <cell r="I18">
            <v>34</v>
          </cell>
        </row>
        <row r="19">
          <cell r="D19" t="str">
            <v>U.PRIVADA</v>
          </cell>
          <cell r="E19"/>
          <cell r="F19"/>
          <cell r="G19"/>
          <cell r="H19">
            <v>0</v>
          </cell>
          <cell r="I19">
            <v>1</v>
          </cell>
        </row>
        <row r="20">
          <cell r="C20" t="str">
            <v>UAU</v>
          </cell>
          <cell r="D20" t="str">
            <v>U.PRIVADA</v>
          </cell>
          <cell r="E20">
            <v>128</v>
          </cell>
          <cell r="F20">
            <v>569</v>
          </cell>
          <cell r="G20">
            <v>0.22495606326889278</v>
          </cell>
          <cell r="H20">
            <v>186</v>
          </cell>
          <cell r="I20">
            <v>668</v>
          </cell>
        </row>
        <row r="21">
          <cell r="D21" t="str">
            <v>U.PRIVADA</v>
          </cell>
          <cell r="E21">
            <v>124</v>
          </cell>
          <cell r="F21">
            <v>193</v>
          </cell>
          <cell r="G21">
            <v>0.6424870466321243</v>
          </cell>
          <cell r="H21">
            <v>129</v>
          </cell>
          <cell r="I21">
            <v>208</v>
          </cell>
        </row>
        <row r="22">
          <cell r="D22" t="str">
            <v>U.PRIVADA</v>
          </cell>
          <cell r="E22">
            <v>14</v>
          </cell>
          <cell r="F22">
            <v>118</v>
          </cell>
          <cell r="G22">
            <v>0.11864406779661017</v>
          </cell>
          <cell r="H22">
            <v>13</v>
          </cell>
          <cell r="I22">
            <v>139</v>
          </cell>
        </row>
        <row r="23">
          <cell r="D23" t="str">
            <v>U.PRIVADA</v>
          </cell>
          <cell r="E23">
            <v>84</v>
          </cell>
          <cell r="F23">
            <v>743</v>
          </cell>
          <cell r="G23">
            <v>0.11305518169582772</v>
          </cell>
          <cell r="H23">
            <v>101</v>
          </cell>
          <cell r="I23">
            <v>793</v>
          </cell>
        </row>
        <row r="24">
          <cell r="D24" t="str">
            <v>U.PRIVADA</v>
          </cell>
          <cell r="E24">
            <v>42</v>
          </cell>
          <cell r="F24">
            <v>141</v>
          </cell>
          <cell r="G24">
            <v>0.2978723404255319</v>
          </cell>
          <cell r="H24">
            <v>43</v>
          </cell>
          <cell r="I24">
            <v>131</v>
          </cell>
        </row>
        <row r="25">
          <cell r="D25" t="str">
            <v>U.PRIVADA</v>
          </cell>
          <cell r="E25">
            <v>91</v>
          </cell>
          <cell r="F25">
            <v>303</v>
          </cell>
          <cell r="G25">
            <v>0.30033003300330036</v>
          </cell>
          <cell r="H25">
            <v>99</v>
          </cell>
          <cell r="I25">
            <v>341</v>
          </cell>
        </row>
        <row r="26">
          <cell r="C26" t="str">
            <v>UCS</v>
          </cell>
          <cell r="D26" t="str">
            <v>U.PRIVADA</v>
          </cell>
          <cell r="E26">
            <v>3</v>
          </cell>
          <cell r="F26">
            <v>62</v>
          </cell>
          <cell r="G26">
            <v>4.8387096774193547E-2</v>
          </cell>
          <cell r="H26">
            <v>4</v>
          </cell>
          <cell r="I26">
            <v>58</v>
          </cell>
        </row>
        <row r="27">
          <cell r="D27" t="str">
            <v>U.PRIVADA</v>
          </cell>
          <cell r="E27">
            <v>7</v>
          </cell>
          <cell r="F27">
            <v>66</v>
          </cell>
          <cell r="G27">
            <v>0.10606060606060606</v>
          </cell>
          <cell r="H27"/>
          <cell r="I27"/>
        </row>
        <row r="28">
          <cell r="D28" t="str">
            <v>U.PRIVADA</v>
          </cell>
          <cell r="E28">
            <v>0</v>
          </cell>
          <cell r="F28">
            <v>8</v>
          </cell>
          <cell r="G28">
            <v>0</v>
          </cell>
          <cell r="H28">
            <v>0</v>
          </cell>
          <cell r="I28">
            <v>3</v>
          </cell>
        </row>
        <row r="29">
          <cell r="D29" t="str">
            <v>U.PRIVADA</v>
          </cell>
          <cell r="E29">
            <v>42</v>
          </cell>
          <cell r="F29">
            <v>222</v>
          </cell>
          <cell r="G29">
            <v>0.1891891891891892</v>
          </cell>
          <cell r="H29">
            <v>49</v>
          </cell>
          <cell r="I29">
            <v>230</v>
          </cell>
        </row>
        <row r="30">
          <cell r="D30" t="str">
            <v>U.PRIVADA</v>
          </cell>
          <cell r="E30">
            <v>0</v>
          </cell>
          <cell r="F30">
            <v>21</v>
          </cell>
          <cell r="G30">
            <v>0</v>
          </cell>
          <cell r="H30">
            <v>2</v>
          </cell>
          <cell r="I30">
            <v>33</v>
          </cell>
        </row>
        <row r="31">
          <cell r="D31" t="str">
            <v>U.PRIVADA</v>
          </cell>
          <cell r="E31">
            <v>3</v>
          </cell>
          <cell r="F31">
            <v>27</v>
          </cell>
          <cell r="G31">
            <v>0.1111111111111111</v>
          </cell>
          <cell r="H31">
            <v>7</v>
          </cell>
          <cell r="I31">
            <v>42</v>
          </cell>
        </row>
        <row r="32">
          <cell r="C32" t="str">
            <v>UAH</v>
          </cell>
          <cell r="D32" t="str">
            <v>U.PRIVADA</v>
          </cell>
          <cell r="E32">
            <v>128</v>
          </cell>
          <cell r="F32">
            <v>167</v>
          </cell>
          <cell r="G32">
            <v>0.76646706586826352</v>
          </cell>
          <cell r="H32">
            <v>130</v>
          </cell>
          <cell r="I32">
            <v>172</v>
          </cell>
        </row>
        <row r="33">
          <cell r="C33" t="str">
            <v>UCH</v>
          </cell>
          <cell r="D33" t="str">
            <v>CRUCH-ESTATAL</v>
          </cell>
          <cell r="E33">
            <v>1076</v>
          </cell>
          <cell r="F33">
            <v>1579</v>
          </cell>
          <cell r="G33">
            <v>0.681443951868271</v>
          </cell>
          <cell r="H33">
            <v>1132</v>
          </cell>
          <cell r="I33">
            <v>1612</v>
          </cell>
        </row>
        <row r="34">
          <cell r="C34" t="str">
            <v>USA</v>
          </cell>
          <cell r="D34" t="str">
            <v>CRUCH-ESTATAL</v>
          </cell>
          <cell r="E34">
            <v>426</v>
          </cell>
          <cell r="F34">
            <v>653</v>
          </cell>
          <cell r="G34">
            <v>0.65237366003062791</v>
          </cell>
          <cell r="H34">
            <v>415</v>
          </cell>
          <cell r="I34">
            <v>638</v>
          </cell>
        </row>
        <row r="35">
          <cell r="C35" t="str">
            <v>UVA</v>
          </cell>
          <cell r="D35" t="str">
            <v>CRUCH-ESTATAL</v>
          </cell>
          <cell r="E35">
            <v>238</v>
          </cell>
          <cell r="F35">
            <v>564</v>
          </cell>
          <cell r="G35">
            <v>0.42198581560283688</v>
          </cell>
          <cell r="H35">
            <v>257</v>
          </cell>
          <cell r="I35">
            <v>556</v>
          </cell>
        </row>
        <row r="36">
          <cell r="C36" t="str">
            <v>ANT</v>
          </cell>
          <cell r="D36" t="str">
            <v>CRUCH-ESTATAL</v>
          </cell>
          <cell r="E36">
            <v>147</v>
          </cell>
          <cell r="F36">
            <v>333</v>
          </cell>
          <cell r="G36">
            <v>0.44144144144144143</v>
          </cell>
          <cell r="H36">
            <v>153</v>
          </cell>
          <cell r="I36">
            <v>322</v>
          </cell>
        </row>
        <row r="37">
          <cell r="C37" t="str">
            <v>ULS</v>
          </cell>
          <cell r="D37" t="str">
            <v>CRUCH-ESTATAL</v>
          </cell>
          <cell r="E37">
            <v>105</v>
          </cell>
          <cell r="F37">
            <v>213</v>
          </cell>
          <cell r="G37">
            <v>0.49295774647887325</v>
          </cell>
          <cell r="H37">
            <v>108</v>
          </cell>
          <cell r="I37">
            <v>212</v>
          </cell>
        </row>
        <row r="38">
          <cell r="C38" t="str">
            <v>UBB</v>
          </cell>
          <cell r="D38" t="str">
            <v>CRUCH-ESTATAL</v>
          </cell>
          <cell r="E38">
            <v>241</v>
          </cell>
          <cell r="F38">
            <v>459</v>
          </cell>
          <cell r="G38">
            <v>0.52505446623093677</v>
          </cell>
          <cell r="H38">
            <v>257</v>
          </cell>
          <cell r="I38">
            <v>466</v>
          </cell>
        </row>
        <row r="39">
          <cell r="C39" t="str">
            <v>FRO</v>
          </cell>
          <cell r="D39" t="str">
            <v>CRUCH-ESTATAL</v>
          </cell>
          <cell r="E39">
            <v>192</v>
          </cell>
          <cell r="F39">
            <v>321</v>
          </cell>
          <cell r="G39">
            <v>0.59813084112149528</v>
          </cell>
          <cell r="H39">
            <v>208</v>
          </cell>
          <cell r="I39">
            <v>317</v>
          </cell>
        </row>
        <row r="40">
          <cell r="C40" t="str">
            <v>MAG</v>
          </cell>
          <cell r="D40" t="str">
            <v>CRUCH-ESTATAL</v>
          </cell>
          <cell r="E40">
            <v>74</v>
          </cell>
          <cell r="F40">
            <v>200</v>
          </cell>
          <cell r="G40">
            <v>0.37</v>
          </cell>
          <cell r="H40">
            <v>81</v>
          </cell>
          <cell r="I40">
            <v>200</v>
          </cell>
        </row>
        <row r="41">
          <cell r="C41" t="str">
            <v>TAL</v>
          </cell>
          <cell r="D41" t="str">
            <v>CRUCH-ESTATAL</v>
          </cell>
          <cell r="E41">
            <v>243</v>
          </cell>
          <cell r="F41">
            <v>419</v>
          </cell>
          <cell r="G41">
            <v>0.57995226730310268</v>
          </cell>
          <cell r="H41">
            <v>261</v>
          </cell>
          <cell r="I41">
            <v>474</v>
          </cell>
        </row>
        <row r="42">
          <cell r="C42" t="str">
            <v>ATA</v>
          </cell>
          <cell r="D42" t="str">
            <v>CRUCH-ESTATAL</v>
          </cell>
          <cell r="E42">
            <v>74</v>
          </cell>
          <cell r="F42">
            <v>328</v>
          </cell>
          <cell r="G42">
            <v>0.22560975609756098</v>
          </cell>
          <cell r="H42">
            <v>91</v>
          </cell>
          <cell r="I42">
            <v>331</v>
          </cell>
        </row>
        <row r="43">
          <cell r="C43" t="str">
            <v>UTA</v>
          </cell>
          <cell r="D43" t="str">
            <v>CRUCH-ESTATAL</v>
          </cell>
          <cell r="E43">
            <v>128</v>
          </cell>
          <cell r="F43">
            <v>319</v>
          </cell>
          <cell r="G43">
            <v>0.40125391849529779</v>
          </cell>
          <cell r="H43">
            <v>132</v>
          </cell>
          <cell r="I43">
            <v>305</v>
          </cell>
        </row>
        <row r="44">
          <cell r="C44" t="str">
            <v>UAP</v>
          </cell>
          <cell r="D44" t="str">
            <v>CRUCH-ESTATAL</v>
          </cell>
          <cell r="E44">
            <v>70</v>
          </cell>
          <cell r="F44">
            <v>311</v>
          </cell>
          <cell r="G44">
            <v>0.22508038585209003</v>
          </cell>
          <cell r="H44">
            <v>77</v>
          </cell>
          <cell r="I44">
            <v>309</v>
          </cell>
        </row>
        <row r="45">
          <cell r="C45" t="str">
            <v>UMC</v>
          </cell>
          <cell r="D45" t="str">
            <v>CRUCH-ESTATAL</v>
          </cell>
          <cell r="E45">
            <v>67</v>
          </cell>
          <cell r="F45">
            <v>229</v>
          </cell>
          <cell r="G45">
            <v>0.29257641921397382</v>
          </cell>
          <cell r="H45">
            <v>70</v>
          </cell>
          <cell r="I45">
            <v>231</v>
          </cell>
        </row>
        <row r="46">
          <cell r="C46" t="str">
            <v>UPA</v>
          </cell>
          <cell r="D46" t="str">
            <v>CRUCH-ESTATAL</v>
          </cell>
          <cell r="E46">
            <v>105</v>
          </cell>
          <cell r="F46">
            <v>289</v>
          </cell>
          <cell r="G46">
            <v>0.36332179930795849</v>
          </cell>
          <cell r="H46">
            <v>118</v>
          </cell>
          <cell r="I46">
            <v>283</v>
          </cell>
        </row>
        <row r="47">
          <cell r="C47" t="str">
            <v>ULA</v>
          </cell>
          <cell r="D47" t="str">
            <v>CRUCH-ESTATAL</v>
          </cell>
          <cell r="E47">
            <v>104</v>
          </cell>
          <cell r="F47">
            <v>325</v>
          </cell>
          <cell r="G47">
            <v>0.32</v>
          </cell>
          <cell r="H47">
            <v>116</v>
          </cell>
          <cell r="I47">
            <v>344</v>
          </cell>
        </row>
        <row r="48">
          <cell r="C48" t="str">
            <v>UTM</v>
          </cell>
          <cell r="D48" t="str">
            <v>CRUCH-ESTATAL</v>
          </cell>
          <cell r="E48">
            <v>50</v>
          </cell>
          <cell r="F48">
            <v>197</v>
          </cell>
          <cell r="G48">
            <v>0.25380710659898476</v>
          </cell>
          <cell r="H48">
            <v>68</v>
          </cell>
          <cell r="I48">
            <v>207</v>
          </cell>
        </row>
        <row r="49">
          <cell r="C49" t="str">
            <v>PUC</v>
          </cell>
          <cell r="D49" t="str">
            <v>CRUCH-PRIVADA</v>
          </cell>
          <cell r="E49">
            <v>931</v>
          </cell>
          <cell r="F49">
            <v>1572</v>
          </cell>
          <cell r="G49">
            <v>0.59223918575063617</v>
          </cell>
          <cell r="H49">
            <v>948</v>
          </cell>
          <cell r="I49">
            <v>1572</v>
          </cell>
        </row>
        <row r="50">
          <cell r="C50" t="str">
            <v>UCO</v>
          </cell>
          <cell r="D50" t="str">
            <v>CRUCH-PRIVADA</v>
          </cell>
          <cell r="E50">
            <v>721</v>
          </cell>
          <cell r="F50">
            <v>1154</v>
          </cell>
          <cell r="G50">
            <v>0.62478336221837083</v>
          </cell>
          <cell r="H50">
            <v>758</v>
          </cell>
          <cell r="I50">
            <v>1171</v>
          </cell>
        </row>
        <row r="51">
          <cell r="C51" t="str">
            <v>FSM</v>
          </cell>
          <cell r="D51" t="str">
            <v>CRUCH-PRIVADA</v>
          </cell>
          <cell r="E51">
            <v>248</v>
          </cell>
          <cell r="F51">
            <v>476</v>
          </cell>
          <cell r="G51">
            <v>0.52100840336134457</v>
          </cell>
          <cell r="H51">
            <v>289</v>
          </cell>
          <cell r="I51">
            <v>524</v>
          </cell>
        </row>
        <row r="52">
          <cell r="C52" t="str">
            <v>UCV</v>
          </cell>
          <cell r="D52" t="str">
            <v>CRUCH-PRIVADA</v>
          </cell>
          <cell r="E52">
            <v>401</v>
          </cell>
          <cell r="F52">
            <v>522</v>
          </cell>
          <cell r="G52">
            <v>0.76819923371647514</v>
          </cell>
          <cell r="H52">
            <v>404</v>
          </cell>
          <cell r="I52">
            <v>523</v>
          </cell>
        </row>
        <row r="53">
          <cell r="C53" t="str">
            <v>AUS</v>
          </cell>
          <cell r="D53" t="str">
            <v>CRUCH-PRIVADA</v>
          </cell>
          <cell r="E53">
            <v>395</v>
          </cell>
          <cell r="F53">
            <v>748</v>
          </cell>
          <cell r="G53">
            <v>0.52807486631016043</v>
          </cell>
          <cell r="H53">
            <v>426</v>
          </cell>
          <cell r="I53">
            <v>765</v>
          </cell>
        </row>
        <row r="54">
          <cell r="C54" t="str">
            <v>UCN</v>
          </cell>
          <cell r="D54" t="str">
            <v>CRUCH-PRIVADA</v>
          </cell>
          <cell r="E54">
            <v>213</v>
          </cell>
          <cell r="F54">
            <v>450</v>
          </cell>
          <cell r="G54">
            <v>0.47333333333333333</v>
          </cell>
          <cell r="H54">
            <v>215</v>
          </cell>
          <cell r="I54">
            <v>453</v>
          </cell>
        </row>
        <row r="55">
          <cell r="C55" t="str">
            <v>UCM</v>
          </cell>
          <cell r="D55" t="str">
            <v>CRUCH-PRIVADA</v>
          </cell>
          <cell r="E55">
            <v>140</v>
          </cell>
          <cell r="F55">
            <v>295</v>
          </cell>
          <cell r="G55">
            <v>0.47457627118644069</v>
          </cell>
          <cell r="H55">
            <v>149</v>
          </cell>
          <cell r="I55">
            <v>306</v>
          </cell>
        </row>
        <row r="56">
          <cell r="C56" t="str">
            <v>USC</v>
          </cell>
          <cell r="D56" t="str">
            <v>CRUCH-PRIVADA</v>
          </cell>
          <cell r="E56">
            <v>137</v>
          </cell>
          <cell r="F56">
            <v>300</v>
          </cell>
          <cell r="G56">
            <v>0.45666666666666667</v>
          </cell>
          <cell r="H56">
            <v>161</v>
          </cell>
          <cell r="I56">
            <v>331</v>
          </cell>
        </row>
        <row r="57">
          <cell r="C57" t="str">
            <v>UCT</v>
          </cell>
          <cell r="D57" t="str">
            <v>CRUCH-PRIVADA</v>
          </cell>
          <cell r="E57">
            <v>154</v>
          </cell>
          <cell r="F57">
            <v>335</v>
          </cell>
          <cell r="G57">
            <v>0.45970149253731341</v>
          </cell>
          <cell r="H57">
            <v>161</v>
          </cell>
          <cell r="I57">
            <v>346</v>
          </cell>
        </row>
        <row r="58">
          <cell r="D58" t="str">
            <v>U.PRIVADA</v>
          </cell>
          <cell r="E58">
            <v>1</v>
          </cell>
          <cell r="F58">
            <v>4</v>
          </cell>
          <cell r="G58">
            <v>0.25</v>
          </cell>
          <cell r="H58">
            <v>1</v>
          </cell>
          <cell r="I58">
            <v>3</v>
          </cell>
        </row>
        <row r="59">
          <cell r="C59" t="str">
            <v>URO</v>
          </cell>
          <cell r="D59" t="str">
            <v>CRUCH-ESTATAL</v>
          </cell>
          <cell r="E59">
            <v>45</v>
          </cell>
          <cell r="F59">
            <v>55</v>
          </cell>
          <cell r="G59">
            <v>0.81818181818181823</v>
          </cell>
          <cell r="H59">
            <v>55</v>
          </cell>
          <cell r="I59">
            <v>57</v>
          </cell>
        </row>
        <row r="60">
          <cell r="C60" t="str">
            <v>URY</v>
          </cell>
          <cell r="D60" t="str">
            <v>CRUCH-ESTATAL</v>
          </cell>
          <cell r="E60">
            <v>17</v>
          </cell>
          <cell r="F60">
            <v>22</v>
          </cell>
          <cell r="G60">
            <v>0.77272727272727271</v>
          </cell>
          <cell r="H60">
            <v>19</v>
          </cell>
          <cell r="I60">
            <v>24</v>
          </cell>
        </row>
      </sheetData>
      <sheetData sheetId="3">
        <row r="2">
          <cell r="D2" t="str">
            <v>U.PRIVADA</v>
          </cell>
          <cell r="E2">
            <v>13.234090909090911</v>
          </cell>
          <cell r="F2">
            <v>49.719545454545418</v>
          </cell>
          <cell r="G2">
            <v>5.4545454545454543E-2</v>
          </cell>
          <cell r="H2">
            <v>93.102499999999964</v>
          </cell>
        </row>
        <row r="3">
          <cell r="C3" t="str">
            <v>UFT</v>
          </cell>
          <cell r="D3" t="str">
            <v>U.PRIVADA</v>
          </cell>
          <cell r="E3">
            <v>51.859005681818211</v>
          </cell>
          <cell r="F3">
            <v>136.15769886363648</v>
          </cell>
          <cell r="G3">
            <v>49.563636363636363</v>
          </cell>
          <cell r="H3">
            <v>384.01133522727253</v>
          </cell>
        </row>
        <row r="4">
          <cell r="C4" t="str">
            <v>UDP</v>
          </cell>
          <cell r="D4" t="str">
            <v>U.PRIVADA</v>
          </cell>
          <cell r="E4">
            <v>193.50909090909079</v>
          </cell>
          <cell r="F4">
            <v>255.23409090909044</v>
          </cell>
          <cell r="G4">
            <v>63.197727272727334</v>
          </cell>
          <cell r="H4">
            <v>666.69090909090835</v>
          </cell>
        </row>
        <row r="5">
          <cell r="D5" t="str">
            <v>U.PRIVADA</v>
          </cell>
          <cell r="E5">
            <v>90.499999999999972</v>
          </cell>
          <cell r="F5">
            <v>274.54545454545485</v>
          </cell>
          <cell r="G5">
            <v>0.11363636363636363</v>
          </cell>
          <cell r="H5">
            <v>500.77272727272754</v>
          </cell>
        </row>
        <row r="6">
          <cell r="D6" t="str">
            <v>U.PRIVADA</v>
          </cell>
          <cell r="E6">
            <v>3.9090909090909092</v>
          </cell>
          <cell r="F6">
            <v>21.42045454545455</v>
          </cell>
          <cell r="G6">
            <v>4.7499999999999991</v>
          </cell>
          <cell r="H6">
            <v>93.736363636363677</v>
          </cell>
        </row>
        <row r="7">
          <cell r="D7" t="str">
            <v>U.PRIVADA</v>
          </cell>
          <cell r="E7">
            <v>6.5965909090909092</v>
          </cell>
          <cell r="F7">
            <v>65.215909090909051</v>
          </cell>
          <cell r="G7">
            <v>29.455681818181809</v>
          </cell>
          <cell r="H7">
            <v>244.51704545454533</v>
          </cell>
        </row>
        <row r="8">
          <cell r="D8" t="str">
            <v>U.PRIVADA</v>
          </cell>
          <cell r="E8">
            <v>200.55136363636345</v>
          </cell>
          <cell r="F8">
            <v>408.49113636363455</v>
          </cell>
          <cell r="G8">
            <v>77.248863636363623</v>
          </cell>
          <cell r="H8">
            <v>1021.2109090909065</v>
          </cell>
        </row>
        <row r="9">
          <cell r="C9" t="str">
            <v>AHC</v>
          </cell>
          <cell r="D9" t="str">
            <v>U.PRIVADA</v>
          </cell>
          <cell r="E9">
            <v>34.136363636363633</v>
          </cell>
          <cell r="F9">
            <v>42.659090909090928</v>
          </cell>
          <cell r="G9">
            <v>0.43181818181818182</v>
          </cell>
          <cell r="H9">
            <v>108.04545454545458</v>
          </cell>
        </row>
        <row r="10">
          <cell r="D10" t="str">
            <v>U.PRIVADA</v>
          </cell>
          <cell r="E10">
            <v>97.861363636363748</v>
          </cell>
          <cell r="F10">
            <v>477.94454545454261</v>
          </cell>
          <cell r="G10">
            <v>0.38545454545454549</v>
          </cell>
          <cell r="H10">
            <v>1165.0781818181777</v>
          </cell>
        </row>
        <row r="11">
          <cell r="D11" t="str">
            <v>U.PRIVADA</v>
          </cell>
          <cell r="E11">
            <v>3.2045454545454541</v>
          </cell>
          <cell r="F11">
            <v>46.909090909090878</v>
          </cell>
          <cell r="G11">
            <v>0</v>
          </cell>
          <cell r="H11">
            <v>171.34090909090878</v>
          </cell>
        </row>
        <row r="12">
          <cell r="D12" t="str">
            <v>U.PRIVADA</v>
          </cell>
          <cell r="E12">
            <v>13.434090909090907</v>
          </cell>
          <cell r="F12">
            <v>88.696590909090929</v>
          </cell>
          <cell r="G12">
            <v>0</v>
          </cell>
          <cell r="H12">
            <v>174.38749999999993</v>
          </cell>
        </row>
        <row r="13">
          <cell r="D13" t="str">
            <v>U.PRIVADA</v>
          </cell>
          <cell r="E13">
            <v>39.459090909090946</v>
          </cell>
          <cell r="F13">
            <v>500.15227272726662</v>
          </cell>
          <cell r="G13">
            <v>1.0227272727272727</v>
          </cell>
          <cell r="H13">
            <v>985.29999999999507</v>
          </cell>
        </row>
        <row r="14">
          <cell r="D14" t="str">
            <v>U.PRIVADA</v>
          </cell>
          <cell r="E14">
            <v>410.34090909090867</v>
          </cell>
          <cell r="F14">
            <v>939.2272727272665</v>
          </cell>
          <cell r="G14">
            <v>191.31818181818193</v>
          </cell>
          <cell r="H14">
            <v>2154.9090909090855</v>
          </cell>
        </row>
        <row r="15">
          <cell r="D15" t="str">
            <v>U.PRIVADA</v>
          </cell>
          <cell r="E15">
            <v>25.738636363636374</v>
          </cell>
          <cell r="F15">
            <v>171.09801136363569</v>
          </cell>
          <cell r="G15">
            <v>9.4261363636363633</v>
          </cell>
          <cell r="H15">
            <v>351.72940340909031</v>
          </cell>
        </row>
        <row r="16">
          <cell r="D16" t="str">
            <v>U.PRIVADA</v>
          </cell>
          <cell r="E16">
            <v>252.22727272727283</v>
          </cell>
          <cell r="F16">
            <v>167.84090909090901</v>
          </cell>
          <cell r="G16">
            <v>0.38636363636363635</v>
          </cell>
          <cell r="H16">
            <v>497.52272727272737</v>
          </cell>
        </row>
        <row r="17">
          <cell r="D17" t="str">
            <v>U.PRIVADA</v>
          </cell>
          <cell r="E17">
            <v>4.2727272727272716</v>
          </cell>
          <cell r="F17">
            <v>28.522727272727295</v>
          </cell>
          <cell r="G17">
            <v>0</v>
          </cell>
          <cell r="H17">
            <v>65.318181818181841</v>
          </cell>
        </row>
        <row r="18">
          <cell r="D18" t="str">
            <v>U.PRIVADA</v>
          </cell>
          <cell r="E18">
            <v>7.5369318181818183</v>
          </cell>
          <cell r="F18">
            <v>90.331172771409101</v>
          </cell>
          <cell r="G18">
            <v>0.27272727272727271</v>
          </cell>
          <cell r="H18">
            <v>194.05560458959093</v>
          </cell>
        </row>
        <row r="19">
          <cell r="D19" t="str">
            <v>U.PRIVADA</v>
          </cell>
          <cell r="E19">
            <v>0.59090909090909083</v>
          </cell>
          <cell r="F19">
            <v>7.2045454545454533</v>
          </cell>
          <cell r="G19">
            <v>0</v>
          </cell>
          <cell r="H19">
            <v>14.204545454545453</v>
          </cell>
        </row>
        <row r="20">
          <cell r="C20" t="str">
            <v>UAU</v>
          </cell>
          <cell r="D20" t="str">
            <v>U.PRIVADA</v>
          </cell>
          <cell r="E20">
            <v>193.24454545454458</v>
          </cell>
          <cell r="F20">
            <v>559.90522727272821</v>
          </cell>
          <cell r="G20">
            <v>50.28045454545456</v>
          </cell>
          <cell r="H20">
            <v>1056.3134090909093</v>
          </cell>
        </row>
        <row r="21">
          <cell r="D21" t="str">
            <v>U.PRIVADA</v>
          </cell>
          <cell r="E21">
            <v>171.86363636363646</v>
          </cell>
          <cell r="F21">
            <v>140.09090909090901</v>
          </cell>
          <cell r="G21">
            <v>164.47727272727303</v>
          </cell>
          <cell r="H21">
            <v>597.13636363636408</v>
          </cell>
        </row>
        <row r="22">
          <cell r="D22" t="str">
            <v>U.PRIVADA</v>
          </cell>
          <cell r="E22">
            <v>17.09090909090909</v>
          </cell>
          <cell r="F22">
            <v>80.590909090909065</v>
          </cell>
          <cell r="G22">
            <v>0</v>
          </cell>
          <cell r="H22">
            <v>164.06818181818181</v>
          </cell>
        </row>
        <row r="23">
          <cell r="D23" t="str">
            <v>U.PRIVADA</v>
          </cell>
          <cell r="E23">
            <v>129.97909090909093</v>
          </cell>
          <cell r="F23">
            <v>555.09795454545292</v>
          </cell>
          <cell r="G23">
            <v>131.12477272727264</v>
          </cell>
          <cell r="H23">
            <v>1825.7750000000035</v>
          </cell>
        </row>
        <row r="24">
          <cell r="D24" t="str">
            <v>U.PRIVADA</v>
          </cell>
          <cell r="E24">
            <v>54.613636363636367</v>
          </cell>
          <cell r="F24">
            <v>137.65909090909111</v>
          </cell>
          <cell r="G24">
            <v>0</v>
          </cell>
          <cell r="H24">
            <v>277.79545454545473</v>
          </cell>
        </row>
        <row r="25">
          <cell r="D25" t="str">
            <v>U.PRIVADA</v>
          </cell>
          <cell r="E25">
            <v>133.61363636363635</v>
          </cell>
          <cell r="F25">
            <v>320.90909090908889</v>
          </cell>
          <cell r="G25">
            <v>128.04545454545467</v>
          </cell>
          <cell r="H25">
            <v>808.93181818181654</v>
          </cell>
        </row>
        <row r="26">
          <cell r="C26" t="str">
            <v>UCS</v>
          </cell>
          <cell r="D26" t="str">
            <v>U.PRIVADA</v>
          </cell>
          <cell r="E26">
            <v>4.625</v>
          </cell>
          <cell r="F26">
            <v>34.81818181818182</v>
          </cell>
          <cell r="G26">
            <v>0</v>
          </cell>
          <cell r="H26">
            <v>205.43409090909105</v>
          </cell>
        </row>
        <row r="27">
          <cell r="D27" t="str">
            <v>U.PRIVADA</v>
          </cell>
          <cell r="E27">
            <v>9.8636363636363633</v>
          </cell>
          <cell r="F27">
            <v>61.068181818181841</v>
          </cell>
          <cell r="G27">
            <v>0</v>
          </cell>
          <cell r="H27">
            <v>115.95454545454548</v>
          </cell>
        </row>
        <row r="28">
          <cell r="D28" t="str">
            <v>U.PRIVADA</v>
          </cell>
          <cell r="E28">
            <v>0.48863636363636365</v>
          </cell>
          <cell r="F28">
            <v>19.437500000000007</v>
          </cell>
          <cell r="G28">
            <v>0.38636363636363635</v>
          </cell>
          <cell r="H28">
            <v>43.531818181818203</v>
          </cell>
        </row>
        <row r="29">
          <cell r="D29" t="str">
            <v>U.PRIVADA</v>
          </cell>
          <cell r="E29">
            <v>68.727272727272606</v>
          </cell>
          <cell r="F29">
            <v>165.04545454545411</v>
          </cell>
          <cell r="G29">
            <v>0.11363636363636363</v>
          </cell>
          <cell r="H29">
            <v>365.886363636363</v>
          </cell>
        </row>
        <row r="30">
          <cell r="D30" t="str">
            <v>U.PRIVADA</v>
          </cell>
          <cell r="E30">
            <v>13.333454545454545</v>
          </cell>
          <cell r="F30">
            <v>271.0576818181828</v>
          </cell>
          <cell r="G30">
            <v>0</v>
          </cell>
          <cell r="H30">
            <v>849.37571590909556</v>
          </cell>
        </row>
        <row r="31">
          <cell r="D31" t="str">
            <v>U.PRIVADA</v>
          </cell>
          <cell r="E31">
            <v>6.1818181818181799</v>
          </cell>
          <cell r="F31">
            <v>36.295454545454533</v>
          </cell>
          <cell r="G31">
            <v>0</v>
          </cell>
          <cell r="H31">
            <v>54.704545454545439</v>
          </cell>
        </row>
        <row r="32">
          <cell r="C32" t="str">
            <v>UAH</v>
          </cell>
          <cell r="D32" t="str">
            <v>U.PRIVADA</v>
          </cell>
          <cell r="E32">
            <v>138.04545454545456</v>
          </cell>
          <cell r="F32">
            <v>77.147727272727181</v>
          </cell>
          <cell r="G32">
            <v>6.8181818181818177E-2</v>
          </cell>
          <cell r="H32">
            <v>252.18181818181813</v>
          </cell>
        </row>
        <row r="33">
          <cell r="C33" t="str">
            <v>UCH</v>
          </cell>
          <cell r="D33" t="str">
            <v>CRUCH-ESTATAL</v>
          </cell>
          <cell r="E33">
            <v>1214.7045454545462</v>
          </cell>
          <cell r="F33">
            <v>411.86363636363569</v>
          </cell>
          <cell r="G33">
            <v>192.74999999999991</v>
          </cell>
          <cell r="H33">
            <v>2320.3863636363621</v>
          </cell>
        </row>
        <row r="34">
          <cell r="C34" t="str">
            <v>USA</v>
          </cell>
          <cell r="D34" t="str">
            <v>CRUCH-ESTATAL</v>
          </cell>
          <cell r="E34">
            <v>486.57272727272766</v>
          </cell>
          <cell r="F34">
            <v>283.3261363636376</v>
          </cell>
          <cell r="G34">
            <v>83.684090909090941</v>
          </cell>
          <cell r="H34">
            <v>1161.5409090909136</v>
          </cell>
        </row>
        <row r="35">
          <cell r="C35" t="str">
            <v>UVA</v>
          </cell>
          <cell r="D35" t="str">
            <v>CRUCH-ESTATAL</v>
          </cell>
          <cell r="E35">
            <v>265.54090909090905</v>
          </cell>
          <cell r="F35">
            <v>336.19318181818102</v>
          </cell>
          <cell r="G35">
            <v>66.431818181818187</v>
          </cell>
          <cell r="H35">
            <v>886.66090909090883</v>
          </cell>
        </row>
        <row r="36">
          <cell r="C36" t="str">
            <v>ANT</v>
          </cell>
          <cell r="D36" t="str">
            <v>CRUCH-ESTATAL</v>
          </cell>
          <cell r="E36">
            <v>149.76704545454544</v>
          </cell>
          <cell r="F36">
            <v>140.23863636363635</v>
          </cell>
          <cell r="G36">
            <v>16.085227272727273</v>
          </cell>
          <cell r="H36">
            <v>432.02272727272708</v>
          </cell>
        </row>
        <row r="37">
          <cell r="C37" t="str">
            <v>ULS</v>
          </cell>
          <cell r="D37" t="str">
            <v>CRUCH-ESTATAL</v>
          </cell>
          <cell r="E37">
            <v>117.15909090909092</v>
          </cell>
          <cell r="F37">
            <v>86.545454545454533</v>
          </cell>
          <cell r="G37">
            <v>8.3636363636363615</v>
          </cell>
          <cell r="H37">
            <v>360.90909090909048</v>
          </cell>
        </row>
        <row r="38">
          <cell r="C38" t="str">
            <v>UBB</v>
          </cell>
          <cell r="D38" t="str">
            <v>CRUCH-ESTATAL</v>
          </cell>
          <cell r="E38">
            <v>246.56818181818181</v>
          </cell>
          <cell r="F38">
            <v>195.27272727272745</v>
          </cell>
          <cell r="G38">
            <v>0</v>
          </cell>
          <cell r="H38">
            <v>502.06818181818198</v>
          </cell>
        </row>
        <row r="39">
          <cell r="C39" t="str">
            <v>FRO</v>
          </cell>
          <cell r="D39" t="str">
            <v>CRUCH-ESTATAL</v>
          </cell>
          <cell r="E39">
            <v>216.47727272727266</v>
          </cell>
          <cell r="F39">
            <v>98.61363636363636</v>
          </cell>
          <cell r="G39">
            <v>36.295454545454547</v>
          </cell>
          <cell r="H39">
            <v>425.7954545454545</v>
          </cell>
        </row>
        <row r="40">
          <cell r="C40" t="str">
            <v>MAG</v>
          </cell>
          <cell r="D40" t="str">
            <v>CRUCH-ESTATAL</v>
          </cell>
          <cell r="E40">
            <v>76.5</v>
          </cell>
          <cell r="F40">
            <v>66</v>
          </cell>
          <cell r="G40">
            <v>0</v>
          </cell>
          <cell r="H40">
            <v>212.04545454545456</v>
          </cell>
        </row>
        <row r="41">
          <cell r="C41" t="str">
            <v>TAL</v>
          </cell>
          <cell r="D41" t="str">
            <v>CRUCH-ESTATAL</v>
          </cell>
          <cell r="E41">
            <v>257.2045454545455</v>
          </cell>
          <cell r="F41">
            <v>226.95454545454547</v>
          </cell>
          <cell r="G41">
            <v>24.636363636363633</v>
          </cell>
          <cell r="H41">
            <v>526.9545454545455</v>
          </cell>
        </row>
        <row r="42">
          <cell r="C42" t="str">
            <v>ATA</v>
          </cell>
          <cell r="D42" t="str">
            <v>CRUCH-ESTATAL</v>
          </cell>
          <cell r="E42">
            <v>74</v>
          </cell>
          <cell r="F42">
            <v>78.77272727272728</v>
          </cell>
          <cell r="G42">
            <v>0</v>
          </cell>
          <cell r="H42">
            <v>331.65909090909088</v>
          </cell>
        </row>
        <row r="43">
          <cell r="C43" t="str">
            <v>UTA</v>
          </cell>
          <cell r="D43" t="str">
            <v>CRUCH-ESTATAL</v>
          </cell>
          <cell r="E43">
            <v>130.22727272727275</v>
          </cell>
          <cell r="F43">
            <v>181.61363636363637</v>
          </cell>
          <cell r="G43">
            <v>2.9318181818181817</v>
          </cell>
          <cell r="H43">
            <v>358.00000000000006</v>
          </cell>
        </row>
        <row r="44">
          <cell r="C44" t="str">
            <v>UAP</v>
          </cell>
          <cell r="D44" t="str">
            <v>CRUCH-ESTATAL</v>
          </cell>
          <cell r="E44">
            <v>81.204545454545411</v>
          </cell>
          <cell r="F44">
            <v>184.52272727272737</v>
          </cell>
          <cell r="G44">
            <v>0</v>
          </cell>
          <cell r="H44">
            <v>490.5681818181821</v>
          </cell>
        </row>
        <row r="45">
          <cell r="C45" t="str">
            <v>UMC</v>
          </cell>
          <cell r="D45" t="str">
            <v>CRUCH-ESTATAL</v>
          </cell>
          <cell r="E45">
            <v>77.727272727272705</v>
          </cell>
          <cell r="F45">
            <v>148.02272727272725</v>
          </cell>
          <cell r="G45">
            <v>0.5</v>
          </cell>
          <cell r="H45">
            <v>313.18181818181819</v>
          </cell>
        </row>
        <row r="46">
          <cell r="C46" t="str">
            <v>UPA</v>
          </cell>
          <cell r="D46" t="str">
            <v>CRUCH-ESTATAL</v>
          </cell>
          <cell r="E46">
            <v>122.67840909090899</v>
          </cell>
          <cell r="F46">
            <v>191.14772727272762</v>
          </cell>
          <cell r="G46">
            <v>11.197727272727276</v>
          </cell>
          <cell r="H46">
            <v>397.13477272727289</v>
          </cell>
        </row>
        <row r="47">
          <cell r="C47" t="str">
            <v>ULA</v>
          </cell>
          <cell r="D47" t="str">
            <v>CRUCH-ESTATAL</v>
          </cell>
          <cell r="E47">
            <v>108.81818181818181</v>
          </cell>
          <cell r="F47">
            <v>186.81818181818193</v>
          </cell>
          <cell r="G47">
            <v>0.25</v>
          </cell>
          <cell r="H47">
            <v>458.9402272727279</v>
          </cell>
        </row>
        <row r="48">
          <cell r="C48" t="str">
            <v>UTM</v>
          </cell>
          <cell r="D48" t="str">
            <v>CRUCH-ESTATAL</v>
          </cell>
          <cell r="E48">
            <v>61.954545454545439</v>
          </cell>
          <cell r="F48">
            <v>148.45454545454592</v>
          </cell>
          <cell r="G48">
            <v>0</v>
          </cell>
          <cell r="H48">
            <v>339.02272727272754</v>
          </cell>
        </row>
        <row r="49">
          <cell r="C49" t="str">
            <v>PUC</v>
          </cell>
          <cell r="D49" t="str">
            <v>CRUCH-PRIVADA</v>
          </cell>
          <cell r="E49">
            <v>1059.6818181818178</v>
          </cell>
          <cell r="F49">
            <v>499.15909090909099</v>
          </cell>
          <cell r="G49">
            <v>411.74999999999977</v>
          </cell>
          <cell r="H49">
            <v>2242.8409090909086</v>
          </cell>
        </row>
        <row r="50">
          <cell r="C50" t="str">
            <v>UCO</v>
          </cell>
          <cell r="D50" t="str">
            <v>CRUCH-PRIVADA</v>
          </cell>
          <cell r="E50">
            <v>771.04545454545428</v>
          </cell>
          <cell r="F50">
            <v>401.65909090909076</v>
          </cell>
          <cell r="G50">
            <v>97.613636363636374</v>
          </cell>
          <cell r="H50">
            <v>1464.8409090909088</v>
          </cell>
        </row>
        <row r="51">
          <cell r="C51" t="str">
            <v>FSM</v>
          </cell>
          <cell r="D51" t="str">
            <v>CRUCH-PRIVADA</v>
          </cell>
          <cell r="E51">
            <v>269.04562500000026</v>
          </cell>
          <cell r="F51">
            <v>181.50249999999897</v>
          </cell>
          <cell r="G51">
            <v>0</v>
          </cell>
          <cell r="H51">
            <v>697.47744318181708</v>
          </cell>
        </row>
        <row r="52">
          <cell r="C52" t="str">
            <v>UCV</v>
          </cell>
          <cell r="D52" t="str">
            <v>CRUCH-PRIVADA</v>
          </cell>
          <cell r="E52">
            <v>417.15340909090895</v>
          </cell>
          <cell r="F52">
            <v>142.94886363636377</v>
          </cell>
          <cell r="G52">
            <v>0.44318181818181818</v>
          </cell>
          <cell r="H52">
            <v>659.86931818181836</v>
          </cell>
        </row>
        <row r="53">
          <cell r="C53" t="str">
            <v>AUS</v>
          </cell>
          <cell r="D53" t="str">
            <v>CRUCH-PRIVADA</v>
          </cell>
          <cell r="E53">
            <v>410.68181818181813</v>
          </cell>
          <cell r="F53">
            <v>260.40909090909088</v>
          </cell>
          <cell r="G53">
            <v>59.181818181818187</v>
          </cell>
          <cell r="H53">
            <v>918.22727272727263</v>
          </cell>
        </row>
        <row r="54">
          <cell r="C54" t="str">
            <v>UCN</v>
          </cell>
          <cell r="D54" t="str">
            <v>CRUCH-PRIVADA</v>
          </cell>
          <cell r="E54">
            <v>218.44090909090912</v>
          </cell>
          <cell r="F54">
            <v>166.81666666681829</v>
          </cell>
          <cell r="G54">
            <v>23.93181818181818</v>
          </cell>
          <cell r="H54">
            <v>635.52803030318205</v>
          </cell>
        </row>
        <row r="55">
          <cell r="C55" t="str">
            <v>UCM</v>
          </cell>
          <cell r="D55" t="str">
            <v>CRUCH-PRIVADA</v>
          </cell>
          <cell r="E55">
            <v>146.59090909090909</v>
          </cell>
          <cell r="F55">
            <v>147.13636363636371</v>
          </cell>
          <cell r="G55">
            <v>28.93181818181818</v>
          </cell>
          <cell r="H55">
            <v>411.21363636363645</v>
          </cell>
        </row>
        <row r="56">
          <cell r="C56" t="str">
            <v>USC</v>
          </cell>
          <cell r="D56" t="str">
            <v>CRUCH-PRIVADA</v>
          </cell>
          <cell r="E56">
            <v>149.70454545454538</v>
          </cell>
          <cell r="F56">
            <v>174.45454545454513</v>
          </cell>
          <cell r="G56">
            <v>28.886363636363637</v>
          </cell>
          <cell r="H56">
            <v>500.5227272727268</v>
          </cell>
        </row>
        <row r="57">
          <cell r="C57" t="str">
            <v>UCT</v>
          </cell>
          <cell r="D57" t="str">
            <v>CRUCH-PRIVADA</v>
          </cell>
          <cell r="E57">
            <v>161.28409090909088</v>
          </cell>
          <cell r="F57">
            <v>181.64909090909106</v>
          </cell>
          <cell r="G57">
            <v>0.81818181818181812</v>
          </cell>
          <cell r="H57">
            <v>486.65795454545474</v>
          </cell>
        </row>
        <row r="58">
          <cell r="D58" t="str">
            <v>U.PRIVADA</v>
          </cell>
          <cell r="E58">
            <v>2.0909090909090908</v>
          </cell>
          <cell r="F58">
            <v>9.5681818181818201</v>
          </cell>
          <cell r="G58">
            <v>0</v>
          </cell>
          <cell r="H58">
            <v>14.681818181818182</v>
          </cell>
        </row>
        <row r="59">
          <cell r="C59" t="str">
            <v>URO</v>
          </cell>
          <cell r="D59" t="str">
            <v>CRUCH-ESTATAL</v>
          </cell>
          <cell r="E59">
            <v>47.534090909090885</v>
          </cell>
          <cell r="F59">
            <v>10.363636363636365</v>
          </cell>
          <cell r="G59">
            <v>2.7954545454545454</v>
          </cell>
          <cell r="H59">
            <v>72.249999999999986</v>
          </cell>
        </row>
        <row r="60">
          <cell r="C60" t="str">
            <v>URY</v>
          </cell>
          <cell r="D60" t="str">
            <v>CRUCH-ESTATAL</v>
          </cell>
          <cell r="E60">
            <v>17.34090909090909</v>
          </cell>
          <cell r="F60">
            <v>3.5331818181818182</v>
          </cell>
          <cell r="G60">
            <v>1</v>
          </cell>
          <cell r="H60">
            <v>23.65443181818182</v>
          </cell>
        </row>
      </sheetData>
      <sheetData sheetId="4"/>
      <sheetData sheetId="5">
        <row r="10">
          <cell r="D10" t="str">
            <v>PUC</v>
          </cell>
          <cell r="E10" t="str">
            <v>CRUCH-PRIVADA</v>
          </cell>
          <cell r="G10">
            <v>0.20474837662337661</v>
          </cell>
          <cell r="H10">
            <v>0.24707462113945905</v>
          </cell>
          <cell r="I10">
            <v>0.25753792971000578</v>
          </cell>
          <cell r="J10">
            <v>0.23735555976510703</v>
          </cell>
          <cell r="K10">
            <v>0.27635899306822326</v>
          </cell>
          <cell r="L10">
            <v>0.25675189052934821</v>
          </cell>
          <cell r="M10">
            <v>0.25574407917992226</v>
          </cell>
          <cell r="N10">
            <v>0.27258512856150102</v>
          </cell>
          <cell r="O10">
            <v>4928</v>
          </cell>
          <cell r="P10">
            <v>5213</v>
          </cell>
          <cell r="Q10">
            <v>5207</v>
          </cell>
          <cell r="R10">
            <v>5279</v>
          </cell>
          <cell r="S10">
            <v>5482</v>
          </cell>
          <cell r="T10">
            <v>5554</v>
          </cell>
          <cell r="U10">
            <v>5658</v>
          </cell>
          <cell r="V10">
            <v>5756</v>
          </cell>
          <cell r="W10">
            <v>1009</v>
          </cell>
          <cell r="X10">
            <v>1288</v>
          </cell>
          <cell r="Y10">
            <v>1341</v>
          </cell>
          <cell r="Z10">
            <v>1253</v>
          </cell>
          <cell r="AA10">
            <v>1515</v>
          </cell>
          <cell r="AB10">
            <v>1426</v>
          </cell>
          <cell r="AC10">
            <v>1447</v>
          </cell>
          <cell r="AD10">
            <v>1569</v>
          </cell>
        </row>
        <row r="11">
          <cell r="D11" t="str">
            <v>UCV</v>
          </cell>
          <cell r="E11" t="str">
            <v>CRUCH-PRIVADA</v>
          </cell>
          <cell r="G11">
            <v>0.55459098497495829</v>
          </cell>
          <cell r="H11">
            <v>0.58203368683718026</v>
          </cell>
          <cell r="I11">
            <v>0.5748987854251012</v>
          </cell>
          <cell r="J11">
            <v>0.57042896257986009</v>
          </cell>
          <cell r="K11">
            <v>0.5692036438436674</v>
          </cell>
          <cell r="L11">
            <v>0.57999431656720657</v>
          </cell>
          <cell r="M11">
            <v>0.5607843137254902</v>
          </cell>
          <cell r="N11">
            <v>0.57995028997514497</v>
          </cell>
          <cell r="O11">
            <v>2995</v>
          </cell>
          <cell r="P11">
            <v>3206</v>
          </cell>
          <cell r="Q11">
            <v>3211</v>
          </cell>
          <cell r="R11">
            <v>3287</v>
          </cell>
          <cell r="S11">
            <v>3403</v>
          </cell>
          <cell r="T11">
            <v>3519</v>
          </cell>
          <cell r="U11">
            <v>3570</v>
          </cell>
          <cell r="V11">
            <v>3621</v>
          </cell>
          <cell r="W11">
            <v>1661</v>
          </cell>
          <cell r="X11">
            <v>1866</v>
          </cell>
          <cell r="Y11">
            <v>1846</v>
          </cell>
          <cell r="Z11">
            <v>1875</v>
          </cell>
          <cell r="AA11">
            <v>1937</v>
          </cell>
          <cell r="AB11">
            <v>2041</v>
          </cell>
          <cell r="AC11">
            <v>2002</v>
          </cell>
          <cell r="AD11">
            <v>2100</v>
          </cell>
        </row>
        <row r="12">
          <cell r="D12" t="str">
            <v>UAH</v>
          </cell>
          <cell r="E12" t="str">
            <v>U.PRIVADA</v>
          </cell>
          <cell r="G12"/>
          <cell r="H12"/>
          <cell r="I12"/>
          <cell r="J12"/>
          <cell r="K12"/>
          <cell r="L12"/>
          <cell r="M12"/>
          <cell r="N12">
            <v>0.68522336769759451</v>
          </cell>
          <cell r="O12"/>
          <cell r="P12"/>
          <cell r="Q12"/>
          <cell r="R12"/>
          <cell r="S12"/>
          <cell r="T12"/>
          <cell r="U12"/>
          <cell r="V12">
            <v>1455</v>
          </cell>
          <cell r="W12"/>
          <cell r="X12"/>
          <cell r="Y12"/>
          <cell r="Z12"/>
          <cell r="AA12"/>
          <cell r="AB12"/>
          <cell r="AC12"/>
          <cell r="AD12">
            <v>997</v>
          </cell>
        </row>
        <row r="13">
          <cell r="D13" t="str">
            <v>UAP</v>
          </cell>
          <cell r="E13" t="str">
            <v>CRUCH-ESTATAL</v>
          </cell>
          <cell r="G13">
            <v>0.52252252252252251</v>
          </cell>
          <cell r="H13">
            <v>0.57024793388429751</v>
          </cell>
          <cell r="I13">
            <v>0.63697967086156826</v>
          </cell>
          <cell r="J13">
            <v>0.64012738853503182</v>
          </cell>
          <cell r="K13">
            <v>0.68143459915611815</v>
          </cell>
          <cell r="L13">
            <v>0.69678714859437751</v>
          </cell>
          <cell r="M13">
            <v>0.66244343891402713</v>
          </cell>
          <cell r="N13">
            <v>0.63942712721145745</v>
          </cell>
          <cell r="O13">
            <v>999</v>
          </cell>
          <cell r="P13">
            <v>968</v>
          </cell>
          <cell r="Q13">
            <v>1033</v>
          </cell>
          <cell r="R13">
            <v>942</v>
          </cell>
          <cell r="S13">
            <v>948</v>
          </cell>
          <cell r="T13">
            <v>996</v>
          </cell>
          <cell r="U13">
            <v>1105</v>
          </cell>
          <cell r="V13">
            <v>1187</v>
          </cell>
          <cell r="W13">
            <v>522</v>
          </cell>
          <cell r="X13">
            <v>552</v>
          </cell>
          <cell r="Y13">
            <v>658</v>
          </cell>
          <cell r="Z13">
            <v>603</v>
          </cell>
          <cell r="AA13">
            <v>646</v>
          </cell>
          <cell r="AB13">
            <v>694</v>
          </cell>
          <cell r="AC13">
            <v>732</v>
          </cell>
          <cell r="AD13">
            <v>759</v>
          </cell>
        </row>
        <row r="14">
          <cell r="D14" t="str">
            <v>AUS</v>
          </cell>
          <cell r="E14" t="str">
            <v>CRUCH-PRIVADA</v>
          </cell>
          <cell r="G14">
            <v>0.62584175084175087</v>
          </cell>
          <cell r="H14">
            <v>0.63309885227693452</v>
          </cell>
          <cell r="I14">
            <v>0.64667393675027263</v>
          </cell>
          <cell r="J14">
            <v>0.61967994552264216</v>
          </cell>
          <cell r="K14">
            <v>0.65958200495926322</v>
          </cell>
          <cell r="L14">
            <v>0.65447957839262183</v>
          </cell>
          <cell r="M14">
            <v>0.64413389665258369</v>
          </cell>
          <cell r="N14">
            <v>0.66932153392330385</v>
          </cell>
          <cell r="O14">
            <v>2376</v>
          </cell>
          <cell r="P14">
            <v>2701</v>
          </cell>
          <cell r="Q14">
            <v>2751</v>
          </cell>
          <cell r="R14">
            <v>2937</v>
          </cell>
          <cell r="S14">
            <v>2823</v>
          </cell>
          <cell r="T14">
            <v>3036</v>
          </cell>
          <cell r="U14">
            <v>3077</v>
          </cell>
          <cell r="V14">
            <v>3390</v>
          </cell>
          <cell r="W14">
            <v>1487</v>
          </cell>
          <cell r="X14">
            <v>1710</v>
          </cell>
          <cell r="Y14">
            <v>1779</v>
          </cell>
          <cell r="Z14">
            <v>1820</v>
          </cell>
          <cell r="AA14">
            <v>1862</v>
          </cell>
          <cell r="AB14">
            <v>1987</v>
          </cell>
          <cell r="AC14">
            <v>1982</v>
          </cell>
          <cell r="AD14">
            <v>2269</v>
          </cell>
        </row>
        <row r="15">
          <cell r="D15" t="str">
            <v>USC</v>
          </cell>
          <cell r="E15" t="str">
            <v>CRUCH-PRIVADA</v>
          </cell>
          <cell r="G15">
            <v>0.75</v>
          </cell>
          <cell r="H15">
            <v>0.79628400796284005</v>
          </cell>
          <cell r="I15">
            <v>0.83381924198250734</v>
          </cell>
          <cell r="J15">
            <v>0.77976523197316938</v>
          </cell>
          <cell r="K15">
            <v>0.76919060052219324</v>
          </cell>
          <cell r="L15">
            <v>0.77393617021276595</v>
          </cell>
          <cell r="M15">
            <v>0.76580677794638341</v>
          </cell>
          <cell r="N15">
            <v>0.77212061295106282</v>
          </cell>
          <cell r="O15">
            <v>1876</v>
          </cell>
          <cell r="P15">
            <v>1507</v>
          </cell>
          <cell r="Q15">
            <v>1715</v>
          </cell>
          <cell r="R15">
            <v>1789</v>
          </cell>
          <cell r="S15">
            <v>1915</v>
          </cell>
          <cell r="T15">
            <v>1880</v>
          </cell>
          <cell r="U15">
            <v>1977</v>
          </cell>
          <cell r="V15">
            <v>2023</v>
          </cell>
          <cell r="W15">
            <v>1407</v>
          </cell>
          <cell r="X15">
            <v>1200</v>
          </cell>
          <cell r="Y15">
            <v>1430</v>
          </cell>
          <cell r="Z15">
            <v>1395</v>
          </cell>
          <cell r="AA15">
            <v>1473</v>
          </cell>
          <cell r="AB15">
            <v>1455</v>
          </cell>
          <cell r="AC15">
            <v>1514</v>
          </cell>
          <cell r="AD15">
            <v>1562</v>
          </cell>
        </row>
        <row r="16">
          <cell r="D16" t="str">
            <v>UCT</v>
          </cell>
          <cell r="E16" t="str">
            <v>CRUCH-PRIVADA</v>
          </cell>
          <cell r="G16">
            <v>0.76699029126213591</v>
          </cell>
          <cell r="H16">
            <v>0.79551667577911422</v>
          </cell>
          <cell r="I16">
            <v>0.80553918680023573</v>
          </cell>
          <cell r="J16">
            <v>0.7954309449636553</v>
          </cell>
          <cell r="K16">
            <v>0.8040130657956136</v>
          </cell>
          <cell r="L16">
            <v>0.8107559614408929</v>
          </cell>
          <cell r="M16">
            <v>0.79243353783231085</v>
          </cell>
          <cell r="N16">
            <v>0.80083420229405633</v>
          </cell>
          <cell r="O16">
            <v>1648</v>
          </cell>
          <cell r="P16">
            <v>1829</v>
          </cell>
          <cell r="Q16">
            <v>1697</v>
          </cell>
          <cell r="R16">
            <v>1926</v>
          </cell>
          <cell r="S16">
            <v>2143</v>
          </cell>
          <cell r="T16">
            <v>1971</v>
          </cell>
          <cell r="U16">
            <v>1956</v>
          </cell>
          <cell r="V16">
            <v>1918</v>
          </cell>
          <cell r="W16">
            <v>1264</v>
          </cell>
          <cell r="X16">
            <v>1455</v>
          </cell>
          <cell r="Y16">
            <v>1367</v>
          </cell>
          <cell r="Z16">
            <v>1532</v>
          </cell>
          <cell r="AA16">
            <v>1723</v>
          </cell>
          <cell r="AB16">
            <v>1598</v>
          </cell>
          <cell r="AC16">
            <v>1550</v>
          </cell>
          <cell r="AD16">
            <v>1536</v>
          </cell>
        </row>
        <row r="17">
          <cell r="D17" t="str">
            <v>UCM</v>
          </cell>
          <cell r="E17" t="str">
            <v>CRUCH-PRIVADA</v>
          </cell>
          <cell r="G17">
            <v>0.75</v>
          </cell>
          <cell r="H17">
            <v>0.765474552957359</v>
          </cell>
          <cell r="I17">
            <v>0.79557195571955719</v>
          </cell>
          <cell r="J17">
            <v>0.77298444130127297</v>
          </cell>
          <cell r="K17">
            <v>0.79132473622508792</v>
          </cell>
          <cell r="L17">
            <v>0.79651162790697672</v>
          </cell>
          <cell r="M17">
            <v>0.7714420358152686</v>
          </cell>
          <cell r="N17">
            <v>0.78827498945592578</v>
          </cell>
          <cell r="O17">
            <v>1308</v>
          </cell>
          <cell r="P17">
            <v>1454</v>
          </cell>
          <cell r="Q17">
            <v>1355</v>
          </cell>
          <cell r="R17">
            <v>1414</v>
          </cell>
          <cell r="S17">
            <v>1706</v>
          </cell>
          <cell r="T17">
            <v>1892</v>
          </cell>
          <cell r="U17">
            <v>2122</v>
          </cell>
          <cell r="V17">
            <v>2371</v>
          </cell>
          <cell r="W17">
            <v>981</v>
          </cell>
          <cell r="X17">
            <v>1113</v>
          </cell>
          <cell r="Y17">
            <v>1078</v>
          </cell>
          <cell r="Z17">
            <v>1093</v>
          </cell>
          <cell r="AA17">
            <v>1350</v>
          </cell>
          <cell r="AB17">
            <v>1507</v>
          </cell>
          <cell r="AC17">
            <v>1637</v>
          </cell>
          <cell r="AD17">
            <v>1869</v>
          </cell>
        </row>
        <row r="18">
          <cell r="D18" t="str">
            <v>UCN</v>
          </cell>
          <cell r="E18" t="str">
            <v>CRUCH-PRIVADA</v>
          </cell>
          <cell r="G18">
            <v>0.43885714285714283</v>
          </cell>
          <cell r="H18">
            <v>0.45280082987551867</v>
          </cell>
          <cell r="I18">
            <v>0.4891015417331207</v>
          </cell>
          <cell r="J18">
            <v>0.46512820512820513</v>
          </cell>
          <cell r="K18">
            <v>0.51402321083172142</v>
          </cell>
          <cell r="L18">
            <v>0.49296413980935089</v>
          </cell>
          <cell r="M18">
            <v>0.49516797054763001</v>
          </cell>
          <cell r="N18">
            <v>0.49841125737630504</v>
          </cell>
          <cell r="O18">
            <v>1750</v>
          </cell>
          <cell r="P18">
            <v>1928</v>
          </cell>
          <cell r="Q18">
            <v>1881</v>
          </cell>
          <cell r="R18">
            <v>1950</v>
          </cell>
          <cell r="S18">
            <v>2068</v>
          </cell>
          <cell r="T18">
            <v>2203</v>
          </cell>
          <cell r="U18">
            <v>2173</v>
          </cell>
          <cell r="V18">
            <v>2203</v>
          </cell>
          <cell r="W18">
            <v>768</v>
          </cell>
          <cell r="X18">
            <v>873</v>
          </cell>
          <cell r="Y18">
            <v>920</v>
          </cell>
          <cell r="Z18">
            <v>907</v>
          </cell>
          <cell r="AA18">
            <v>1063</v>
          </cell>
          <cell r="AB18">
            <v>1086</v>
          </cell>
          <cell r="AC18">
            <v>1076</v>
          </cell>
          <cell r="AD18">
            <v>1098</v>
          </cell>
        </row>
        <row r="19">
          <cell r="D19" t="str">
            <v>ANT</v>
          </cell>
          <cell r="E19" t="str">
            <v>CRUCH-ESTATAL</v>
          </cell>
          <cell r="G19">
            <v>0.37237237237237236</v>
          </cell>
          <cell r="H19">
            <v>0.41467889908256883</v>
          </cell>
          <cell r="I19">
            <v>0.42173913043478262</v>
          </cell>
          <cell r="J19">
            <v>0.38935810810810811</v>
          </cell>
          <cell r="K19">
            <v>0.46887009992313605</v>
          </cell>
          <cell r="L19">
            <v>0.47344110854503463</v>
          </cell>
          <cell r="M19">
            <v>0.44026548672566373</v>
          </cell>
          <cell r="N19">
            <v>0.47364568081991215</v>
          </cell>
          <cell r="O19">
            <v>999</v>
          </cell>
          <cell r="P19">
            <v>1090</v>
          </cell>
          <cell r="Q19">
            <v>1150</v>
          </cell>
          <cell r="R19">
            <v>1184</v>
          </cell>
          <cell r="S19">
            <v>1301</v>
          </cell>
          <cell r="T19">
            <v>1299</v>
          </cell>
          <cell r="U19">
            <v>1356</v>
          </cell>
          <cell r="V19">
            <v>1366</v>
          </cell>
          <cell r="W19">
            <v>372</v>
          </cell>
          <cell r="X19">
            <v>452</v>
          </cell>
          <cell r="Y19">
            <v>485</v>
          </cell>
          <cell r="Z19">
            <v>461</v>
          </cell>
          <cell r="AA19">
            <v>610</v>
          </cell>
          <cell r="AB19">
            <v>615</v>
          </cell>
          <cell r="AC19">
            <v>597</v>
          </cell>
          <cell r="AD19">
            <v>647</v>
          </cell>
        </row>
        <row r="20">
          <cell r="D20" t="str">
            <v>ATA</v>
          </cell>
          <cell r="E20" t="str">
            <v>CRUCH-ESTATAL</v>
          </cell>
          <cell r="G20">
            <v>0.56559766763848396</v>
          </cell>
          <cell r="H20">
            <v>0.54754754754754753</v>
          </cell>
          <cell r="I20">
            <v>0.56735496558505405</v>
          </cell>
          <cell r="J20">
            <v>0.56243854473942967</v>
          </cell>
          <cell r="K20">
            <v>0.64114832535885169</v>
          </cell>
          <cell r="L20">
            <v>0.6701323251417769</v>
          </cell>
          <cell r="M20">
            <v>0.6644486692015209</v>
          </cell>
          <cell r="N20">
            <v>0.67577413479052828</v>
          </cell>
          <cell r="O20">
            <v>686</v>
          </cell>
          <cell r="P20">
            <v>999</v>
          </cell>
          <cell r="Q20">
            <v>1017</v>
          </cell>
          <cell r="R20">
            <v>1017</v>
          </cell>
          <cell r="S20">
            <v>1045</v>
          </cell>
          <cell r="T20">
            <v>1058</v>
          </cell>
          <cell r="U20">
            <v>1052</v>
          </cell>
          <cell r="V20">
            <v>1098</v>
          </cell>
          <cell r="W20">
            <v>388</v>
          </cell>
          <cell r="X20">
            <v>547</v>
          </cell>
          <cell r="Y20">
            <v>577</v>
          </cell>
          <cell r="Z20">
            <v>572</v>
          </cell>
          <cell r="AA20">
            <v>670</v>
          </cell>
          <cell r="AB20">
            <v>709</v>
          </cell>
          <cell r="AC20">
            <v>699</v>
          </cell>
          <cell r="AD20">
            <v>742</v>
          </cell>
        </row>
        <row r="21">
          <cell r="D21" t="str">
            <v>URY</v>
          </cell>
          <cell r="E21" t="str">
            <v>CRUCH-ESTATAL</v>
          </cell>
          <cell r="G21"/>
          <cell r="H21"/>
          <cell r="I21"/>
          <cell r="J21"/>
          <cell r="K21"/>
          <cell r="L21">
            <v>0.68817204301075274</v>
          </cell>
          <cell r="M21">
            <v>0.69747899159663862</v>
          </cell>
          <cell r="N21">
            <v>0.74796747967479671</v>
          </cell>
          <cell r="O21"/>
          <cell r="P21"/>
          <cell r="Q21"/>
          <cell r="R21"/>
          <cell r="S21"/>
          <cell r="T21">
            <v>93</v>
          </cell>
          <cell r="U21">
            <v>119</v>
          </cell>
          <cell r="V21">
            <v>123</v>
          </cell>
          <cell r="W21"/>
          <cell r="X21"/>
          <cell r="Y21"/>
          <cell r="Z21"/>
          <cell r="AA21"/>
          <cell r="AB21">
            <v>64</v>
          </cell>
          <cell r="AC21">
            <v>83</v>
          </cell>
          <cell r="AD21">
            <v>92</v>
          </cell>
        </row>
        <row r="22">
          <cell r="D22" t="str">
            <v>UCH</v>
          </cell>
          <cell r="E22" t="str">
            <v>CRUCH-ESTATAL</v>
          </cell>
          <cell r="G22">
            <v>0.41156530408773678</v>
          </cell>
          <cell r="H22">
            <v>0.44507683551508254</v>
          </cell>
          <cell r="I22">
            <v>0.45997140814867765</v>
          </cell>
          <cell r="J22">
            <v>0.45439659407237598</v>
          </cell>
          <cell r="K22">
            <v>0.48905738411166638</v>
          </cell>
          <cell r="L22">
            <v>0.48129423660262893</v>
          </cell>
          <cell r="M22">
            <v>0.42911686586985393</v>
          </cell>
          <cell r="N22">
            <v>0.42647785279104233</v>
          </cell>
          <cell r="O22">
            <v>5015</v>
          </cell>
          <cell r="P22">
            <v>5271</v>
          </cell>
          <cell r="Q22">
            <v>5596</v>
          </cell>
          <cell r="R22">
            <v>6107</v>
          </cell>
          <cell r="S22">
            <v>5803</v>
          </cell>
          <cell r="T22">
            <v>5934</v>
          </cell>
          <cell r="U22">
            <v>6024</v>
          </cell>
          <cell r="V22">
            <v>6073</v>
          </cell>
          <cell r="W22">
            <v>2064</v>
          </cell>
          <cell r="X22">
            <v>2346</v>
          </cell>
          <cell r="Y22">
            <v>2574</v>
          </cell>
          <cell r="Z22">
            <v>2775</v>
          </cell>
          <cell r="AA22">
            <v>2838</v>
          </cell>
          <cell r="AB22">
            <v>2856</v>
          </cell>
          <cell r="AC22">
            <v>2585</v>
          </cell>
          <cell r="AD22">
            <v>2590</v>
          </cell>
        </row>
        <row r="23">
          <cell r="D23" t="str">
            <v>UCO</v>
          </cell>
          <cell r="E23" t="str">
            <v>CRUCH-PRIVADA</v>
          </cell>
          <cell r="G23">
            <v>0.68837209302325586</v>
          </cell>
          <cell r="H23">
            <v>0.6852334201562813</v>
          </cell>
          <cell r="I23">
            <v>0.70620748299319724</v>
          </cell>
          <cell r="J23">
            <v>0.67432321575061527</v>
          </cell>
          <cell r="K23">
            <v>0.66373450619752095</v>
          </cell>
          <cell r="L23">
            <v>0.67343173431734316</v>
          </cell>
          <cell r="M23">
            <v>0.64698983580922598</v>
          </cell>
          <cell r="N23">
            <v>0.66107931316434998</v>
          </cell>
          <cell r="O23">
            <v>4730</v>
          </cell>
          <cell r="P23">
            <v>4991</v>
          </cell>
          <cell r="Q23">
            <v>4704</v>
          </cell>
          <cell r="R23">
            <v>4876</v>
          </cell>
          <cell r="S23">
            <v>5002</v>
          </cell>
          <cell r="T23">
            <v>4878</v>
          </cell>
          <cell r="U23">
            <v>5116</v>
          </cell>
          <cell r="V23">
            <v>4892</v>
          </cell>
          <cell r="W23">
            <v>3256</v>
          </cell>
          <cell r="X23">
            <v>3420</v>
          </cell>
          <cell r="Y23">
            <v>3322</v>
          </cell>
          <cell r="Z23">
            <v>3288</v>
          </cell>
          <cell r="AA23">
            <v>3320</v>
          </cell>
          <cell r="AB23">
            <v>3285</v>
          </cell>
          <cell r="AC23">
            <v>3310</v>
          </cell>
          <cell r="AD23">
            <v>3234</v>
          </cell>
        </row>
        <row r="24">
          <cell r="D24" t="str">
            <v>FRO</v>
          </cell>
          <cell r="E24" t="str">
            <v>CRUCH-ESTATAL</v>
          </cell>
          <cell r="G24">
            <v>0.66393022062596208</v>
          </cell>
          <cell r="H24">
            <v>0.67006629270780216</v>
          </cell>
          <cell r="I24">
            <v>0.73853452820242493</v>
          </cell>
          <cell r="J24">
            <v>0.70067372473532241</v>
          </cell>
          <cell r="K24">
            <v>0.70987951807228911</v>
          </cell>
          <cell r="L24">
            <v>0.69212635549269208</v>
          </cell>
          <cell r="M24">
            <v>0.67470997679814382</v>
          </cell>
          <cell r="N24">
            <v>0.67522658610271902</v>
          </cell>
          <cell r="O24">
            <v>1949</v>
          </cell>
          <cell r="P24">
            <v>1961</v>
          </cell>
          <cell r="Q24">
            <v>1897</v>
          </cell>
          <cell r="R24">
            <v>2078</v>
          </cell>
          <cell r="S24">
            <v>2075</v>
          </cell>
          <cell r="T24">
            <v>2121</v>
          </cell>
          <cell r="U24">
            <v>2155</v>
          </cell>
          <cell r="V24">
            <v>1986</v>
          </cell>
          <cell r="W24">
            <v>1294</v>
          </cell>
          <cell r="X24">
            <v>1314</v>
          </cell>
          <cell r="Y24">
            <v>1401</v>
          </cell>
          <cell r="Z24">
            <v>1456</v>
          </cell>
          <cell r="AA24">
            <v>1473</v>
          </cell>
          <cell r="AB24">
            <v>1468</v>
          </cell>
          <cell r="AC24">
            <v>1454</v>
          </cell>
          <cell r="AD24">
            <v>1341</v>
          </cell>
        </row>
        <row r="25">
          <cell r="D25" t="str">
            <v>ULS</v>
          </cell>
          <cell r="E25" t="str">
            <v>CRUCH-ESTATAL</v>
          </cell>
          <cell r="G25">
            <v>0.62411347517730498</v>
          </cell>
          <cell r="H25">
            <v>0.63164400494437578</v>
          </cell>
          <cell r="I25">
            <v>0.66666666666666663</v>
          </cell>
          <cell r="J25">
            <v>0.64916615194564542</v>
          </cell>
          <cell r="K25">
            <v>0.70626865671641792</v>
          </cell>
          <cell r="L25">
            <v>0.67343485617597287</v>
          </cell>
          <cell r="M25">
            <v>0.64525298465036951</v>
          </cell>
          <cell r="N25">
            <v>0.67520891364902502</v>
          </cell>
          <cell r="O25">
            <v>1551</v>
          </cell>
          <cell r="P25">
            <v>1618</v>
          </cell>
          <cell r="Q25">
            <v>1548</v>
          </cell>
          <cell r="R25">
            <v>1619</v>
          </cell>
          <cell r="S25">
            <v>1675</v>
          </cell>
          <cell r="T25">
            <v>1773</v>
          </cell>
          <cell r="U25">
            <v>1759</v>
          </cell>
          <cell r="V25">
            <v>1795</v>
          </cell>
          <cell r="W25">
            <v>968</v>
          </cell>
          <cell r="X25">
            <v>1022</v>
          </cell>
          <cell r="Y25">
            <v>1032</v>
          </cell>
          <cell r="Z25">
            <v>1051</v>
          </cell>
          <cell r="AA25">
            <v>1183</v>
          </cell>
          <cell r="AB25">
            <v>1194</v>
          </cell>
          <cell r="AC25">
            <v>1135</v>
          </cell>
          <cell r="AD25">
            <v>1212</v>
          </cell>
        </row>
        <row r="26">
          <cell r="D26" t="str">
            <v>ULA</v>
          </cell>
          <cell r="E26" t="str">
            <v>CRUCH-ESTATAL</v>
          </cell>
          <cell r="G26">
            <v>0.77881619937694702</v>
          </cell>
          <cell r="H26">
            <v>0.79407806191117092</v>
          </cell>
          <cell r="I26">
            <v>0.81355932203389836</v>
          </cell>
          <cell r="J26">
            <v>0.81936245572609212</v>
          </cell>
          <cell r="K26">
            <v>0.82191780821917804</v>
          </cell>
          <cell r="L26">
            <v>0.83918367346938771</v>
          </cell>
          <cell r="M26">
            <v>0.83551114527286707</v>
          </cell>
          <cell r="N26">
            <v>0.875</v>
          </cell>
          <cell r="O26">
            <v>642</v>
          </cell>
          <cell r="P26">
            <v>743</v>
          </cell>
          <cell r="Q26">
            <v>885</v>
          </cell>
          <cell r="R26">
            <v>847</v>
          </cell>
          <cell r="S26">
            <v>1022</v>
          </cell>
          <cell r="T26">
            <v>1225</v>
          </cell>
          <cell r="U26">
            <v>1301</v>
          </cell>
          <cell r="V26">
            <v>1392</v>
          </cell>
          <cell r="W26">
            <v>500</v>
          </cell>
          <cell r="X26">
            <v>590</v>
          </cell>
          <cell r="Y26">
            <v>720</v>
          </cell>
          <cell r="Z26">
            <v>694</v>
          </cell>
          <cell r="AA26">
            <v>840</v>
          </cell>
          <cell r="AB26">
            <v>1028</v>
          </cell>
          <cell r="AC26">
            <v>1087</v>
          </cell>
          <cell r="AD26">
            <v>1218</v>
          </cell>
        </row>
        <row r="27">
          <cell r="D27" t="str">
            <v>MAG</v>
          </cell>
          <cell r="E27" t="str">
            <v>CRUCH-ESTATAL</v>
          </cell>
          <cell r="G27">
            <v>0.4375</v>
          </cell>
          <cell r="H27">
            <v>0.48929159802306427</v>
          </cell>
          <cell r="I27">
            <v>0.51520572450805013</v>
          </cell>
          <cell r="J27">
            <v>0.48652694610778441</v>
          </cell>
          <cell r="K27">
            <v>0.5879194630872483</v>
          </cell>
          <cell r="L27">
            <v>0.56091030789825969</v>
          </cell>
          <cell r="M27">
            <v>0.53641456582633051</v>
          </cell>
          <cell r="N27">
            <v>0.52200303490136568</v>
          </cell>
          <cell r="O27">
            <v>448</v>
          </cell>
          <cell r="P27">
            <v>607</v>
          </cell>
          <cell r="Q27">
            <v>559</v>
          </cell>
          <cell r="R27">
            <v>668</v>
          </cell>
          <cell r="S27">
            <v>745</v>
          </cell>
          <cell r="T27">
            <v>747</v>
          </cell>
          <cell r="U27">
            <v>714</v>
          </cell>
          <cell r="V27">
            <v>659</v>
          </cell>
          <cell r="W27">
            <v>196</v>
          </cell>
          <cell r="X27">
            <v>297</v>
          </cell>
          <cell r="Y27">
            <v>288</v>
          </cell>
          <cell r="Z27">
            <v>325</v>
          </cell>
          <cell r="AA27">
            <v>438</v>
          </cell>
          <cell r="AB27">
            <v>419</v>
          </cell>
          <cell r="AC27">
            <v>383</v>
          </cell>
          <cell r="AD27">
            <v>344</v>
          </cell>
        </row>
        <row r="28">
          <cell r="D28" t="str">
            <v>URO</v>
          </cell>
          <cell r="E28" t="str">
            <v>CRUCH-ESTATAL</v>
          </cell>
          <cell r="G28"/>
          <cell r="H28"/>
          <cell r="I28"/>
          <cell r="J28"/>
          <cell r="K28"/>
          <cell r="L28">
            <v>0.75811209439528027</v>
          </cell>
          <cell r="M28">
            <v>0.75443383356070937</v>
          </cell>
          <cell r="N28">
            <v>0.73271889400921664</v>
          </cell>
          <cell r="O28"/>
          <cell r="P28"/>
          <cell r="Q28"/>
          <cell r="R28"/>
          <cell r="S28"/>
          <cell r="T28">
            <v>339</v>
          </cell>
          <cell r="U28">
            <v>733</v>
          </cell>
          <cell r="V28">
            <v>1085</v>
          </cell>
          <cell r="W28"/>
          <cell r="X28"/>
          <cell r="Y28"/>
          <cell r="Z28"/>
          <cell r="AA28"/>
          <cell r="AB28">
            <v>257</v>
          </cell>
          <cell r="AC28">
            <v>553</v>
          </cell>
          <cell r="AD28">
            <v>795</v>
          </cell>
        </row>
        <row r="29">
          <cell r="D29" t="str">
            <v>UPA</v>
          </cell>
          <cell r="E29" t="str">
            <v>CRUCH-ESTATAL</v>
          </cell>
          <cell r="G29">
            <v>0.73523421588594706</v>
          </cell>
          <cell r="H29">
            <v>0.75209497206703912</v>
          </cell>
          <cell r="I29">
            <v>0.74582172701949856</v>
          </cell>
          <cell r="J29">
            <v>0.71997690531177827</v>
          </cell>
          <cell r="K29">
            <v>0.77956690727373679</v>
          </cell>
          <cell r="L29">
            <v>0.74169096209912533</v>
          </cell>
          <cell r="M29">
            <v>0.71756672873991312</v>
          </cell>
          <cell r="N29">
            <v>0.75807663410969195</v>
          </cell>
          <cell r="O29">
            <v>1473</v>
          </cell>
          <cell r="P29">
            <v>1432</v>
          </cell>
          <cell r="Q29">
            <v>1436</v>
          </cell>
          <cell r="R29">
            <v>1732</v>
          </cell>
          <cell r="S29">
            <v>1801</v>
          </cell>
          <cell r="T29">
            <v>1715</v>
          </cell>
          <cell r="U29">
            <v>1611</v>
          </cell>
          <cell r="V29">
            <v>1331</v>
          </cell>
          <cell r="W29">
            <v>1083</v>
          </cell>
          <cell r="X29">
            <v>1077</v>
          </cell>
          <cell r="Y29">
            <v>1071</v>
          </cell>
          <cell r="Z29">
            <v>1247</v>
          </cell>
          <cell r="AA29">
            <v>1404</v>
          </cell>
          <cell r="AB29">
            <v>1272</v>
          </cell>
          <cell r="AC29">
            <v>1156</v>
          </cell>
          <cell r="AD29">
            <v>1009</v>
          </cell>
        </row>
        <row r="30">
          <cell r="D30" t="str">
            <v>USA</v>
          </cell>
          <cell r="E30" t="str">
            <v>CRUCH-ESTATAL</v>
          </cell>
          <cell r="G30">
            <v>0.59645351961311122</v>
          </cell>
          <cell r="H30">
            <v>0.65202598206000617</v>
          </cell>
          <cell r="I30">
            <v>0.70588235294117652</v>
          </cell>
          <cell r="J30">
            <v>0.65954346770276828</v>
          </cell>
          <cell r="K30">
            <v>0.68323504633529908</v>
          </cell>
          <cell r="L30">
            <v>0.68550955414012738</v>
          </cell>
          <cell r="M30">
            <v>0.67204301075268813</v>
          </cell>
          <cell r="N30">
            <v>0.62677201952126427</v>
          </cell>
          <cell r="O30">
            <v>3722</v>
          </cell>
          <cell r="P30">
            <v>3233</v>
          </cell>
          <cell r="Q30">
            <v>3791</v>
          </cell>
          <cell r="R30">
            <v>4118</v>
          </cell>
          <cell r="S30">
            <v>3561</v>
          </cell>
          <cell r="T30">
            <v>3768</v>
          </cell>
          <cell r="U30">
            <v>3906</v>
          </cell>
          <cell r="V30">
            <v>4303</v>
          </cell>
          <cell r="W30">
            <v>2220</v>
          </cell>
          <cell r="X30">
            <v>2108</v>
          </cell>
          <cell r="Y30">
            <v>2676</v>
          </cell>
          <cell r="Z30">
            <v>2716</v>
          </cell>
          <cell r="AA30">
            <v>2433</v>
          </cell>
          <cell r="AB30">
            <v>2583</v>
          </cell>
          <cell r="AC30">
            <v>2625</v>
          </cell>
          <cell r="AD30">
            <v>2697</v>
          </cell>
        </row>
        <row r="31">
          <cell r="D31" t="str">
            <v>TAL</v>
          </cell>
          <cell r="E31" t="str">
            <v>CRUCH-ESTATAL</v>
          </cell>
          <cell r="G31">
            <v>0.71533258173618941</v>
          </cell>
          <cell r="H31">
            <v>0.73406694176983034</v>
          </cell>
          <cell r="I31">
            <v>0.73735632183908051</v>
          </cell>
          <cell r="J31">
            <v>0.70734341252699784</v>
          </cell>
          <cell r="K31">
            <v>0.72519893899204246</v>
          </cell>
          <cell r="L31">
            <v>0.74517978113600836</v>
          </cell>
          <cell r="M31">
            <v>0.7247165532879819</v>
          </cell>
          <cell r="N31">
            <v>0.73887814313346223</v>
          </cell>
          <cell r="O31">
            <v>1774</v>
          </cell>
          <cell r="P31">
            <v>2181</v>
          </cell>
          <cell r="Q31">
            <v>1740</v>
          </cell>
          <cell r="R31">
            <v>1852</v>
          </cell>
          <cell r="S31">
            <v>1885</v>
          </cell>
          <cell r="T31">
            <v>1919</v>
          </cell>
          <cell r="U31">
            <v>2205</v>
          </cell>
          <cell r="V31">
            <v>2068</v>
          </cell>
          <cell r="W31">
            <v>1269</v>
          </cell>
          <cell r="X31">
            <v>1601</v>
          </cell>
          <cell r="Y31">
            <v>1283</v>
          </cell>
          <cell r="Z31">
            <v>1310</v>
          </cell>
          <cell r="AA31">
            <v>1367</v>
          </cell>
          <cell r="AB31">
            <v>1430</v>
          </cell>
          <cell r="AC31">
            <v>1598</v>
          </cell>
          <cell r="AD31">
            <v>1528</v>
          </cell>
        </row>
        <row r="32">
          <cell r="D32" t="str">
            <v>UTA</v>
          </cell>
          <cell r="E32" t="str">
            <v>CRUCH-ESTATAL</v>
          </cell>
          <cell r="G32">
            <v>0.67118644067796607</v>
          </cell>
          <cell r="H32">
            <v>0.66928618205631962</v>
          </cell>
          <cell r="I32">
            <v>0.6847405112316034</v>
          </cell>
          <cell r="J32">
            <v>0.66709928617780667</v>
          </cell>
          <cell r="K32">
            <v>0.72246153846153849</v>
          </cell>
          <cell r="L32">
            <v>0.72518610421836227</v>
          </cell>
          <cell r="M32">
            <v>0.72972972972972971</v>
          </cell>
          <cell r="N32">
            <v>0.74958170663692136</v>
          </cell>
          <cell r="O32">
            <v>1475</v>
          </cell>
          <cell r="P32">
            <v>1527</v>
          </cell>
          <cell r="Q32">
            <v>1291</v>
          </cell>
          <cell r="R32">
            <v>1541</v>
          </cell>
          <cell r="S32">
            <v>1625</v>
          </cell>
          <cell r="T32">
            <v>1612</v>
          </cell>
          <cell r="U32">
            <v>1813</v>
          </cell>
          <cell r="V32">
            <v>1793</v>
          </cell>
          <cell r="W32">
            <v>990</v>
          </cell>
          <cell r="X32">
            <v>1022</v>
          </cell>
          <cell r="Y32">
            <v>884</v>
          </cell>
          <cell r="Z32">
            <v>1028</v>
          </cell>
          <cell r="AA32">
            <v>1174</v>
          </cell>
          <cell r="AB32">
            <v>1169</v>
          </cell>
          <cell r="AC32">
            <v>1323</v>
          </cell>
          <cell r="AD32">
            <v>1344</v>
          </cell>
        </row>
        <row r="33">
          <cell r="D33" t="str">
            <v>UVA</v>
          </cell>
          <cell r="E33" t="str">
            <v>CRUCH-ESTATAL</v>
          </cell>
          <cell r="G33">
            <v>0.62751065124771754</v>
          </cell>
          <cell r="H33">
            <v>0.64366290643662905</v>
          </cell>
          <cell r="I33">
            <v>0.64736842105263159</v>
          </cell>
          <cell r="J33">
            <v>0.60130718954248363</v>
          </cell>
          <cell r="K33">
            <v>0.6721548238012709</v>
          </cell>
          <cell r="L33">
            <v>0.67460778617083095</v>
          </cell>
          <cell r="M33">
            <v>0.64844861941360665</v>
          </cell>
          <cell r="N33">
            <v>0.66994219653179188</v>
          </cell>
          <cell r="O33">
            <v>3286</v>
          </cell>
          <cell r="P33">
            <v>3014</v>
          </cell>
          <cell r="Q33">
            <v>2850</v>
          </cell>
          <cell r="R33">
            <v>3060</v>
          </cell>
          <cell r="S33">
            <v>3462</v>
          </cell>
          <cell r="T33">
            <v>3442</v>
          </cell>
          <cell r="U33">
            <v>3513</v>
          </cell>
          <cell r="V33">
            <v>3460</v>
          </cell>
          <cell r="W33">
            <v>2062</v>
          </cell>
          <cell r="X33">
            <v>1940</v>
          </cell>
          <cell r="Y33">
            <v>1845</v>
          </cell>
          <cell r="Z33">
            <v>1840</v>
          </cell>
          <cell r="AA33">
            <v>2327</v>
          </cell>
          <cell r="AB33">
            <v>2322</v>
          </cell>
          <cell r="AC33">
            <v>2278</v>
          </cell>
          <cell r="AD33">
            <v>2318</v>
          </cell>
        </row>
        <row r="34">
          <cell r="D34" t="str">
            <v>UBB</v>
          </cell>
          <cell r="E34" t="str">
            <v>CRUCH-ESTATAL</v>
          </cell>
          <cell r="G34">
            <v>0.79146919431279616</v>
          </cell>
          <cell r="H34">
            <v>0.82854617764030047</v>
          </cell>
          <cell r="I34">
            <v>0.84066193853427895</v>
          </cell>
          <cell r="J34">
            <v>0.79973935708079935</v>
          </cell>
          <cell r="K34">
            <v>0.79578392621870886</v>
          </cell>
          <cell r="L34">
            <v>0.79680940386230059</v>
          </cell>
          <cell r="M34">
            <v>0.7781470710427919</v>
          </cell>
          <cell r="N34">
            <v>0.73606557377049175</v>
          </cell>
          <cell r="O34">
            <v>2110</v>
          </cell>
          <cell r="P34">
            <v>2263</v>
          </cell>
          <cell r="Q34">
            <v>2115</v>
          </cell>
          <cell r="R34">
            <v>2302</v>
          </cell>
          <cell r="S34">
            <v>2277</v>
          </cell>
          <cell r="T34">
            <v>2382</v>
          </cell>
          <cell r="U34">
            <v>2407</v>
          </cell>
          <cell r="V34">
            <v>2440</v>
          </cell>
          <cell r="W34">
            <v>1670</v>
          </cell>
          <cell r="X34">
            <v>1875</v>
          </cell>
          <cell r="Y34">
            <v>1778</v>
          </cell>
          <cell r="Z34">
            <v>1841</v>
          </cell>
          <cell r="AA34">
            <v>1812</v>
          </cell>
          <cell r="AB34">
            <v>1898</v>
          </cell>
          <cell r="AC34">
            <v>1873</v>
          </cell>
          <cell r="AD34">
            <v>1796</v>
          </cell>
        </row>
        <row r="35">
          <cell r="D35" t="str">
            <v>UDP</v>
          </cell>
          <cell r="E35" t="str">
            <v>U.PRIVADA</v>
          </cell>
          <cell r="G35"/>
          <cell r="H35"/>
          <cell r="I35"/>
          <cell r="J35"/>
          <cell r="K35"/>
          <cell r="L35"/>
          <cell r="M35"/>
          <cell r="N35">
            <v>0.55642491724345466</v>
          </cell>
          <cell r="O35"/>
          <cell r="P35"/>
          <cell r="Q35"/>
          <cell r="R35"/>
          <cell r="S35"/>
          <cell r="T35"/>
          <cell r="U35"/>
          <cell r="V35">
            <v>3323</v>
          </cell>
          <cell r="W35"/>
          <cell r="X35"/>
          <cell r="Y35"/>
          <cell r="Z35"/>
          <cell r="AA35"/>
          <cell r="AB35"/>
          <cell r="AC35"/>
          <cell r="AD35">
            <v>1849</v>
          </cell>
        </row>
        <row r="36">
          <cell r="D36" t="str">
            <v>UMC</v>
          </cell>
          <cell r="E36" t="str">
            <v>CRUCH-ESTATAL</v>
          </cell>
          <cell r="G36">
            <v>0.65916069600818838</v>
          </cell>
          <cell r="H36">
            <v>0.67375231053604434</v>
          </cell>
          <cell r="I36">
            <v>0.64559386973180077</v>
          </cell>
          <cell r="J36">
            <v>0.65847457627118644</v>
          </cell>
          <cell r="K36">
            <v>0.66479400749063666</v>
          </cell>
          <cell r="L36">
            <v>0.63279857397504458</v>
          </cell>
          <cell r="M36">
            <v>0.61001642036124792</v>
          </cell>
          <cell r="N36">
            <v>0.63384321223709372</v>
          </cell>
          <cell r="O36">
            <v>977</v>
          </cell>
          <cell r="P36">
            <v>1082</v>
          </cell>
          <cell r="Q36">
            <v>1044</v>
          </cell>
          <cell r="R36">
            <v>1180</v>
          </cell>
          <cell r="S36">
            <v>1068</v>
          </cell>
          <cell r="T36">
            <v>1122</v>
          </cell>
          <cell r="U36">
            <v>1218</v>
          </cell>
          <cell r="V36">
            <v>1046</v>
          </cell>
          <cell r="W36">
            <v>644</v>
          </cell>
          <cell r="X36">
            <v>729</v>
          </cell>
          <cell r="Y36">
            <v>674</v>
          </cell>
          <cell r="Z36">
            <v>777</v>
          </cell>
          <cell r="AA36">
            <v>710</v>
          </cell>
          <cell r="AB36">
            <v>710</v>
          </cell>
          <cell r="AC36">
            <v>743</v>
          </cell>
          <cell r="AD36">
            <v>663</v>
          </cell>
        </row>
        <row r="37">
          <cell r="D37" t="str">
            <v>FSM</v>
          </cell>
          <cell r="E37" t="str">
            <v>CRUCH-PRIVADA</v>
          </cell>
          <cell r="G37">
            <v>0.47096774193548385</v>
          </cell>
          <cell r="H37">
            <v>0.49862863411958308</v>
          </cell>
          <cell r="I37">
            <v>0.51072961373390557</v>
          </cell>
          <cell r="J37">
            <v>0.49270664505672607</v>
          </cell>
          <cell r="K37">
            <v>0.54303278688524592</v>
          </cell>
          <cell r="L37">
            <v>0.51407129455909939</v>
          </cell>
          <cell r="M37">
            <v>0.4916077738515901</v>
          </cell>
          <cell r="N37">
            <v>0.50020876826722338</v>
          </cell>
          <cell r="O37">
            <v>2170</v>
          </cell>
          <cell r="P37">
            <v>1823</v>
          </cell>
          <cell r="Q37">
            <v>1864</v>
          </cell>
          <cell r="R37">
            <v>1851</v>
          </cell>
          <cell r="S37">
            <v>1952</v>
          </cell>
          <cell r="T37">
            <v>2132</v>
          </cell>
          <cell r="U37">
            <v>2264</v>
          </cell>
          <cell r="V37">
            <v>2395</v>
          </cell>
          <cell r="W37">
            <v>1022</v>
          </cell>
          <cell r="X37">
            <v>909</v>
          </cell>
          <cell r="Y37">
            <v>952</v>
          </cell>
          <cell r="Z37">
            <v>912</v>
          </cell>
          <cell r="AA37">
            <v>1060</v>
          </cell>
          <cell r="AB37">
            <v>1096</v>
          </cell>
          <cell r="AC37">
            <v>1113</v>
          </cell>
          <cell r="AD37">
            <v>1198</v>
          </cell>
        </row>
        <row r="38">
          <cell r="D38" t="str">
            <v>UTM</v>
          </cell>
          <cell r="E38" t="str">
            <v>CRUCH-ESTATAL</v>
          </cell>
          <cell r="G38">
            <v>0.72512755102040816</v>
          </cell>
          <cell r="H38">
            <v>0.75057208237986273</v>
          </cell>
          <cell r="I38">
            <v>0.75785482123510295</v>
          </cell>
          <cell r="J38">
            <v>0.74829600778967864</v>
          </cell>
          <cell r="K38">
            <v>0.75609756097560976</v>
          </cell>
          <cell r="L38">
            <v>0.74795574795574793</v>
          </cell>
          <cell r="M38">
            <v>0.71901565995525729</v>
          </cell>
          <cell r="N38">
            <v>0.73812154696132593</v>
          </cell>
          <cell r="O38">
            <v>1568</v>
          </cell>
          <cell r="P38">
            <v>1748</v>
          </cell>
          <cell r="Q38">
            <v>1846</v>
          </cell>
          <cell r="R38">
            <v>2054</v>
          </cell>
          <cell r="S38">
            <v>2255</v>
          </cell>
          <cell r="T38">
            <v>2079</v>
          </cell>
          <cell r="U38">
            <v>2235</v>
          </cell>
          <cell r="V38">
            <v>1810</v>
          </cell>
          <cell r="W38">
            <v>1137</v>
          </cell>
          <cell r="X38">
            <v>1312</v>
          </cell>
          <cell r="Y38">
            <v>1399</v>
          </cell>
          <cell r="Z38">
            <v>1537</v>
          </cell>
          <cell r="AA38">
            <v>1705</v>
          </cell>
          <cell r="AB38">
            <v>1555</v>
          </cell>
          <cell r="AC38">
            <v>1607</v>
          </cell>
          <cell r="AD38">
            <v>1336</v>
          </cell>
        </row>
        <row r="39">
          <cell r="D39"/>
          <cell r="E39"/>
          <cell r="G39">
            <v>0.57637975407492137</v>
          </cell>
          <cell r="H39">
            <v>0.59971685451102241</v>
          </cell>
          <cell r="I39">
            <v>0.61606038794455831</v>
          </cell>
          <cell r="J39">
            <v>0.59552161083145283</v>
          </cell>
          <cell r="K39">
            <v>0.6255377527861522</v>
          </cell>
          <cell r="L39">
            <v>0.62159534676794803</v>
          </cell>
          <cell r="M39">
            <v>0.60409572530448696</v>
          </cell>
          <cell r="N39">
            <v>0.61016354114859128</v>
          </cell>
          <cell r="O39">
            <v>52455</v>
          </cell>
          <cell r="P39">
            <v>54389</v>
          </cell>
          <cell r="Q39">
            <v>54183</v>
          </cell>
          <cell r="R39">
            <v>57610</v>
          </cell>
          <cell r="S39">
            <v>59042</v>
          </cell>
          <cell r="T39">
            <v>60689</v>
          </cell>
          <cell r="U39">
            <v>63139</v>
          </cell>
          <cell r="V39">
            <v>68362</v>
          </cell>
          <cell r="W39">
            <v>30234</v>
          </cell>
          <cell r="X39">
            <v>32618</v>
          </cell>
          <cell r="Y39">
            <v>33380</v>
          </cell>
          <cell r="Z39">
            <v>34308</v>
          </cell>
          <cell r="AA39">
            <v>36933</v>
          </cell>
          <cell r="AB39">
            <v>37724</v>
          </cell>
          <cell r="AC39">
            <v>38142</v>
          </cell>
          <cell r="AD39">
            <v>41712</v>
          </cell>
        </row>
        <row r="40">
          <cell r="D40"/>
          <cell r="E40" t="str">
            <v>U.PRIVADA</v>
          </cell>
          <cell r="G40">
            <v>0.60610687022900767</v>
          </cell>
          <cell r="H40">
            <v>0.59277504105090317</v>
          </cell>
          <cell r="I40">
            <v>0.57954545454545459</v>
          </cell>
          <cell r="J40">
            <v>0.53125</v>
          </cell>
          <cell r="K40">
            <v>0.52682926829268295</v>
          </cell>
          <cell r="L40">
            <v>0.43761638733705771</v>
          </cell>
          <cell r="M40">
            <v>0.71195652173913049</v>
          </cell>
          <cell r="N40">
            <v>0.76758045292014299</v>
          </cell>
          <cell r="O40">
            <v>655</v>
          </cell>
          <cell r="P40">
            <v>609</v>
          </cell>
          <cell r="Q40">
            <v>616</v>
          </cell>
          <cell r="R40">
            <v>768</v>
          </cell>
          <cell r="S40">
            <v>615</v>
          </cell>
          <cell r="T40">
            <v>537</v>
          </cell>
          <cell r="U40">
            <v>736</v>
          </cell>
          <cell r="V40">
            <v>839</v>
          </cell>
          <cell r="W40">
            <v>397</v>
          </cell>
          <cell r="X40">
            <v>361</v>
          </cell>
          <cell r="Y40">
            <v>357</v>
          </cell>
          <cell r="Z40">
            <v>408</v>
          </cell>
          <cell r="AA40">
            <v>324</v>
          </cell>
          <cell r="AB40">
            <v>235</v>
          </cell>
          <cell r="AC40">
            <v>524</v>
          </cell>
          <cell r="AD40">
            <v>644</v>
          </cell>
        </row>
        <row r="41">
          <cell r="D41"/>
          <cell r="E41" t="str">
            <v>U.PRIVADA</v>
          </cell>
          <cell r="G41">
            <v>7.758186397984887E-2</v>
          </cell>
          <cell r="H41">
            <v>0.11235059760956176</v>
          </cell>
          <cell r="I41">
            <v>0.11445279866332497</v>
          </cell>
          <cell r="J41">
            <v>0.1</v>
          </cell>
          <cell r="K41">
            <v>0.10378787878787879</v>
          </cell>
          <cell r="L41">
            <v>8.2605242255758535E-2</v>
          </cell>
          <cell r="M41">
            <v>3.0795551753635585E-2</v>
          </cell>
          <cell r="N41">
            <v>8.2329317269076302E-2</v>
          </cell>
          <cell r="O41">
            <v>1985</v>
          </cell>
          <cell r="P41">
            <v>1255</v>
          </cell>
          <cell r="Q41">
            <v>1197</v>
          </cell>
          <cell r="R41">
            <v>1220</v>
          </cell>
          <cell r="S41">
            <v>1320</v>
          </cell>
          <cell r="T41">
            <v>1259</v>
          </cell>
          <cell r="U41">
            <v>1169</v>
          </cell>
          <cell r="V41">
            <v>498</v>
          </cell>
          <cell r="W41">
            <v>154</v>
          </cell>
          <cell r="X41">
            <v>141</v>
          </cell>
          <cell r="Y41">
            <v>137</v>
          </cell>
          <cell r="Z41">
            <v>122</v>
          </cell>
          <cell r="AA41">
            <v>137</v>
          </cell>
          <cell r="AB41">
            <v>104</v>
          </cell>
          <cell r="AC41">
            <v>36</v>
          </cell>
          <cell r="AD41">
            <v>41</v>
          </cell>
        </row>
        <row r="42">
          <cell r="D42"/>
          <cell r="E42" t="str">
            <v>U.PRIVADA</v>
          </cell>
          <cell r="G42">
            <v>0.55631399317406138</v>
          </cell>
          <cell r="H42">
            <v>0.65957446808510634</v>
          </cell>
          <cell r="I42">
            <v>0.73421052631578942</v>
          </cell>
          <cell r="J42">
            <v>0.73087818696883855</v>
          </cell>
          <cell r="K42">
            <v>0.61197916666666663</v>
          </cell>
          <cell r="L42">
            <v>0.50462962962962965</v>
          </cell>
          <cell r="M42">
            <v>0.42035398230088494</v>
          </cell>
          <cell r="N42">
            <v>0.35897435897435898</v>
          </cell>
          <cell r="O42">
            <v>293</v>
          </cell>
          <cell r="P42">
            <v>376</v>
          </cell>
          <cell r="Q42">
            <v>380</v>
          </cell>
          <cell r="R42">
            <v>353</v>
          </cell>
          <cell r="S42">
            <v>384</v>
          </cell>
          <cell r="T42">
            <v>432</v>
          </cell>
          <cell r="U42">
            <v>452</v>
          </cell>
          <cell r="V42">
            <v>468</v>
          </cell>
          <cell r="W42">
            <v>163</v>
          </cell>
          <cell r="X42">
            <v>248</v>
          </cell>
          <cell r="Y42">
            <v>279</v>
          </cell>
          <cell r="Z42">
            <v>258</v>
          </cell>
          <cell r="AA42">
            <v>235</v>
          </cell>
          <cell r="AB42">
            <v>218</v>
          </cell>
          <cell r="AC42">
            <v>190</v>
          </cell>
          <cell r="AD42">
            <v>168</v>
          </cell>
        </row>
        <row r="43">
          <cell r="D43"/>
          <cell r="E43" t="str">
            <v>U.PRIVADA</v>
          </cell>
          <cell r="G43">
            <v>0.52495697074010328</v>
          </cell>
          <cell r="H43">
            <v>0.54051863857374394</v>
          </cell>
          <cell r="I43">
            <v>0.54968454258675081</v>
          </cell>
          <cell r="J43">
            <v>0.5496598639455782</v>
          </cell>
          <cell r="K43">
            <v>0.67025733093955719</v>
          </cell>
          <cell r="L43">
            <v>0.68223637650389246</v>
          </cell>
          <cell r="M43">
            <v>0.64918256130790186</v>
          </cell>
          <cell r="N43"/>
          <cell r="O43">
            <v>1162</v>
          </cell>
          <cell r="P43">
            <v>1234</v>
          </cell>
          <cell r="Q43">
            <v>1268</v>
          </cell>
          <cell r="R43">
            <v>1470</v>
          </cell>
          <cell r="S43">
            <v>1671</v>
          </cell>
          <cell r="T43">
            <v>1413</v>
          </cell>
          <cell r="U43">
            <v>1468</v>
          </cell>
          <cell r="V43"/>
          <cell r="W43">
            <v>610</v>
          </cell>
          <cell r="X43">
            <v>667</v>
          </cell>
          <cell r="Y43">
            <v>697</v>
          </cell>
          <cell r="Z43">
            <v>808</v>
          </cell>
          <cell r="AA43">
            <v>1120</v>
          </cell>
          <cell r="AB43">
            <v>964</v>
          </cell>
          <cell r="AC43">
            <v>953</v>
          </cell>
          <cell r="AD43"/>
        </row>
        <row r="44">
          <cell r="D44"/>
          <cell r="E44" t="str">
            <v>U.PRIVADA</v>
          </cell>
          <cell r="G44">
            <v>0.43491799875441145</v>
          </cell>
          <cell r="H44">
            <v>0.50858263854830799</v>
          </cell>
          <cell r="I44">
            <v>0.52253866465484722</v>
          </cell>
          <cell r="J44">
            <v>0.52252151559181848</v>
          </cell>
          <cell r="K44">
            <v>0.46727048167970359</v>
          </cell>
          <cell r="L44">
            <v>0.40365910143584993</v>
          </cell>
          <cell r="M44">
            <v>0.3382235869441601</v>
          </cell>
          <cell r="N44">
            <v>0.34756097560975607</v>
          </cell>
          <cell r="O44">
            <v>9634</v>
          </cell>
          <cell r="P44">
            <v>10195</v>
          </cell>
          <cell r="Q44">
            <v>10604</v>
          </cell>
          <cell r="R44">
            <v>8947</v>
          </cell>
          <cell r="S44">
            <v>9716</v>
          </cell>
          <cell r="T44">
            <v>8636</v>
          </cell>
          <cell r="U44">
            <v>8793</v>
          </cell>
          <cell r="V44">
            <v>9348</v>
          </cell>
          <cell r="W44">
            <v>4190</v>
          </cell>
          <cell r="X44">
            <v>5185</v>
          </cell>
          <cell r="Y44">
            <v>5541</v>
          </cell>
          <cell r="Z44">
            <v>4675</v>
          </cell>
          <cell r="AA44">
            <v>4540</v>
          </cell>
          <cell r="AB44">
            <v>3486</v>
          </cell>
          <cell r="AC44">
            <v>2974</v>
          </cell>
          <cell r="AD44">
            <v>3249</v>
          </cell>
        </row>
        <row r="45">
          <cell r="D45"/>
          <cell r="E45" t="str">
            <v>U.PRIVADA</v>
          </cell>
          <cell r="G45">
            <v>0.70137795275590553</v>
          </cell>
          <cell r="H45">
            <v>0.71059954464963315</v>
          </cell>
          <cell r="I45">
            <v>0.69373988127361041</v>
          </cell>
          <cell r="J45">
            <v>0.66383701188455013</v>
          </cell>
          <cell r="K45">
            <v>0.79819161215852252</v>
          </cell>
          <cell r="L45">
            <v>0.86898346032335994</v>
          </cell>
          <cell r="M45">
            <v>0.81781914893617025</v>
          </cell>
          <cell r="N45">
            <v>0.83290582631000365</v>
          </cell>
          <cell r="O45">
            <v>5080</v>
          </cell>
          <cell r="P45">
            <v>3953</v>
          </cell>
          <cell r="Q45">
            <v>3706</v>
          </cell>
          <cell r="R45">
            <v>4123</v>
          </cell>
          <cell r="S45">
            <v>5198</v>
          </cell>
          <cell r="T45">
            <v>5381</v>
          </cell>
          <cell r="U45">
            <v>5264</v>
          </cell>
          <cell r="V45">
            <v>5458</v>
          </cell>
          <cell r="W45">
            <v>3563</v>
          </cell>
          <cell r="X45">
            <v>2809</v>
          </cell>
          <cell r="Y45">
            <v>2571</v>
          </cell>
          <cell r="Z45">
            <v>2737</v>
          </cell>
          <cell r="AA45">
            <v>4149</v>
          </cell>
          <cell r="AB45">
            <v>4676</v>
          </cell>
          <cell r="AC45">
            <v>4305</v>
          </cell>
          <cell r="AD45">
            <v>4546</v>
          </cell>
        </row>
        <row r="46">
          <cell r="D46"/>
          <cell r="E46" t="str">
            <v>U.PRIVADA</v>
          </cell>
          <cell r="G46">
            <v>0.53852596314907875</v>
          </cell>
          <cell r="H46">
            <v>0.37</v>
          </cell>
          <cell r="I46">
            <v>0.52112676056338025</v>
          </cell>
          <cell r="J46">
            <v>0.57673667205169632</v>
          </cell>
          <cell r="K46">
            <v>0.58879184861717615</v>
          </cell>
          <cell r="L46">
            <v>0.47643979057591623</v>
          </cell>
          <cell r="M46">
            <v>0.35748792270531399</v>
          </cell>
          <cell r="N46">
            <v>0.41883408071748879</v>
          </cell>
          <cell r="O46">
            <v>1194</v>
          </cell>
          <cell r="P46">
            <v>400</v>
          </cell>
          <cell r="Q46">
            <v>1278</v>
          </cell>
          <cell r="R46">
            <v>1238</v>
          </cell>
          <cell r="S46">
            <v>1374</v>
          </cell>
          <cell r="T46">
            <v>1337</v>
          </cell>
          <cell r="U46">
            <v>1449</v>
          </cell>
          <cell r="V46">
            <v>1115</v>
          </cell>
          <cell r="W46">
            <v>643</v>
          </cell>
          <cell r="X46">
            <v>148</v>
          </cell>
          <cell r="Y46">
            <v>666</v>
          </cell>
          <cell r="Z46">
            <v>714</v>
          </cell>
          <cell r="AA46">
            <v>809</v>
          </cell>
          <cell r="AB46">
            <v>637</v>
          </cell>
          <cell r="AC46">
            <v>518</v>
          </cell>
          <cell r="AD46">
            <v>467</v>
          </cell>
        </row>
        <row r="47">
          <cell r="D47"/>
          <cell r="E47" t="str">
            <v>U.PRIVADA</v>
          </cell>
          <cell r="G47">
            <v>0.17765042979942694</v>
          </cell>
          <cell r="H47">
            <v>0.2058252427184466</v>
          </cell>
          <cell r="I47">
            <v>0.17391304347826086</v>
          </cell>
          <cell r="J47">
            <v>0.23798076923076922</v>
          </cell>
          <cell r="K47">
            <v>0.28729838709677419</v>
          </cell>
          <cell r="L47">
            <v>0.28761061946902655</v>
          </cell>
          <cell r="M47">
            <v>0.16858237547892721</v>
          </cell>
          <cell r="N47">
            <v>0.23829787234042554</v>
          </cell>
          <cell r="O47">
            <v>349</v>
          </cell>
          <cell r="P47">
            <v>1030</v>
          </cell>
          <cell r="Q47">
            <v>460</v>
          </cell>
          <cell r="R47">
            <v>416</v>
          </cell>
          <cell r="S47">
            <v>992</v>
          </cell>
          <cell r="T47">
            <v>678</v>
          </cell>
          <cell r="U47">
            <v>261</v>
          </cell>
          <cell r="V47">
            <v>235</v>
          </cell>
          <cell r="W47">
            <v>62</v>
          </cell>
          <cell r="X47">
            <v>212</v>
          </cell>
          <cell r="Y47">
            <v>80</v>
          </cell>
          <cell r="Z47">
            <v>99</v>
          </cell>
          <cell r="AA47">
            <v>285</v>
          </cell>
          <cell r="AB47">
            <v>195</v>
          </cell>
          <cell r="AC47">
            <v>44</v>
          </cell>
          <cell r="AD47">
            <v>56</v>
          </cell>
        </row>
        <row r="48">
          <cell r="D48"/>
          <cell r="E48" t="str">
            <v>U.PRIVADA</v>
          </cell>
          <cell r="G48">
            <v>0.44831223628691985</v>
          </cell>
          <cell r="H48">
            <v>0.55592105263157898</v>
          </cell>
          <cell r="I48">
            <v>0.54957507082152979</v>
          </cell>
          <cell r="J48">
            <v>0.58289241622574961</v>
          </cell>
          <cell r="K48">
            <v>0.81757656458055927</v>
          </cell>
          <cell r="L48">
            <v>0.80333564975677552</v>
          </cell>
          <cell r="M48">
            <v>0.79623824451410663</v>
          </cell>
          <cell r="N48">
            <v>0.8294010889292196</v>
          </cell>
          <cell r="O48">
            <v>948</v>
          </cell>
          <cell r="P48">
            <v>912</v>
          </cell>
          <cell r="Q48">
            <v>1059</v>
          </cell>
          <cell r="R48">
            <v>1134</v>
          </cell>
          <cell r="S48">
            <v>1502</v>
          </cell>
          <cell r="T48">
            <v>1439</v>
          </cell>
          <cell r="U48">
            <v>1595</v>
          </cell>
          <cell r="V48">
            <v>1653</v>
          </cell>
          <cell r="W48">
            <v>425</v>
          </cell>
          <cell r="X48">
            <v>507</v>
          </cell>
          <cell r="Y48">
            <v>582</v>
          </cell>
          <cell r="Z48">
            <v>661</v>
          </cell>
          <cell r="AA48">
            <v>1228</v>
          </cell>
          <cell r="AB48">
            <v>1156</v>
          </cell>
          <cell r="AC48">
            <v>1270</v>
          </cell>
          <cell r="AD48">
            <v>1371</v>
          </cell>
        </row>
        <row r="49">
          <cell r="D49"/>
          <cell r="E49" t="str">
            <v>U.PRIVADA</v>
          </cell>
          <cell r="G49">
            <v>0.54289166331051153</v>
          </cell>
          <cell r="H49">
            <v>0.5735115431348724</v>
          </cell>
          <cell r="I49">
            <v>0.59445337620578775</v>
          </cell>
          <cell r="J49">
            <v>0.53638344226579515</v>
          </cell>
          <cell r="K49">
            <v>0.50074074074074071</v>
          </cell>
          <cell r="L49">
            <v>0.43175217812197481</v>
          </cell>
          <cell r="M49">
            <v>0.37234944868532655</v>
          </cell>
          <cell r="N49">
            <v>0.3773420479302832</v>
          </cell>
          <cell r="O49">
            <v>2483</v>
          </cell>
          <cell r="P49">
            <v>2469</v>
          </cell>
          <cell r="Q49">
            <v>2488</v>
          </cell>
          <cell r="R49">
            <v>2295</v>
          </cell>
          <cell r="S49">
            <v>2025</v>
          </cell>
          <cell r="T49">
            <v>2066</v>
          </cell>
          <cell r="U49">
            <v>2358</v>
          </cell>
          <cell r="V49">
            <v>2295</v>
          </cell>
          <cell r="W49">
            <v>1348</v>
          </cell>
          <cell r="X49">
            <v>1416</v>
          </cell>
          <cell r="Y49">
            <v>1479</v>
          </cell>
          <cell r="Z49">
            <v>1231</v>
          </cell>
          <cell r="AA49">
            <v>1014</v>
          </cell>
          <cell r="AB49">
            <v>892</v>
          </cell>
          <cell r="AC49">
            <v>878</v>
          </cell>
          <cell r="AD49">
            <v>866</v>
          </cell>
        </row>
        <row r="50">
          <cell r="D50"/>
          <cell r="E50" t="str">
            <v>U.PRIVADA</v>
          </cell>
          <cell r="G50">
            <v>0.10752688172043011</v>
          </cell>
          <cell r="H50">
            <v>0.12380952380952381</v>
          </cell>
          <cell r="I50">
            <v>0.20143884892086331</v>
          </cell>
          <cell r="J50">
            <v>0.18939393939393939</v>
          </cell>
          <cell r="K50">
            <v>0.20833333333333334</v>
          </cell>
          <cell r="L50">
            <v>0.13709677419354838</v>
          </cell>
          <cell r="M50"/>
          <cell r="N50"/>
          <cell r="O50">
            <v>93</v>
          </cell>
          <cell r="P50">
            <v>105</v>
          </cell>
          <cell r="Q50">
            <v>139</v>
          </cell>
          <cell r="R50">
            <v>132</v>
          </cell>
          <cell r="S50">
            <v>120</v>
          </cell>
          <cell r="T50">
            <v>124</v>
          </cell>
          <cell r="U50"/>
          <cell r="V50"/>
          <cell r="W50">
            <v>10</v>
          </cell>
          <cell r="X50">
            <v>13</v>
          </cell>
          <cell r="Y50">
            <v>28</v>
          </cell>
          <cell r="Z50">
            <v>25</v>
          </cell>
          <cell r="AA50">
            <v>25</v>
          </cell>
          <cell r="AB50">
            <v>17</v>
          </cell>
          <cell r="AC50"/>
          <cell r="AD50"/>
        </row>
        <row r="51">
          <cell r="D51"/>
          <cell r="E51" t="str">
            <v>U.PRIVADA</v>
          </cell>
          <cell r="G51">
            <v>0.18237082066869301</v>
          </cell>
          <cell r="H51">
            <v>0.18704379562043796</v>
          </cell>
          <cell r="I51">
            <v>0.25979680696661828</v>
          </cell>
          <cell r="J51">
            <v>0.30434782608695654</v>
          </cell>
          <cell r="K51">
            <v>0.33590308370044053</v>
          </cell>
          <cell r="L51">
            <v>0.25146198830409355</v>
          </cell>
          <cell r="M51">
            <v>0.20452310717797442</v>
          </cell>
          <cell r="N51">
            <v>0.21478873239436619</v>
          </cell>
          <cell r="O51">
            <v>1316</v>
          </cell>
          <cell r="P51">
            <v>1096</v>
          </cell>
          <cell r="Q51">
            <v>689</v>
          </cell>
          <cell r="R51">
            <v>1081</v>
          </cell>
          <cell r="S51">
            <v>908</v>
          </cell>
          <cell r="T51">
            <v>1026</v>
          </cell>
          <cell r="U51">
            <v>1017</v>
          </cell>
          <cell r="V51">
            <v>852</v>
          </cell>
          <cell r="W51">
            <v>240</v>
          </cell>
          <cell r="X51">
            <v>205</v>
          </cell>
          <cell r="Y51">
            <v>179</v>
          </cell>
          <cell r="Z51">
            <v>329</v>
          </cell>
          <cell r="AA51">
            <v>305</v>
          </cell>
          <cell r="AB51">
            <v>258</v>
          </cell>
          <cell r="AC51">
            <v>208</v>
          </cell>
          <cell r="AD51">
            <v>183</v>
          </cell>
        </row>
        <row r="52">
          <cell r="D52"/>
          <cell r="E52" t="str">
            <v>U.PRIVADA</v>
          </cell>
          <cell r="G52">
            <v>0.417940876656473</v>
          </cell>
          <cell r="H52">
            <v>0.46642246642246643</v>
          </cell>
          <cell r="I52">
            <v>0.4796854521625164</v>
          </cell>
          <cell r="J52"/>
          <cell r="K52">
            <v>0.33333333333333331</v>
          </cell>
          <cell r="L52">
            <v>0</v>
          </cell>
          <cell r="M52"/>
          <cell r="N52"/>
          <cell r="O52">
            <v>981</v>
          </cell>
          <cell r="P52">
            <v>819</v>
          </cell>
          <cell r="Q52">
            <v>763</v>
          </cell>
          <cell r="R52"/>
          <cell r="S52">
            <v>33</v>
          </cell>
          <cell r="T52">
            <v>1</v>
          </cell>
          <cell r="U52"/>
          <cell r="V52"/>
          <cell r="W52">
            <v>410</v>
          </cell>
          <cell r="X52">
            <v>382</v>
          </cell>
          <cell r="Y52">
            <v>366</v>
          </cell>
          <cell r="Z52"/>
          <cell r="AA52">
            <v>11</v>
          </cell>
          <cell r="AB52"/>
          <cell r="AC52"/>
          <cell r="AD52"/>
        </row>
        <row r="53">
          <cell r="D53"/>
          <cell r="E53" t="str">
            <v>U.PRIVADA</v>
          </cell>
          <cell r="G53">
            <v>0.11253196930946291</v>
          </cell>
          <cell r="H53">
            <v>0.14606741573033707</v>
          </cell>
          <cell r="I53">
            <v>0.20357142857142857</v>
          </cell>
          <cell r="J53">
            <v>0.22479564032697547</v>
          </cell>
          <cell r="K53">
            <v>0.24376731301939059</v>
          </cell>
          <cell r="L53">
            <v>0.1350844277673546</v>
          </cell>
          <cell r="M53">
            <v>0.11676909569798069</v>
          </cell>
          <cell r="N53">
            <v>0.10766423357664233</v>
          </cell>
          <cell r="O53">
            <v>782</v>
          </cell>
          <cell r="P53">
            <v>534</v>
          </cell>
          <cell r="Q53">
            <v>560</v>
          </cell>
          <cell r="R53">
            <v>734</v>
          </cell>
          <cell r="S53">
            <v>722</v>
          </cell>
          <cell r="T53">
            <v>1066</v>
          </cell>
          <cell r="U53">
            <v>1139</v>
          </cell>
          <cell r="V53">
            <v>1096</v>
          </cell>
          <cell r="W53">
            <v>88</v>
          </cell>
          <cell r="X53">
            <v>78</v>
          </cell>
          <cell r="Y53">
            <v>114</v>
          </cell>
          <cell r="Z53">
            <v>165</v>
          </cell>
          <cell r="AA53">
            <v>176</v>
          </cell>
          <cell r="AB53">
            <v>144</v>
          </cell>
          <cell r="AC53">
            <v>133</v>
          </cell>
          <cell r="AD53">
            <v>118</v>
          </cell>
        </row>
        <row r="54">
          <cell r="D54"/>
          <cell r="E54" t="str">
            <v>U.PRIVADA</v>
          </cell>
          <cell r="G54">
            <v>0.45065838141736941</v>
          </cell>
          <cell r="H54">
            <v>0.48454070201643018</v>
          </cell>
          <cell r="I54">
            <v>0.3836967808930426</v>
          </cell>
          <cell r="J54">
            <v>0.39352226720647776</v>
          </cell>
          <cell r="K54">
            <v>0.48015034061545692</v>
          </cell>
          <cell r="L54">
            <v>0.3494000827472073</v>
          </cell>
          <cell r="M54">
            <v>0.30814814814814817</v>
          </cell>
          <cell r="N54">
            <v>0.2722027094831912</v>
          </cell>
          <cell r="O54">
            <v>6759</v>
          </cell>
          <cell r="P54">
            <v>6695</v>
          </cell>
          <cell r="Q54">
            <v>3852</v>
          </cell>
          <cell r="R54">
            <v>3705</v>
          </cell>
          <cell r="S54">
            <v>4257</v>
          </cell>
          <cell r="T54">
            <v>4834</v>
          </cell>
          <cell r="U54">
            <v>4050</v>
          </cell>
          <cell r="V54">
            <v>3986</v>
          </cell>
          <cell r="W54">
            <v>3046</v>
          </cell>
          <cell r="X54">
            <v>3244</v>
          </cell>
          <cell r="Y54">
            <v>1478</v>
          </cell>
          <cell r="Z54">
            <v>1458</v>
          </cell>
          <cell r="AA54">
            <v>2044</v>
          </cell>
          <cell r="AB54">
            <v>1689</v>
          </cell>
          <cell r="AC54">
            <v>1248</v>
          </cell>
          <cell r="AD54">
            <v>1085</v>
          </cell>
        </row>
        <row r="55">
          <cell r="D55"/>
          <cell r="E55" t="str">
            <v>U.PRIVADA</v>
          </cell>
          <cell r="G55">
            <v>0.10035419126328217</v>
          </cell>
          <cell r="H55">
            <v>9.9911582670203364E-2</v>
          </cell>
          <cell r="I55">
            <v>9.3648208469055375E-2</v>
          </cell>
          <cell r="J55">
            <v>9.5973154362416102E-2</v>
          </cell>
          <cell r="K55">
            <v>0.10396825396825397</v>
          </cell>
          <cell r="L55">
            <v>6.147859922178988E-2</v>
          </cell>
          <cell r="M55">
            <v>3.8825757575757576E-2</v>
          </cell>
          <cell r="N55">
            <v>3.5714285714285712E-2</v>
          </cell>
          <cell r="O55">
            <v>847</v>
          </cell>
          <cell r="P55">
            <v>1131</v>
          </cell>
          <cell r="Q55">
            <v>1228</v>
          </cell>
          <cell r="R55">
            <v>1490</v>
          </cell>
          <cell r="S55">
            <v>1260</v>
          </cell>
          <cell r="T55">
            <v>1285</v>
          </cell>
          <cell r="U55">
            <v>1056</v>
          </cell>
          <cell r="V55">
            <v>1064</v>
          </cell>
          <cell r="W55">
            <v>85</v>
          </cell>
          <cell r="X55">
            <v>113</v>
          </cell>
          <cell r="Y55">
            <v>115</v>
          </cell>
          <cell r="Z55">
            <v>143</v>
          </cell>
          <cell r="AA55">
            <v>131</v>
          </cell>
          <cell r="AB55">
            <v>79</v>
          </cell>
          <cell r="AC55">
            <v>41</v>
          </cell>
          <cell r="AD55">
            <v>38</v>
          </cell>
        </row>
        <row r="56">
          <cell r="D56"/>
          <cell r="E56" t="str">
            <v>U.PRIVADA</v>
          </cell>
          <cell r="G56">
            <v>0.48609625668449197</v>
          </cell>
          <cell r="H56">
            <v>0.54300168634064083</v>
          </cell>
          <cell r="I56">
            <v>0.56441717791411039</v>
          </cell>
          <cell r="J56">
            <v>0.56050955414012738</v>
          </cell>
          <cell r="K56">
            <v>0.57415355269432522</v>
          </cell>
          <cell r="L56">
            <v>0.40266666666666667</v>
          </cell>
          <cell r="M56">
            <v>0.32463110102156639</v>
          </cell>
          <cell r="N56">
            <v>0.29753521126760563</v>
          </cell>
          <cell r="O56">
            <v>1870</v>
          </cell>
          <cell r="P56">
            <v>1186</v>
          </cell>
          <cell r="Q56">
            <v>1956</v>
          </cell>
          <cell r="R56">
            <v>1884</v>
          </cell>
          <cell r="S56">
            <v>2097</v>
          </cell>
          <cell r="T56">
            <v>1875</v>
          </cell>
          <cell r="U56">
            <v>1762</v>
          </cell>
          <cell r="V56">
            <v>1704</v>
          </cell>
          <cell r="W56">
            <v>909</v>
          </cell>
          <cell r="X56">
            <v>644</v>
          </cell>
          <cell r="Y56">
            <v>1104</v>
          </cell>
          <cell r="Z56">
            <v>1056</v>
          </cell>
          <cell r="AA56">
            <v>1204</v>
          </cell>
          <cell r="AB56">
            <v>755</v>
          </cell>
          <cell r="AC56">
            <v>572</v>
          </cell>
          <cell r="AD56">
            <v>507</v>
          </cell>
        </row>
        <row r="57">
          <cell r="D57"/>
          <cell r="E57" t="str">
            <v>U.PRIVADA</v>
          </cell>
          <cell r="G57">
            <v>0.17700112739571588</v>
          </cell>
          <cell r="H57">
            <v>0.17885532591414943</v>
          </cell>
          <cell r="I57">
            <v>0.19187898089171976</v>
          </cell>
          <cell r="J57">
            <v>0.19924953095684803</v>
          </cell>
          <cell r="K57">
            <v>0.1906147690069116</v>
          </cell>
          <cell r="L57">
            <v>0.16452991452991453</v>
          </cell>
          <cell r="M57">
            <v>0.12843691148775896</v>
          </cell>
          <cell r="N57">
            <v>0.11479786422578185</v>
          </cell>
          <cell r="O57">
            <v>2661</v>
          </cell>
          <cell r="P57">
            <v>2516</v>
          </cell>
          <cell r="Q57">
            <v>2512</v>
          </cell>
          <cell r="R57">
            <v>2665</v>
          </cell>
          <cell r="S57">
            <v>2749</v>
          </cell>
          <cell r="T57">
            <v>2808</v>
          </cell>
          <cell r="U57">
            <v>2655</v>
          </cell>
          <cell r="V57">
            <v>2622</v>
          </cell>
          <cell r="W57">
            <v>471</v>
          </cell>
          <cell r="X57">
            <v>450</v>
          </cell>
          <cell r="Y57">
            <v>482</v>
          </cell>
          <cell r="Z57">
            <v>531</v>
          </cell>
          <cell r="AA57">
            <v>524</v>
          </cell>
          <cell r="AB57">
            <v>462</v>
          </cell>
          <cell r="AC57">
            <v>341</v>
          </cell>
          <cell r="AD57">
            <v>301</v>
          </cell>
        </row>
        <row r="58">
          <cell r="D58"/>
          <cell r="E58" t="str">
            <v>U.PRIVADA</v>
          </cell>
          <cell r="G58">
            <v>0.38678387390118218</v>
          </cell>
          <cell r="H58"/>
          <cell r="I58"/>
          <cell r="J58"/>
          <cell r="K58"/>
          <cell r="L58"/>
          <cell r="M58"/>
          <cell r="N58"/>
          <cell r="O58">
            <v>3299</v>
          </cell>
          <cell r="P58"/>
          <cell r="Q58"/>
          <cell r="R58"/>
          <cell r="S58"/>
          <cell r="T58"/>
          <cell r="U58"/>
          <cell r="V58"/>
          <cell r="W58">
            <v>1276</v>
          </cell>
          <cell r="X58"/>
          <cell r="Y58"/>
          <cell r="Z58"/>
          <cell r="AA58"/>
          <cell r="AB58"/>
          <cell r="AC58"/>
          <cell r="AD58"/>
        </row>
        <row r="59">
          <cell r="D59"/>
          <cell r="E59" t="str">
            <v>U.PRIVADA</v>
          </cell>
          <cell r="G59">
            <v>0.35604395604395606</v>
          </cell>
          <cell r="H59">
            <v>0.36319018404907977</v>
          </cell>
          <cell r="I59">
            <v>0.36484687083888151</v>
          </cell>
          <cell r="J59">
            <v>0.30078125</v>
          </cell>
          <cell r="K59">
            <v>0.35294117647058826</v>
          </cell>
          <cell r="L59">
            <v>0.245</v>
          </cell>
          <cell r="M59">
            <v>0.11374407582938388</v>
          </cell>
          <cell r="N59"/>
          <cell r="O59">
            <v>910</v>
          </cell>
          <cell r="P59">
            <v>815</v>
          </cell>
          <cell r="Q59">
            <v>751</v>
          </cell>
          <cell r="R59">
            <v>512</v>
          </cell>
          <cell r="S59">
            <v>561</v>
          </cell>
          <cell r="T59">
            <v>600</v>
          </cell>
          <cell r="U59">
            <v>211</v>
          </cell>
          <cell r="V59"/>
          <cell r="W59">
            <v>324</v>
          </cell>
          <cell r="X59">
            <v>296</v>
          </cell>
          <cell r="Y59">
            <v>274</v>
          </cell>
          <cell r="Z59">
            <v>154</v>
          </cell>
          <cell r="AA59">
            <v>198</v>
          </cell>
          <cell r="AB59">
            <v>147</v>
          </cell>
          <cell r="AC59">
            <v>24</v>
          </cell>
          <cell r="AD59"/>
        </row>
        <row r="60">
          <cell r="D60"/>
          <cell r="E60" t="str">
            <v>U.PRIVADA</v>
          </cell>
          <cell r="G60">
            <v>0.29138276553106213</v>
          </cell>
          <cell r="H60">
            <v>0.36324479540559945</v>
          </cell>
          <cell r="I60">
            <v>0.39039887045534771</v>
          </cell>
          <cell r="J60">
            <v>0.36712425202393523</v>
          </cell>
          <cell r="K60">
            <v>0.54106280193236711</v>
          </cell>
          <cell r="L60">
            <v>0.52902804957599481</v>
          </cell>
          <cell r="M60">
            <v>0.5536267823930564</v>
          </cell>
          <cell r="N60"/>
          <cell r="O60">
            <v>2495</v>
          </cell>
          <cell r="P60">
            <v>2786</v>
          </cell>
          <cell r="Q60">
            <v>2833</v>
          </cell>
          <cell r="R60">
            <v>2841</v>
          </cell>
          <cell r="S60">
            <v>3105</v>
          </cell>
          <cell r="T60">
            <v>3066</v>
          </cell>
          <cell r="U60">
            <v>3226</v>
          </cell>
          <cell r="V60"/>
          <cell r="W60">
            <v>727</v>
          </cell>
          <cell r="X60">
            <v>1012</v>
          </cell>
          <cell r="Y60">
            <v>1106</v>
          </cell>
          <cell r="Z60">
            <v>1043</v>
          </cell>
          <cell r="AA60">
            <v>1680</v>
          </cell>
          <cell r="AB60">
            <v>1622</v>
          </cell>
          <cell r="AC60">
            <v>1786</v>
          </cell>
          <cell r="AD60"/>
        </row>
        <row r="61">
          <cell r="D61"/>
          <cell r="E61" t="str">
            <v>U.PRIVADA</v>
          </cell>
          <cell r="G61">
            <v>0.26178010471204188</v>
          </cell>
          <cell r="H61">
            <v>0.32300884955752213</v>
          </cell>
          <cell r="I61">
            <v>0.3080851063829787</v>
          </cell>
          <cell r="J61">
            <v>0.32340425531914896</v>
          </cell>
          <cell r="K61">
            <v>0.62418879056047194</v>
          </cell>
          <cell r="L61">
            <v>0.62386432465172625</v>
          </cell>
          <cell r="M61">
            <v>0.65024630541871919</v>
          </cell>
          <cell r="N61">
            <v>0.69226488592097946</v>
          </cell>
          <cell r="O61">
            <v>1146</v>
          </cell>
          <cell r="P61">
            <v>1130</v>
          </cell>
          <cell r="Q61">
            <v>1175</v>
          </cell>
          <cell r="R61">
            <v>1410</v>
          </cell>
          <cell r="S61">
            <v>1695</v>
          </cell>
          <cell r="T61">
            <v>1651</v>
          </cell>
          <cell r="U61">
            <v>1827</v>
          </cell>
          <cell r="V61">
            <v>1797</v>
          </cell>
          <cell r="W61">
            <v>300</v>
          </cell>
          <cell r="X61">
            <v>365</v>
          </cell>
          <cell r="Y61">
            <v>362</v>
          </cell>
          <cell r="Z61">
            <v>456</v>
          </cell>
          <cell r="AA61">
            <v>1058</v>
          </cell>
          <cell r="AB61">
            <v>1030</v>
          </cell>
          <cell r="AC61">
            <v>1188</v>
          </cell>
          <cell r="AD61">
            <v>1244</v>
          </cell>
        </row>
        <row r="62">
          <cell r="D62"/>
          <cell r="E62" t="str">
            <v>U.PRIVADA</v>
          </cell>
          <cell r="G62"/>
          <cell r="H62">
            <v>0.20512820512820512</v>
          </cell>
          <cell r="I62">
            <v>0.21052631578947367</v>
          </cell>
          <cell r="J62">
            <v>7.3170731707317069E-2</v>
          </cell>
          <cell r="K62">
            <v>0.15492957746478872</v>
          </cell>
          <cell r="L62">
            <v>0.22631578947368422</v>
          </cell>
          <cell r="M62">
            <v>0.19125683060109289</v>
          </cell>
          <cell r="N62">
            <v>0.14583333333333334</v>
          </cell>
          <cell r="O62"/>
          <cell r="P62">
            <v>195</v>
          </cell>
          <cell r="Q62">
            <v>114</v>
          </cell>
          <cell r="R62">
            <v>41</v>
          </cell>
          <cell r="S62">
            <v>71</v>
          </cell>
          <cell r="T62">
            <v>190</v>
          </cell>
          <cell r="U62">
            <v>183</v>
          </cell>
          <cell r="V62">
            <v>48</v>
          </cell>
          <cell r="W62"/>
          <cell r="X62">
            <v>40</v>
          </cell>
          <cell r="Y62">
            <v>24</v>
          </cell>
          <cell r="Z62">
            <v>3</v>
          </cell>
          <cell r="AA62">
            <v>11</v>
          </cell>
          <cell r="AB62">
            <v>43</v>
          </cell>
          <cell r="AC62">
            <v>35</v>
          </cell>
          <cell r="AD62">
            <v>7</v>
          </cell>
        </row>
        <row r="63">
          <cell r="D63"/>
          <cell r="E63" t="str">
            <v>U.PRIVADA</v>
          </cell>
          <cell r="G63">
            <v>0.55159474671669795</v>
          </cell>
          <cell r="H63">
            <v>0.58664546899841019</v>
          </cell>
          <cell r="I63">
            <v>0.38738738738738737</v>
          </cell>
          <cell r="J63">
            <v>0.39884393063583817</v>
          </cell>
          <cell r="K63">
            <v>0.35919540229885055</v>
          </cell>
          <cell r="L63">
            <v>0.4653130287648054</v>
          </cell>
          <cell r="M63"/>
          <cell r="N63"/>
          <cell r="O63">
            <v>533</v>
          </cell>
          <cell r="P63">
            <v>629</v>
          </cell>
          <cell r="Q63">
            <v>333</v>
          </cell>
          <cell r="R63">
            <v>346</v>
          </cell>
          <cell r="S63">
            <v>348</v>
          </cell>
          <cell r="T63">
            <v>591</v>
          </cell>
          <cell r="U63"/>
          <cell r="V63"/>
          <cell r="W63">
            <v>294</v>
          </cell>
          <cell r="X63">
            <v>369</v>
          </cell>
          <cell r="Y63">
            <v>129</v>
          </cell>
          <cell r="Z63">
            <v>138</v>
          </cell>
          <cell r="AA63">
            <v>125</v>
          </cell>
          <cell r="AB63">
            <v>275</v>
          </cell>
          <cell r="AC63"/>
          <cell r="AD63"/>
        </row>
        <row r="64">
          <cell r="D64"/>
          <cell r="E64" t="str">
            <v>U.PRIVADA</v>
          </cell>
          <cell r="G64">
            <v>0.20618556701030927</v>
          </cell>
          <cell r="H64">
            <v>0.13223140495867769</v>
          </cell>
          <cell r="I64">
            <v>0.28455284552845528</v>
          </cell>
          <cell r="J64">
            <v>0.20346320346320346</v>
          </cell>
          <cell r="K64"/>
          <cell r="L64"/>
          <cell r="M64"/>
          <cell r="N64"/>
          <cell r="O64">
            <v>97</v>
          </cell>
          <cell r="P64">
            <v>121</v>
          </cell>
          <cell r="Q64">
            <v>123</v>
          </cell>
          <cell r="R64">
            <v>231</v>
          </cell>
          <cell r="S64"/>
          <cell r="T64"/>
          <cell r="U64"/>
          <cell r="V64"/>
          <cell r="W64">
            <v>20</v>
          </cell>
          <cell r="X64">
            <v>16</v>
          </cell>
          <cell r="Y64">
            <v>35</v>
          </cell>
          <cell r="Z64">
            <v>47</v>
          </cell>
          <cell r="AA64"/>
          <cell r="AB64"/>
          <cell r="AC64"/>
          <cell r="AD64"/>
        </row>
        <row r="65">
          <cell r="D65"/>
          <cell r="E65" t="str">
            <v>U.PRIVADA</v>
          </cell>
          <cell r="G65">
            <v>0.1943231441048035</v>
          </cell>
          <cell r="H65">
            <v>0.21848739495798319</v>
          </cell>
          <cell r="I65">
            <v>0.22165474974463739</v>
          </cell>
          <cell r="J65">
            <v>0.31965442764578833</v>
          </cell>
          <cell r="K65">
            <v>0.31795716639209226</v>
          </cell>
          <cell r="L65">
            <v>0.26057298772169168</v>
          </cell>
          <cell r="M65">
            <v>0.26315789473684209</v>
          </cell>
          <cell r="N65">
            <v>0.27650727650727652</v>
          </cell>
          <cell r="O65">
            <v>458</v>
          </cell>
          <cell r="P65">
            <v>595</v>
          </cell>
          <cell r="Q65">
            <v>979</v>
          </cell>
          <cell r="R65">
            <v>926</v>
          </cell>
          <cell r="S65">
            <v>607</v>
          </cell>
          <cell r="T65">
            <v>733</v>
          </cell>
          <cell r="U65">
            <v>361</v>
          </cell>
          <cell r="V65">
            <v>481</v>
          </cell>
          <cell r="W65">
            <v>89</v>
          </cell>
          <cell r="X65">
            <v>130</v>
          </cell>
          <cell r="Y65">
            <v>217</v>
          </cell>
          <cell r="Z65">
            <v>296</v>
          </cell>
          <cell r="AA65">
            <v>193</v>
          </cell>
          <cell r="AB65">
            <v>191</v>
          </cell>
          <cell r="AC65">
            <v>95</v>
          </cell>
          <cell r="AD65">
            <v>133</v>
          </cell>
        </row>
        <row r="66">
          <cell r="D66"/>
          <cell r="E66" t="str">
            <v>U.PRIVADA</v>
          </cell>
          <cell r="G66">
            <v>0.25794032723772858</v>
          </cell>
          <cell r="H66">
            <v>0.24035874439461882</v>
          </cell>
          <cell r="I66">
            <v>0.29014989293361887</v>
          </cell>
          <cell r="J66">
            <v>0.33858998144712432</v>
          </cell>
          <cell r="K66">
            <v>0.40835579514824799</v>
          </cell>
          <cell r="L66">
            <v>0.3650107991360691</v>
          </cell>
          <cell r="M66"/>
          <cell r="N66">
            <v>0</v>
          </cell>
          <cell r="O66">
            <v>1039</v>
          </cell>
          <cell r="P66">
            <v>1115</v>
          </cell>
          <cell r="Q66">
            <v>934</v>
          </cell>
          <cell r="R66">
            <v>1078</v>
          </cell>
          <cell r="S66">
            <v>742</v>
          </cell>
          <cell r="T66">
            <v>463</v>
          </cell>
          <cell r="U66"/>
          <cell r="V66">
            <v>8</v>
          </cell>
          <cell r="W66">
            <v>268</v>
          </cell>
          <cell r="X66">
            <v>268</v>
          </cell>
          <cell r="Y66">
            <v>271</v>
          </cell>
          <cell r="Z66">
            <v>365</v>
          </cell>
          <cell r="AA66">
            <v>303</v>
          </cell>
          <cell r="AB66">
            <v>169</v>
          </cell>
          <cell r="AC66"/>
          <cell r="AD66"/>
        </row>
        <row r="67">
          <cell r="D67"/>
          <cell r="E67" t="str">
            <v>U.PRIVADA</v>
          </cell>
          <cell r="G67">
            <v>0.3845496009122007</v>
          </cell>
          <cell r="H67">
            <v>0.37844217151848936</v>
          </cell>
          <cell r="I67">
            <v>0.38699261992619927</v>
          </cell>
          <cell r="J67">
            <v>0.38349630336274743</v>
          </cell>
          <cell r="K67">
            <v>0.3349428208386277</v>
          </cell>
          <cell r="L67">
            <v>0.29953025697706548</v>
          </cell>
          <cell r="M67">
            <v>0.23713355048859935</v>
          </cell>
          <cell r="N67">
            <v>0.23973227867356253</v>
          </cell>
          <cell r="O67">
            <v>3508</v>
          </cell>
          <cell r="P67">
            <v>3813</v>
          </cell>
          <cell r="Q67">
            <v>4336</v>
          </cell>
          <cell r="R67">
            <v>4193</v>
          </cell>
          <cell r="S67">
            <v>3935</v>
          </cell>
          <cell r="T67">
            <v>3619</v>
          </cell>
          <cell r="U67">
            <v>3070</v>
          </cell>
          <cell r="V67">
            <v>3287</v>
          </cell>
          <cell r="W67">
            <v>1349</v>
          </cell>
          <cell r="X67">
            <v>1443</v>
          </cell>
          <cell r="Y67">
            <v>1678</v>
          </cell>
          <cell r="Z67">
            <v>1608</v>
          </cell>
          <cell r="AA67">
            <v>1318</v>
          </cell>
          <cell r="AB67">
            <v>1084</v>
          </cell>
          <cell r="AC67">
            <v>728</v>
          </cell>
          <cell r="AD67">
            <v>788</v>
          </cell>
        </row>
        <row r="68">
          <cell r="D68"/>
          <cell r="E68" t="str">
            <v>U.PRIVADA</v>
          </cell>
          <cell r="G68">
            <v>0.11661807580174927</v>
          </cell>
          <cell r="H68">
            <v>9.4972067039106142E-2</v>
          </cell>
          <cell r="I68">
            <v>0.15294117647058825</v>
          </cell>
          <cell r="J68">
            <v>0.22764227642276422</v>
          </cell>
          <cell r="K68">
            <v>0.31847133757961782</v>
          </cell>
          <cell r="L68">
            <v>0.15555555555555556</v>
          </cell>
          <cell r="M68">
            <v>0.18283582089552239</v>
          </cell>
          <cell r="N68">
            <v>0.19444444444444445</v>
          </cell>
          <cell r="O68">
            <v>343</v>
          </cell>
          <cell r="P68">
            <v>179</v>
          </cell>
          <cell r="Q68">
            <v>170</v>
          </cell>
          <cell r="R68">
            <v>246</v>
          </cell>
          <cell r="S68">
            <v>157</v>
          </cell>
          <cell r="T68">
            <v>270</v>
          </cell>
          <cell r="U68">
            <v>268</v>
          </cell>
          <cell r="V68">
            <v>252</v>
          </cell>
          <cell r="W68">
            <v>40</v>
          </cell>
          <cell r="X68">
            <v>17</v>
          </cell>
          <cell r="Y68">
            <v>26</v>
          </cell>
          <cell r="Z68">
            <v>56</v>
          </cell>
          <cell r="AA68">
            <v>50</v>
          </cell>
          <cell r="AB68">
            <v>42</v>
          </cell>
          <cell r="AC68">
            <v>49</v>
          </cell>
          <cell r="AD68">
            <v>49</v>
          </cell>
        </row>
        <row r="69">
          <cell r="D69"/>
          <cell r="E69" t="str">
            <v>U.PRIVADA</v>
          </cell>
          <cell r="G69">
            <v>0.47987535705011686</v>
          </cell>
          <cell r="H69">
            <v>0.22071307300509338</v>
          </cell>
          <cell r="I69">
            <v>0.31983385254413293</v>
          </cell>
          <cell r="J69">
            <v>0.37717391304347825</v>
          </cell>
          <cell r="K69">
            <v>0.39785768936495791</v>
          </cell>
          <cell r="L69">
            <v>0.21283018867924527</v>
          </cell>
          <cell r="M69">
            <v>0.1472</v>
          </cell>
          <cell r="N69">
            <v>0.14227309893704007</v>
          </cell>
          <cell r="O69">
            <v>3851</v>
          </cell>
          <cell r="P69">
            <v>589</v>
          </cell>
          <cell r="Q69">
            <v>963</v>
          </cell>
          <cell r="R69">
            <v>920</v>
          </cell>
          <cell r="S69">
            <v>1307</v>
          </cell>
          <cell r="T69">
            <v>1325</v>
          </cell>
          <cell r="U69">
            <v>1250</v>
          </cell>
          <cell r="V69">
            <v>1223</v>
          </cell>
          <cell r="W69">
            <v>1848</v>
          </cell>
          <cell r="X69">
            <v>130</v>
          </cell>
          <cell r="Y69">
            <v>308</v>
          </cell>
          <cell r="Z69">
            <v>347</v>
          </cell>
          <cell r="AA69">
            <v>520</v>
          </cell>
          <cell r="AB69">
            <v>282</v>
          </cell>
          <cell r="AC69">
            <v>184</v>
          </cell>
          <cell r="AD69">
            <v>174</v>
          </cell>
        </row>
        <row r="70">
          <cell r="D70"/>
          <cell r="E70" t="str">
            <v>U.PRIVADA</v>
          </cell>
          <cell r="G70">
            <v>0.61389578163771708</v>
          </cell>
          <cell r="H70">
            <v>0.63889397546236948</v>
          </cell>
          <cell r="I70">
            <v>0.65178397348410999</v>
          </cell>
          <cell r="J70">
            <v>0.64411314984709478</v>
          </cell>
          <cell r="K70">
            <v>0.57870370370370372</v>
          </cell>
          <cell r="L70">
            <v>0.51755136986301364</v>
          </cell>
          <cell r="M70">
            <v>0.41398699701282726</v>
          </cell>
          <cell r="N70">
            <v>0.3863714383796773</v>
          </cell>
          <cell r="O70">
            <v>6045</v>
          </cell>
          <cell r="P70">
            <v>5461</v>
          </cell>
          <cell r="Q70">
            <v>5129</v>
          </cell>
          <cell r="R70">
            <v>5232</v>
          </cell>
          <cell r="S70">
            <v>5184</v>
          </cell>
          <cell r="T70">
            <v>4672</v>
          </cell>
          <cell r="U70">
            <v>5691</v>
          </cell>
          <cell r="V70">
            <v>5826</v>
          </cell>
          <cell r="W70">
            <v>3711</v>
          </cell>
          <cell r="X70">
            <v>3489</v>
          </cell>
          <cell r="Y70">
            <v>3343</v>
          </cell>
          <cell r="Z70">
            <v>3370</v>
          </cell>
          <cell r="AA70">
            <v>3000</v>
          </cell>
          <cell r="AB70">
            <v>2418</v>
          </cell>
          <cell r="AC70">
            <v>2356</v>
          </cell>
          <cell r="AD70">
            <v>2251</v>
          </cell>
        </row>
        <row r="71">
          <cell r="D71"/>
          <cell r="E71" t="str">
            <v>U.PRIVADA</v>
          </cell>
          <cell r="G71">
            <v>0.64249764076753701</v>
          </cell>
          <cell r="H71">
            <v>0.66124960555380241</v>
          </cell>
          <cell r="I71">
            <v>0.64146906756997679</v>
          </cell>
          <cell r="J71">
            <v>0.65513913463085094</v>
          </cell>
          <cell r="K71">
            <v>0.58861154446177844</v>
          </cell>
          <cell r="L71">
            <v>0.50933756166314303</v>
          </cell>
          <cell r="M71">
            <v>0.41190716448032288</v>
          </cell>
          <cell r="N71">
            <v>0.36429458005792303</v>
          </cell>
          <cell r="O71">
            <v>6358</v>
          </cell>
          <cell r="P71">
            <v>6338</v>
          </cell>
          <cell r="Q71">
            <v>5609</v>
          </cell>
          <cell r="R71">
            <v>6217</v>
          </cell>
          <cell r="S71">
            <v>6410</v>
          </cell>
          <cell r="T71">
            <v>5676</v>
          </cell>
          <cell r="U71">
            <v>4955</v>
          </cell>
          <cell r="V71">
            <v>4834</v>
          </cell>
          <cell r="W71">
            <v>4085</v>
          </cell>
          <cell r="X71">
            <v>4191</v>
          </cell>
          <cell r="Y71">
            <v>3598</v>
          </cell>
          <cell r="Z71">
            <v>4073</v>
          </cell>
          <cell r="AA71">
            <v>3773</v>
          </cell>
          <cell r="AB71">
            <v>2891</v>
          </cell>
          <cell r="AC71">
            <v>2041</v>
          </cell>
          <cell r="AD71">
            <v>1761</v>
          </cell>
        </row>
        <row r="72">
          <cell r="D72"/>
          <cell r="E72" t="str">
            <v>U.PRIVADA</v>
          </cell>
          <cell r="G72">
            <v>0.39640883977900554</v>
          </cell>
          <cell r="H72">
            <v>0.44926108374384238</v>
          </cell>
          <cell r="I72">
            <v>0.3472972972972973</v>
          </cell>
          <cell r="J72">
            <v>0.33698030634573306</v>
          </cell>
          <cell r="K72">
            <v>0.36597110754414125</v>
          </cell>
          <cell r="L72">
            <v>0.27002288329519453</v>
          </cell>
          <cell r="M72">
            <v>0.18493150684931506</v>
          </cell>
          <cell r="N72">
            <v>0.19536423841059603</v>
          </cell>
          <cell r="O72">
            <v>1448</v>
          </cell>
          <cell r="P72">
            <v>1015</v>
          </cell>
          <cell r="Q72">
            <v>740</v>
          </cell>
          <cell r="R72">
            <v>457</v>
          </cell>
          <cell r="S72">
            <v>623</v>
          </cell>
          <cell r="T72">
            <v>437</v>
          </cell>
          <cell r="U72">
            <v>292</v>
          </cell>
          <cell r="V72">
            <v>302</v>
          </cell>
          <cell r="W72">
            <v>574</v>
          </cell>
          <cell r="X72">
            <v>456</v>
          </cell>
          <cell r="Y72">
            <v>257</v>
          </cell>
          <cell r="Z72">
            <v>154</v>
          </cell>
          <cell r="AA72">
            <v>228</v>
          </cell>
          <cell r="AB72">
            <v>118</v>
          </cell>
          <cell r="AC72">
            <v>54</v>
          </cell>
          <cell r="AD72">
            <v>59</v>
          </cell>
        </row>
        <row r="73">
          <cell r="D73"/>
          <cell r="E73" t="str">
            <v>U.PRIVADA</v>
          </cell>
          <cell r="G73">
            <v>0.45969259723964867</v>
          </cell>
          <cell r="H73">
            <v>0.47794011283089832</v>
          </cell>
          <cell r="I73">
            <v>0.53134040501446478</v>
          </cell>
          <cell r="J73">
            <v>0.54752008866722079</v>
          </cell>
          <cell r="K73">
            <v>0.51818181818181819</v>
          </cell>
          <cell r="L73">
            <v>0.31875719217491372</v>
          </cell>
          <cell r="M73">
            <v>0.26441120952519237</v>
          </cell>
          <cell r="N73">
            <v>0.2470002263980077</v>
          </cell>
          <cell r="O73">
            <v>6376</v>
          </cell>
          <cell r="P73">
            <v>6913</v>
          </cell>
          <cell r="Q73">
            <v>7259</v>
          </cell>
          <cell r="R73">
            <v>7218</v>
          </cell>
          <cell r="S73">
            <v>7260</v>
          </cell>
          <cell r="T73">
            <v>7821</v>
          </cell>
          <cell r="U73">
            <v>6887</v>
          </cell>
          <cell r="V73">
            <v>4417</v>
          </cell>
          <cell r="W73">
            <v>2931</v>
          </cell>
          <cell r="X73">
            <v>3304</v>
          </cell>
          <cell r="Y73">
            <v>3857</v>
          </cell>
          <cell r="Z73">
            <v>3952</v>
          </cell>
          <cell r="AA73">
            <v>3762</v>
          </cell>
          <cell r="AB73">
            <v>2493</v>
          </cell>
          <cell r="AC73">
            <v>1821</v>
          </cell>
          <cell r="AD73">
            <v>1091</v>
          </cell>
        </row>
        <row r="74">
          <cell r="D74"/>
          <cell r="E74" t="str">
            <v>U.PRIVADA</v>
          </cell>
          <cell r="G74">
            <v>0.56909643128321941</v>
          </cell>
          <cell r="H74">
            <v>0.2805872756933116</v>
          </cell>
          <cell r="I74">
            <v>0.29616724738675959</v>
          </cell>
          <cell r="J74">
            <v>0.354014598540146</v>
          </cell>
          <cell r="K74">
            <v>0.43571428571428572</v>
          </cell>
          <cell r="L74"/>
          <cell r="M74"/>
          <cell r="N74"/>
          <cell r="O74">
            <v>2634</v>
          </cell>
          <cell r="P74">
            <v>613</v>
          </cell>
          <cell r="Q74">
            <v>287</v>
          </cell>
          <cell r="R74">
            <v>274</v>
          </cell>
          <cell r="S74">
            <v>280</v>
          </cell>
          <cell r="T74"/>
          <cell r="U74"/>
          <cell r="V74"/>
          <cell r="W74">
            <v>1499</v>
          </cell>
          <cell r="X74">
            <v>172</v>
          </cell>
          <cell r="Y74">
            <v>85</v>
          </cell>
          <cell r="Z74">
            <v>97</v>
          </cell>
          <cell r="AA74">
            <v>122</v>
          </cell>
          <cell r="AB74"/>
          <cell r="AC74"/>
          <cell r="AD74"/>
        </row>
        <row r="75">
          <cell r="D75"/>
          <cell r="E75"/>
          <cell r="G75">
            <v>0.45395067309624271</v>
          </cell>
          <cell r="H75">
            <v>0.47253785126848974</v>
          </cell>
          <cell r="I75">
            <v>0.47864340502331176</v>
          </cell>
          <cell r="J75">
            <v>0.47994589418970468</v>
          </cell>
          <cell r="K75">
            <v>0.49982665973305601</v>
          </cell>
          <cell r="L75">
            <v>0.4274487082349096</v>
          </cell>
          <cell r="M75">
            <v>0.38767436362203483</v>
          </cell>
          <cell r="N75">
            <v>0.38050190277877505</v>
          </cell>
          <cell r="O75">
            <v>79632</v>
          </cell>
          <cell r="P75">
            <v>68822</v>
          </cell>
          <cell r="Q75">
            <v>66490</v>
          </cell>
          <cell r="R75">
            <v>65797</v>
          </cell>
          <cell r="S75">
            <v>69228</v>
          </cell>
          <cell r="T75">
            <v>67311</v>
          </cell>
          <cell r="U75">
            <v>63445</v>
          </cell>
          <cell r="V75">
            <v>55708</v>
          </cell>
          <cell r="W75">
            <v>36149</v>
          </cell>
          <cell r="X75">
            <v>32521</v>
          </cell>
          <cell r="Y75">
            <v>31825</v>
          </cell>
          <cell r="Z75">
            <v>31579</v>
          </cell>
          <cell r="AA75">
            <v>34602</v>
          </cell>
          <cell r="AB75">
            <v>28772</v>
          </cell>
          <cell r="AC75">
            <v>24596</v>
          </cell>
          <cell r="AD75">
            <v>21197</v>
          </cell>
        </row>
        <row r="76">
          <cell r="D76"/>
          <cell r="E76"/>
          <cell r="G76">
            <v>0.5025702756516538</v>
          </cell>
          <cell r="H76">
            <v>0.52867844591797808</v>
          </cell>
          <cell r="I76">
            <v>0.5403445675503219</v>
          </cell>
          <cell r="J76">
            <v>0.53390002187882368</v>
          </cell>
          <cell r="K76">
            <v>0.55769080845092378</v>
          </cell>
          <cell r="L76">
            <v>0.51949999999999996</v>
          </cell>
          <cell r="M76">
            <v>0.49562345952095049</v>
          </cell>
          <cell r="N76">
            <v>0.50704441041347625</v>
          </cell>
          <cell r="O76">
            <v>132087</v>
          </cell>
          <cell r="P76">
            <v>123211</v>
          </cell>
          <cell r="Q76">
            <v>120673</v>
          </cell>
          <cell r="R76">
            <v>123407</v>
          </cell>
          <cell r="S76">
            <v>128270</v>
          </cell>
          <cell r="T76">
            <v>128000</v>
          </cell>
          <cell r="U76">
            <v>126584</v>
          </cell>
          <cell r="V76">
            <v>124070</v>
          </cell>
          <cell r="W76">
            <v>66383</v>
          </cell>
          <cell r="X76">
            <v>65139</v>
          </cell>
          <cell r="Y76">
            <v>65205</v>
          </cell>
          <cell r="Z76">
            <v>65887</v>
          </cell>
          <cell r="AA76">
            <v>71535</v>
          </cell>
          <cell r="AB76">
            <v>66496</v>
          </cell>
          <cell r="AC76">
            <v>62738</v>
          </cell>
          <cell r="AD76">
            <v>62909</v>
          </cell>
        </row>
      </sheetData>
      <sheetData sheetId="6">
        <row r="11">
          <cell r="D11" t="str">
            <v>PUC</v>
          </cell>
          <cell r="E11" t="str">
            <v>CRUCH-PRIVADA</v>
          </cell>
          <cell r="F11">
            <v>0.89298626174981921</v>
          </cell>
          <cell r="G11">
            <v>0.85682372055239642</v>
          </cell>
          <cell r="H11">
            <v>0.86888078325974272</v>
          </cell>
          <cell r="I11">
            <v>0.89136704479907714</v>
          </cell>
          <cell r="J11">
            <v>0.88490709139173307</v>
          </cell>
          <cell r="K11">
            <v>0.85675132468481641</v>
          </cell>
          <cell r="L11">
            <v>0.8836580086580087</v>
          </cell>
          <cell r="M11">
            <v>0.87641643059490082</v>
          </cell>
          <cell r="N11">
            <v>4149</v>
          </cell>
          <cell r="O11">
            <v>4924</v>
          </cell>
          <cell r="P11">
            <v>5209</v>
          </cell>
          <cell r="Q11">
            <v>5201</v>
          </cell>
          <cell r="R11">
            <v>5274</v>
          </cell>
          <cell r="S11">
            <v>5473</v>
          </cell>
          <cell r="T11">
            <v>5544</v>
          </cell>
          <cell r="U11">
            <v>5648</v>
          </cell>
          <cell r="V11">
            <v>3705</v>
          </cell>
          <cell r="W11">
            <v>4219</v>
          </cell>
          <cell r="X11">
            <v>4526</v>
          </cell>
          <cell r="Y11">
            <v>4636</v>
          </cell>
          <cell r="Z11">
            <v>4667</v>
          </cell>
          <cell r="AA11">
            <v>4689</v>
          </cell>
          <cell r="AB11">
            <v>4899</v>
          </cell>
          <cell r="AC11">
            <v>4950</v>
          </cell>
        </row>
        <row r="12">
          <cell r="D12" t="str">
            <v>UCV</v>
          </cell>
          <cell r="E12" t="str">
            <v>CRUCH-PRIVADA</v>
          </cell>
          <cell r="F12">
            <v>0.75047558655675328</v>
          </cell>
          <cell r="G12">
            <v>0.75885103540414167</v>
          </cell>
          <cell r="H12">
            <v>0.75530586766541818</v>
          </cell>
          <cell r="I12">
            <v>0.79987492182614128</v>
          </cell>
          <cell r="J12">
            <v>0.79939117199391174</v>
          </cell>
          <cell r="K12">
            <v>0.80376581347455134</v>
          </cell>
          <cell r="L12">
            <v>0.81968179139658215</v>
          </cell>
          <cell r="M12">
            <v>0.81199215466517227</v>
          </cell>
          <cell r="N12">
            <v>3154</v>
          </cell>
          <cell r="O12">
            <v>2994</v>
          </cell>
          <cell r="P12">
            <v>3204</v>
          </cell>
          <cell r="Q12">
            <v>3198</v>
          </cell>
          <cell r="R12">
            <v>3285</v>
          </cell>
          <cell r="S12">
            <v>3399</v>
          </cell>
          <cell r="T12">
            <v>3394</v>
          </cell>
          <cell r="U12">
            <v>3569</v>
          </cell>
          <cell r="V12">
            <v>2367</v>
          </cell>
          <cell r="W12">
            <v>2272</v>
          </cell>
          <cell r="X12">
            <v>2420</v>
          </cell>
          <cell r="Y12">
            <v>2558</v>
          </cell>
          <cell r="Z12">
            <v>2626</v>
          </cell>
          <cell r="AA12">
            <v>2732</v>
          </cell>
          <cell r="AB12">
            <v>2782</v>
          </cell>
          <cell r="AC12">
            <v>2898</v>
          </cell>
        </row>
        <row r="13">
          <cell r="D13" t="str">
            <v>UAP</v>
          </cell>
          <cell r="E13" t="str">
            <v>CRUCH-ESTATAL</v>
          </cell>
          <cell r="F13">
            <v>0.59238095238095234</v>
          </cell>
          <cell r="G13">
            <v>0.75375375375375375</v>
          </cell>
          <cell r="H13">
            <v>0.69700103412616343</v>
          </cell>
          <cell r="I13">
            <v>0.74806201550387597</v>
          </cell>
          <cell r="J13">
            <v>0.71413390010626998</v>
          </cell>
          <cell r="K13">
            <v>0.78375527426160341</v>
          </cell>
          <cell r="L13">
            <v>0.81224899598393574</v>
          </cell>
          <cell r="M13">
            <v>0.76102941176470584</v>
          </cell>
          <cell r="N13">
            <v>1050</v>
          </cell>
          <cell r="O13">
            <v>999</v>
          </cell>
          <cell r="P13">
            <v>967</v>
          </cell>
          <cell r="Q13">
            <v>1032</v>
          </cell>
          <cell r="R13">
            <v>941</v>
          </cell>
          <cell r="S13">
            <v>948</v>
          </cell>
          <cell r="T13">
            <v>996</v>
          </cell>
          <cell r="U13">
            <v>1088</v>
          </cell>
          <cell r="V13">
            <v>622</v>
          </cell>
          <cell r="W13">
            <v>753</v>
          </cell>
          <cell r="X13">
            <v>674</v>
          </cell>
          <cell r="Y13">
            <v>772</v>
          </cell>
          <cell r="Z13">
            <v>672</v>
          </cell>
          <cell r="AA13">
            <v>743</v>
          </cell>
          <cell r="AB13">
            <v>809</v>
          </cell>
          <cell r="AC13">
            <v>828</v>
          </cell>
        </row>
        <row r="14">
          <cell r="D14" t="str">
            <v>AUS</v>
          </cell>
          <cell r="E14" t="str">
            <v>CRUCH-PRIVADA</v>
          </cell>
          <cell r="F14">
            <v>0.80495477782147073</v>
          </cell>
          <cell r="G14">
            <v>0.82813816343723679</v>
          </cell>
          <cell r="H14">
            <v>0.82636060718252502</v>
          </cell>
          <cell r="I14">
            <v>0.82806252271901126</v>
          </cell>
          <cell r="J14">
            <v>0.81880108991825618</v>
          </cell>
          <cell r="K14">
            <v>0.83138505136379737</v>
          </cell>
          <cell r="L14">
            <v>0.8569000679809653</v>
          </cell>
          <cell r="M14">
            <v>0.84227642276422765</v>
          </cell>
          <cell r="N14">
            <v>2543</v>
          </cell>
          <cell r="O14">
            <v>2374</v>
          </cell>
          <cell r="P14">
            <v>2701</v>
          </cell>
          <cell r="Q14">
            <v>2751</v>
          </cell>
          <cell r="R14">
            <v>2936</v>
          </cell>
          <cell r="S14">
            <v>2823</v>
          </cell>
          <cell r="T14">
            <v>2942</v>
          </cell>
          <cell r="U14">
            <v>3075</v>
          </cell>
          <cell r="V14">
            <v>2047</v>
          </cell>
          <cell r="W14">
            <v>1966</v>
          </cell>
          <cell r="X14">
            <v>2232</v>
          </cell>
          <cell r="Y14">
            <v>2278</v>
          </cell>
          <cell r="Z14">
            <v>2404</v>
          </cell>
          <cell r="AA14">
            <v>2347</v>
          </cell>
          <cell r="AB14">
            <v>2521</v>
          </cell>
          <cell r="AC14">
            <v>2590</v>
          </cell>
        </row>
        <row r="15">
          <cell r="D15" t="str">
            <v>USC</v>
          </cell>
          <cell r="E15" t="str">
            <v>CRUCH-PRIVADA</v>
          </cell>
          <cell r="F15">
            <v>0.81583287520615722</v>
          </cell>
          <cell r="G15">
            <v>0.8288912579957356</v>
          </cell>
          <cell r="H15">
            <v>0.83742534837425353</v>
          </cell>
          <cell r="I15">
            <v>0.85072886297376094</v>
          </cell>
          <cell r="J15">
            <v>0.83566238121855785</v>
          </cell>
          <cell r="K15">
            <v>0.86422976501305482</v>
          </cell>
          <cell r="L15">
            <v>0.88822894168466526</v>
          </cell>
          <cell r="M15">
            <v>0.83560950935761258</v>
          </cell>
          <cell r="N15">
            <v>1819</v>
          </cell>
          <cell r="O15">
            <v>1876</v>
          </cell>
          <cell r="P15">
            <v>1507</v>
          </cell>
          <cell r="Q15">
            <v>1715</v>
          </cell>
          <cell r="R15">
            <v>1789</v>
          </cell>
          <cell r="S15">
            <v>1915</v>
          </cell>
          <cell r="T15">
            <v>1852</v>
          </cell>
          <cell r="U15">
            <v>1977</v>
          </cell>
          <cell r="V15">
            <v>1484</v>
          </cell>
          <cell r="W15">
            <v>1555</v>
          </cell>
          <cell r="X15">
            <v>1262</v>
          </cell>
          <cell r="Y15">
            <v>1459</v>
          </cell>
          <cell r="Z15">
            <v>1495</v>
          </cell>
          <cell r="AA15">
            <v>1655</v>
          </cell>
          <cell r="AB15">
            <v>1645</v>
          </cell>
          <cell r="AC15">
            <v>1652</v>
          </cell>
        </row>
        <row r="16">
          <cell r="D16" t="str">
            <v>UCT</v>
          </cell>
          <cell r="E16" t="str">
            <v>CRUCH-PRIVADA</v>
          </cell>
          <cell r="F16">
            <v>0.75808457711442789</v>
          </cell>
          <cell r="G16">
            <v>0.80024286581663628</v>
          </cell>
          <cell r="H16">
            <v>0.82510964912280704</v>
          </cell>
          <cell r="I16">
            <v>0.84678845020624627</v>
          </cell>
          <cell r="J16">
            <v>0.81775700934579443</v>
          </cell>
          <cell r="K16">
            <v>0.79692917285785048</v>
          </cell>
          <cell r="L16">
            <v>0.84782608695652173</v>
          </cell>
          <cell r="M16">
            <v>0.82361963190184051</v>
          </cell>
          <cell r="N16">
            <v>1608</v>
          </cell>
          <cell r="O16">
            <v>1647</v>
          </cell>
          <cell r="P16">
            <v>1824</v>
          </cell>
          <cell r="Q16">
            <v>1697</v>
          </cell>
          <cell r="R16">
            <v>1926</v>
          </cell>
          <cell r="S16">
            <v>2019</v>
          </cell>
          <cell r="T16">
            <v>1886</v>
          </cell>
          <cell r="U16">
            <v>1956</v>
          </cell>
          <cell r="V16">
            <v>1219</v>
          </cell>
          <cell r="W16">
            <v>1318</v>
          </cell>
          <cell r="X16">
            <v>1505</v>
          </cell>
          <cell r="Y16">
            <v>1437</v>
          </cell>
          <cell r="Z16">
            <v>1575</v>
          </cell>
          <cell r="AA16">
            <v>1609</v>
          </cell>
          <cell r="AB16">
            <v>1599</v>
          </cell>
          <cell r="AC16">
            <v>1611</v>
          </cell>
        </row>
        <row r="17">
          <cell r="D17" t="str">
            <v>UCM</v>
          </cell>
          <cell r="E17" t="str">
            <v>CRUCH-PRIVADA</v>
          </cell>
          <cell r="F17">
            <v>0.83007047768206732</v>
          </cell>
          <cell r="G17">
            <v>0.90519877675840976</v>
          </cell>
          <cell r="H17">
            <v>0.86107290233837686</v>
          </cell>
          <cell r="I17">
            <v>0.85092250922509227</v>
          </cell>
          <cell r="J17">
            <v>0.8776520509193777</v>
          </cell>
          <cell r="K17">
            <v>0.87089201877934275</v>
          </cell>
          <cell r="L17">
            <v>0.8504273504273504</v>
          </cell>
          <cell r="M17">
            <v>0.84198113207547165</v>
          </cell>
          <cell r="N17">
            <v>1277</v>
          </cell>
          <cell r="O17">
            <v>1308</v>
          </cell>
          <cell r="P17">
            <v>1454</v>
          </cell>
          <cell r="Q17">
            <v>1355</v>
          </cell>
          <cell r="R17">
            <v>1414</v>
          </cell>
          <cell r="S17">
            <v>1704</v>
          </cell>
          <cell r="T17">
            <v>1872</v>
          </cell>
          <cell r="U17">
            <v>2120</v>
          </cell>
          <cell r="V17">
            <v>1060</v>
          </cell>
          <cell r="W17">
            <v>1184</v>
          </cell>
          <cell r="X17">
            <v>1252</v>
          </cell>
          <cell r="Y17">
            <v>1153</v>
          </cell>
          <cell r="Z17">
            <v>1241</v>
          </cell>
          <cell r="AA17">
            <v>1484</v>
          </cell>
          <cell r="AB17">
            <v>1592</v>
          </cell>
          <cell r="AC17">
            <v>1785</v>
          </cell>
        </row>
        <row r="18">
          <cell r="D18" t="str">
            <v>UCN</v>
          </cell>
          <cell r="E18" t="str">
            <v>CRUCH-PRIVADA</v>
          </cell>
          <cell r="F18">
            <v>0.74725877192982459</v>
          </cell>
          <cell r="G18">
            <v>0.79702687249857063</v>
          </cell>
          <cell r="H18">
            <v>0.82404997397188962</v>
          </cell>
          <cell r="I18">
            <v>0.80914407230196705</v>
          </cell>
          <cell r="J18">
            <v>0.81589743589743591</v>
          </cell>
          <cell r="K18">
            <v>0.81189555125725343</v>
          </cell>
          <cell r="L18">
            <v>0.80947955390334569</v>
          </cell>
          <cell r="M18">
            <v>0.83064887252646114</v>
          </cell>
          <cell r="N18">
            <v>1824</v>
          </cell>
          <cell r="O18">
            <v>1749</v>
          </cell>
          <cell r="P18">
            <v>1921</v>
          </cell>
          <cell r="Q18">
            <v>1881</v>
          </cell>
          <cell r="R18">
            <v>1950</v>
          </cell>
          <cell r="S18">
            <v>2068</v>
          </cell>
          <cell r="T18">
            <v>2152</v>
          </cell>
          <cell r="U18">
            <v>2173</v>
          </cell>
          <cell r="V18">
            <v>1363</v>
          </cell>
          <cell r="W18">
            <v>1394</v>
          </cell>
          <cell r="X18">
            <v>1583</v>
          </cell>
          <cell r="Y18">
            <v>1522</v>
          </cell>
          <cell r="Z18">
            <v>1591</v>
          </cell>
          <cell r="AA18">
            <v>1679</v>
          </cell>
          <cell r="AB18">
            <v>1742</v>
          </cell>
          <cell r="AC18">
            <v>1805</v>
          </cell>
        </row>
        <row r="19">
          <cell r="D19" t="str">
            <v>ANT</v>
          </cell>
          <cell r="E19" t="str">
            <v>CRUCH-ESTATAL</v>
          </cell>
          <cell r="F19">
            <v>0.76744186046511631</v>
          </cell>
          <cell r="G19">
            <v>0.84669338677354711</v>
          </cell>
          <cell r="H19">
            <v>0.81341911764705888</v>
          </cell>
          <cell r="I19">
            <v>0.8433420365535248</v>
          </cell>
          <cell r="J19">
            <v>0.80489864864864868</v>
          </cell>
          <cell r="K19">
            <v>0.82909930715935332</v>
          </cell>
          <cell r="L19">
            <v>0.84</v>
          </cell>
          <cell r="M19">
            <v>0.84393491124260356</v>
          </cell>
          <cell r="N19">
            <v>817</v>
          </cell>
          <cell r="O19">
            <v>998</v>
          </cell>
          <cell r="P19">
            <v>1088</v>
          </cell>
          <cell r="Q19">
            <v>1149</v>
          </cell>
          <cell r="R19">
            <v>1184</v>
          </cell>
          <cell r="S19">
            <v>1299</v>
          </cell>
          <cell r="T19">
            <v>1250</v>
          </cell>
          <cell r="U19">
            <v>1352</v>
          </cell>
          <cell r="V19">
            <v>627</v>
          </cell>
          <cell r="W19">
            <v>845</v>
          </cell>
          <cell r="X19">
            <v>885</v>
          </cell>
          <cell r="Y19">
            <v>969</v>
          </cell>
          <cell r="Z19">
            <v>953</v>
          </cell>
          <cell r="AA19">
            <v>1077</v>
          </cell>
          <cell r="AB19">
            <v>1050</v>
          </cell>
          <cell r="AC19">
            <v>1141</v>
          </cell>
        </row>
        <row r="20">
          <cell r="D20" t="str">
            <v>ATA</v>
          </cell>
          <cell r="E20" t="str">
            <v>CRUCH-ESTATAL</v>
          </cell>
          <cell r="F20">
            <v>0.67192429022082023</v>
          </cell>
          <cell r="G20">
            <v>0.74014598540145982</v>
          </cell>
          <cell r="H20">
            <v>0.80804020100502516</v>
          </cell>
          <cell r="I20">
            <v>0.70819304152637486</v>
          </cell>
          <cell r="J20">
            <v>0.7467980295566502</v>
          </cell>
          <cell r="K20">
            <v>0.77873563218390807</v>
          </cell>
          <cell r="L20">
            <v>0.7931034482758621</v>
          </cell>
          <cell r="M20">
            <v>0.79182509505703425</v>
          </cell>
          <cell r="N20">
            <v>634</v>
          </cell>
          <cell r="O20">
            <v>685</v>
          </cell>
          <cell r="P20">
            <v>995</v>
          </cell>
          <cell r="Q20">
            <v>891</v>
          </cell>
          <cell r="R20">
            <v>1015</v>
          </cell>
          <cell r="S20">
            <v>1044</v>
          </cell>
          <cell r="T20">
            <v>1044</v>
          </cell>
          <cell r="U20">
            <v>1052</v>
          </cell>
          <cell r="V20">
            <v>426</v>
          </cell>
          <cell r="W20">
            <v>507</v>
          </cell>
          <cell r="X20">
            <v>804</v>
          </cell>
          <cell r="Y20">
            <v>631</v>
          </cell>
          <cell r="Z20">
            <v>758</v>
          </cell>
          <cell r="AA20">
            <v>813</v>
          </cell>
          <cell r="AB20">
            <v>828</v>
          </cell>
          <cell r="AC20">
            <v>833</v>
          </cell>
        </row>
        <row r="21">
          <cell r="D21" t="str">
            <v>URY</v>
          </cell>
          <cell r="E21" t="str">
            <v>CRUCH-ESTATAL</v>
          </cell>
          <cell r="F21"/>
          <cell r="G21"/>
          <cell r="H21"/>
          <cell r="I21"/>
          <cell r="J21"/>
          <cell r="K21"/>
          <cell r="L21">
            <v>0.86021505376344087</v>
          </cell>
          <cell r="M21">
            <v>0.78151260504201681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93</v>
          </cell>
          <cell r="U21">
            <v>119</v>
          </cell>
          <cell r="V21"/>
          <cell r="W21"/>
          <cell r="X21"/>
          <cell r="Y21"/>
          <cell r="Z21"/>
          <cell r="AA21"/>
          <cell r="AB21">
            <v>80</v>
          </cell>
          <cell r="AC21">
            <v>93</v>
          </cell>
        </row>
        <row r="22">
          <cell r="D22" t="str">
            <v>UCH</v>
          </cell>
          <cell r="E22" t="str">
            <v>CRUCH-ESTATAL</v>
          </cell>
          <cell r="F22">
            <v>0.8391969787318625</v>
          </cell>
          <cell r="G22">
            <v>0.84856344772545889</v>
          </cell>
          <cell r="H22">
            <v>0.82985187998480825</v>
          </cell>
          <cell r="I22">
            <v>0.83977110157367663</v>
          </cell>
          <cell r="J22">
            <v>0.83457249070631967</v>
          </cell>
          <cell r="K22">
            <v>0.85093167701863359</v>
          </cell>
          <cell r="L22">
            <v>0.87325130625316028</v>
          </cell>
          <cell r="M22">
            <v>0.86850406774032873</v>
          </cell>
          <cell r="N22">
            <v>5031</v>
          </cell>
          <cell r="O22">
            <v>5012</v>
          </cell>
          <cell r="P22">
            <v>5266</v>
          </cell>
          <cell r="Q22">
            <v>5592</v>
          </cell>
          <cell r="R22">
            <v>5918</v>
          </cell>
          <cell r="S22">
            <v>5796</v>
          </cell>
          <cell r="T22">
            <v>5933</v>
          </cell>
          <cell r="U22">
            <v>6023</v>
          </cell>
          <cell r="V22">
            <v>4222</v>
          </cell>
          <cell r="W22">
            <v>4253</v>
          </cell>
          <cell r="X22">
            <v>4370</v>
          </cell>
          <cell r="Y22">
            <v>4696</v>
          </cell>
          <cell r="Z22">
            <v>4939</v>
          </cell>
          <cell r="AA22">
            <v>4932</v>
          </cell>
          <cell r="AB22">
            <v>5181</v>
          </cell>
          <cell r="AC22">
            <v>5231</v>
          </cell>
        </row>
        <row r="23">
          <cell r="D23" t="str">
            <v>UCO</v>
          </cell>
          <cell r="E23" t="str">
            <v>CRUCH-PRIVADA</v>
          </cell>
          <cell r="F23">
            <v>0.79117835073513743</v>
          </cell>
          <cell r="G23">
            <v>0.80757031084795938</v>
          </cell>
          <cell r="H23">
            <v>0.8164328657314629</v>
          </cell>
          <cell r="I23">
            <v>0.80204125026578776</v>
          </cell>
          <cell r="J23">
            <v>0.8</v>
          </cell>
          <cell r="K23">
            <v>0.8104379124175165</v>
          </cell>
          <cell r="L23">
            <v>0.81493775933609958</v>
          </cell>
          <cell r="M23">
            <v>0.80148932000783857</v>
          </cell>
          <cell r="N23">
            <v>4693</v>
          </cell>
          <cell r="O23">
            <v>4729</v>
          </cell>
          <cell r="P23">
            <v>4990</v>
          </cell>
          <cell r="Q23">
            <v>4703</v>
          </cell>
          <cell r="R23">
            <v>4875</v>
          </cell>
          <cell r="S23">
            <v>5001</v>
          </cell>
          <cell r="T23">
            <v>4820</v>
          </cell>
          <cell r="U23">
            <v>5103</v>
          </cell>
          <cell r="V23">
            <v>3713</v>
          </cell>
          <cell r="W23">
            <v>3819</v>
          </cell>
          <cell r="X23">
            <v>4074</v>
          </cell>
          <cell r="Y23">
            <v>3772</v>
          </cell>
          <cell r="Z23">
            <v>3900</v>
          </cell>
          <cell r="AA23">
            <v>4053</v>
          </cell>
          <cell r="AB23">
            <v>3928</v>
          </cell>
          <cell r="AC23">
            <v>4090</v>
          </cell>
        </row>
        <row r="24">
          <cell r="D24" t="str">
            <v>FRO</v>
          </cell>
          <cell r="E24" t="str">
            <v>CRUCH-ESTATAL</v>
          </cell>
          <cell r="F24">
            <v>0.82997762863534674</v>
          </cell>
          <cell r="G24">
            <v>0.85479733196511032</v>
          </cell>
          <cell r="H24">
            <v>0.83732789393166751</v>
          </cell>
          <cell r="I24">
            <v>0.84185556141275697</v>
          </cell>
          <cell r="J24">
            <v>0.83824239497827135</v>
          </cell>
          <cell r="K24">
            <v>0.82786885245901642</v>
          </cell>
          <cell r="L24">
            <v>0.84182435710819992</v>
          </cell>
          <cell r="M24">
            <v>0.85290023201856147</v>
          </cell>
          <cell r="N24">
            <v>1788</v>
          </cell>
          <cell r="O24">
            <v>1949</v>
          </cell>
          <cell r="P24">
            <v>1961</v>
          </cell>
          <cell r="Q24">
            <v>1897</v>
          </cell>
          <cell r="R24">
            <v>2071</v>
          </cell>
          <cell r="S24">
            <v>2074</v>
          </cell>
          <cell r="T24">
            <v>2061</v>
          </cell>
          <cell r="U24">
            <v>2155</v>
          </cell>
          <cell r="V24">
            <v>1484</v>
          </cell>
          <cell r="W24">
            <v>1666</v>
          </cell>
          <cell r="X24">
            <v>1642</v>
          </cell>
          <cell r="Y24">
            <v>1597</v>
          </cell>
          <cell r="Z24">
            <v>1736</v>
          </cell>
          <cell r="AA24">
            <v>1717</v>
          </cell>
          <cell r="AB24">
            <v>1735</v>
          </cell>
          <cell r="AC24">
            <v>1838</v>
          </cell>
        </row>
        <row r="25">
          <cell r="D25" t="str">
            <v>ULS</v>
          </cell>
          <cell r="E25" t="str">
            <v>CRUCH-ESTATAL</v>
          </cell>
          <cell r="F25">
            <v>0.78412911903160731</v>
          </cell>
          <cell r="G25">
            <v>0.8282763072950291</v>
          </cell>
          <cell r="H25">
            <v>0.78045763760049469</v>
          </cell>
          <cell r="I25">
            <v>0.79430789133247093</v>
          </cell>
          <cell r="J25">
            <v>0.76452410383189118</v>
          </cell>
          <cell r="K25">
            <v>0.80895522388059704</v>
          </cell>
          <cell r="L25">
            <v>0.83060417843026535</v>
          </cell>
          <cell r="M25">
            <v>0.77828311540648099</v>
          </cell>
          <cell r="N25">
            <v>1487</v>
          </cell>
          <cell r="O25">
            <v>1549</v>
          </cell>
          <cell r="P25">
            <v>1617</v>
          </cell>
          <cell r="Q25">
            <v>1546</v>
          </cell>
          <cell r="R25">
            <v>1618</v>
          </cell>
          <cell r="S25">
            <v>1675</v>
          </cell>
          <cell r="T25">
            <v>1771</v>
          </cell>
          <cell r="U25">
            <v>1759</v>
          </cell>
          <cell r="V25">
            <v>1166</v>
          </cell>
          <cell r="W25">
            <v>1283</v>
          </cell>
          <cell r="X25">
            <v>1262</v>
          </cell>
          <cell r="Y25">
            <v>1228</v>
          </cell>
          <cell r="Z25">
            <v>1237</v>
          </cell>
          <cell r="AA25">
            <v>1355</v>
          </cell>
          <cell r="AB25">
            <v>1471</v>
          </cell>
          <cell r="AC25">
            <v>1369</v>
          </cell>
        </row>
        <row r="26">
          <cell r="D26" t="str">
            <v>ULA</v>
          </cell>
          <cell r="E26" t="str">
            <v>CRUCH-ESTATAL</v>
          </cell>
          <cell r="F26">
            <v>0.77974683544303802</v>
          </cell>
          <cell r="G26">
            <v>0.85825545171339568</v>
          </cell>
          <cell r="H26">
            <v>0.78331090174966356</v>
          </cell>
          <cell r="I26">
            <v>0.80564971751412429</v>
          </cell>
          <cell r="J26">
            <v>0.83471074380165289</v>
          </cell>
          <cell r="K26">
            <v>0.81782566111655242</v>
          </cell>
          <cell r="L26">
            <v>0.80605564648117844</v>
          </cell>
          <cell r="M26">
            <v>0.81818181818181823</v>
          </cell>
          <cell r="N26">
            <v>790</v>
          </cell>
          <cell r="O26">
            <v>642</v>
          </cell>
          <cell r="P26">
            <v>743</v>
          </cell>
          <cell r="Q26">
            <v>885</v>
          </cell>
          <cell r="R26">
            <v>847</v>
          </cell>
          <cell r="S26">
            <v>1021</v>
          </cell>
          <cell r="T26">
            <v>1222</v>
          </cell>
          <cell r="U26">
            <v>1298</v>
          </cell>
          <cell r="V26">
            <v>616</v>
          </cell>
          <cell r="W26">
            <v>551</v>
          </cell>
          <cell r="X26">
            <v>582</v>
          </cell>
          <cell r="Y26">
            <v>713</v>
          </cell>
          <cell r="Z26">
            <v>707</v>
          </cell>
          <cell r="AA26">
            <v>835</v>
          </cell>
          <cell r="AB26">
            <v>985</v>
          </cell>
          <cell r="AC26">
            <v>1062</v>
          </cell>
        </row>
        <row r="27">
          <cell r="D27" t="str">
            <v>MAG</v>
          </cell>
          <cell r="E27" t="str">
            <v>CRUCH-ESTATAL</v>
          </cell>
          <cell r="F27">
            <v>0.80842105263157893</v>
          </cell>
          <cell r="G27">
            <v>0.80090497737556565</v>
          </cell>
          <cell r="H27">
            <v>0.80991735537190079</v>
          </cell>
          <cell r="I27">
            <v>0.83542039355992848</v>
          </cell>
          <cell r="J27">
            <v>0.80059970014992499</v>
          </cell>
          <cell r="K27">
            <v>0.77181208053691275</v>
          </cell>
          <cell r="L27">
            <v>0.82597054886211507</v>
          </cell>
          <cell r="M27">
            <v>0.83450210378681622</v>
          </cell>
          <cell r="N27">
            <v>475</v>
          </cell>
          <cell r="O27">
            <v>442</v>
          </cell>
          <cell r="P27">
            <v>605</v>
          </cell>
          <cell r="Q27">
            <v>559</v>
          </cell>
          <cell r="R27">
            <v>667</v>
          </cell>
          <cell r="S27">
            <v>745</v>
          </cell>
          <cell r="T27">
            <v>747</v>
          </cell>
          <cell r="U27">
            <v>713</v>
          </cell>
          <cell r="V27">
            <v>384</v>
          </cell>
          <cell r="W27">
            <v>354</v>
          </cell>
          <cell r="X27">
            <v>490</v>
          </cell>
          <cell r="Y27">
            <v>467</v>
          </cell>
          <cell r="Z27">
            <v>534</v>
          </cell>
          <cell r="AA27">
            <v>575</v>
          </cell>
          <cell r="AB27">
            <v>617</v>
          </cell>
          <cell r="AC27">
            <v>595</v>
          </cell>
        </row>
        <row r="28">
          <cell r="D28" t="str">
            <v>URO</v>
          </cell>
          <cell r="E28" t="str">
            <v>CRUCH-ESTATAL</v>
          </cell>
          <cell r="F28"/>
          <cell r="G28"/>
          <cell r="H28"/>
          <cell r="I28"/>
          <cell r="J28"/>
          <cell r="K28"/>
          <cell r="L28">
            <v>0.9056047197640118</v>
          </cell>
          <cell r="M28">
            <v>0.87585266030013642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339</v>
          </cell>
          <cell r="U28">
            <v>733</v>
          </cell>
          <cell r="V28"/>
          <cell r="W28"/>
          <cell r="X28"/>
          <cell r="Y28"/>
          <cell r="Z28"/>
          <cell r="AA28"/>
          <cell r="AB28">
            <v>307</v>
          </cell>
          <cell r="AC28">
            <v>642</v>
          </cell>
        </row>
        <row r="29">
          <cell r="D29" t="str">
            <v>UPA</v>
          </cell>
          <cell r="E29" t="str">
            <v>CRUCH-ESTATAL</v>
          </cell>
          <cell r="F29">
            <v>0.75848416289592757</v>
          </cell>
          <cell r="G29">
            <v>0.80068027210884352</v>
          </cell>
          <cell r="H29">
            <v>0.74563242487770787</v>
          </cell>
          <cell r="I29">
            <v>0.78206026629292225</v>
          </cell>
          <cell r="J29">
            <v>0.76256499133448874</v>
          </cell>
          <cell r="K29">
            <v>0.78789561354802884</v>
          </cell>
          <cell r="L29">
            <v>0.82081280788177335</v>
          </cell>
          <cell r="M29">
            <v>0.75108628181253878</v>
          </cell>
          <cell r="N29">
            <v>1768</v>
          </cell>
          <cell r="O29">
            <v>1470</v>
          </cell>
          <cell r="P29">
            <v>1431</v>
          </cell>
          <cell r="Q29">
            <v>1427</v>
          </cell>
          <cell r="R29">
            <v>1731</v>
          </cell>
          <cell r="S29">
            <v>1801</v>
          </cell>
          <cell r="T29">
            <v>1624</v>
          </cell>
          <cell r="U29">
            <v>1611</v>
          </cell>
          <cell r="V29">
            <v>1341</v>
          </cell>
          <cell r="W29">
            <v>1177</v>
          </cell>
          <cell r="X29">
            <v>1067</v>
          </cell>
          <cell r="Y29">
            <v>1116</v>
          </cell>
          <cell r="Z29">
            <v>1320</v>
          </cell>
          <cell r="AA29">
            <v>1419</v>
          </cell>
          <cell r="AB29">
            <v>1333</v>
          </cell>
          <cell r="AC29">
            <v>1210</v>
          </cell>
        </row>
        <row r="30">
          <cell r="D30" t="str">
            <v>USA</v>
          </cell>
          <cell r="E30" t="str">
            <v>CRUCH-ESTATAL</v>
          </cell>
          <cell r="F30">
            <v>0.75928143712574847</v>
          </cell>
          <cell r="G30">
            <v>0.8294005966910768</v>
          </cell>
          <cell r="H30">
            <v>0.80099040544722999</v>
          </cell>
          <cell r="I30">
            <v>0.79994721562417526</v>
          </cell>
          <cell r="J30">
            <v>0.75778210116731515</v>
          </cell>
          <cell r="K30">
            <v>0.78988764044943816</v>
          </cell>
          <cell r="L30">
            <v>0.77579972183588319</v>
          </cell>
          <cell r="M30">
            <v>0.77387964148527533</v>
          </cell>
          <cell r="N30">
            <v>3340</v>
          </cell>
          <cell r="O30">
            <v>3687</v>
          </cell>
          <cell r="P30">
            <v>3231</v>
          </cell>
          <cell r="Q30">
            <v>3789</v>
          </cell>
          <cell r="R30">
            <v>4112</v>
          </cell>
          <cell r="S30">
            <v>3560</v>
          </cell>
          <cell r="T30">
            <v>3595</v>
          </cell>
          <cell r="U30">
            <v>3905</v>
          </cell>
          <cell r="V30">
            <v>2536</v>
          </cell>
          <cell r="W30">
            <v>3058</v>
          </cell>
          <cell r="X30">
            <v>2588</v>
          </cell>
          <cell r="Y30">
            <v>3031</v>
          </cell>
          <cell r="Z30">
            <v>3116</v>
          </cell>
          <cell r="AA30">
            <v>2812</v>
          </cell>
          <cell r="AB30">
            <v>2789</v>
          </cell>
          <cell r="AC30">
            <v>3022</v>
          </cell>
        </row>
        <row r="31">
          <cell r="D31" t="str">
            <v>TAL</v>
          </cell>
          <cell r="E31" t="str">
            <v>CRUCH-ESTATAL</v>
          </cell>
          <cell r="F31">
            <v>0.83706563706563708</v>
          </cell>
          <cell r="G31">
            <v>0.86922209695603159</v>
          </cell>
          <cell r="H31">
            <v>0.86737035337310697</v>
          </cell>
          <cell r="I31">
            <v>0.86436781609195401</v>
          </cell>
          <cell r="J31">
            <v>0.85637149028077753</v>
          </cell>
          <cell r="K31">
            <v>0.85039787798408484</v>
          </cell>
          <cell r="L31">
            <v>0.84775808133472363</v>
          </cell>
          <cell r="M31">
            <v>0.84263038548752833</v>
          </cell>
          <cell r="N31">
            <v>1295</v>
          </cell>
          <cell r="O31">
            <v>1774</v>
          </cell>
          <cell r="P31">
            <v>2179</v>
          </cell>
          <cell r="Q31">
            <v>1740</v>
          </cell>
          <cell r="R31">
            <v>1852</v>
          </cell>
          <cell r="S31">
            <v>1885</v>
          </cell>
          <cell r="T31">
            <v>1918</v>
          </cell>
          <cell r="U31">
            <v>2205</v>
          </cell>
          <cell r="V31">
            <v>1084</v>
          </cell>
          <cell r="W31">
            <v>1542</v>
          </cell>
          <cell r="X31">
            <v>1890</v>
          </cell>
          <cell r="Y31">
            <v>1504</v>
          </cell>
          <cell r="Z31">
            <v>1586</v>
          </cell>
          <cell r="AA31">
            <v>1603</v>
          </cell>
          <cell r="AB31">
            <v>1626</v>
          </cell>
          <cell r="AC31">
            <v>1858</v>
          </cell>
        </row>
        <row r="32">
          <cell r="D32" t="str">
            <v>UTA</v>
          </cell>
          <cell r="E32" t="str">
            <v>CRUCH-ESTATAL</v>
          </cell>
          <cell r="F32">
            <v>0.75819672131147542</v>
          </cell>
          <cell r="G32">
            <v>0.80529172320217102</v>
          </cell>
          <cell r="H32">
            <v>0.80484610347085794</v>
          </cell>
          <cell r="I32">
            <v>0.80867544539116964</v>
          </cell>
          <cell r="J32">
            <v>0.79753406878650224</v>
          </cell>
          <cell r="K32">
            <v>0.84</v>
          </cell>
          <cell r="L32">
            <v>0.83498759305210923</v>
          </cell>
          <cell r="M32">
            <v>0.82570325427468283</v>
          </cell>
          <cell r="N32">
            <v>1464</v>
          </cell>
          <cell r="O32">
            <v>1474</v>
          </cell>
          <cell r="P32">
            <v>1527</v>
          </cell>
          <cell r="Q32">
            <v>1291</v>
          </cell>
          <cell r="R32">
            <v>1541</v>
          </cell>
          <cell r="S32">
            <v>1625</v>
          </cell>
          <cell r="T32">
            <v>1612</v>
          </cell>
          <cell r="U32">
            <v>1813</v>
          </cell>
          <cell r="V32">
            <v>1110</v>
          </cell>
          <cell r="W32">
            <v>1187</v>
          </cell>
          <cell r="X32">
            <v>1229</v>
          </cell>
          <cell r="Y32">
            <v>1044</v>
          </cell>
          <cell r="Z32">
            <v>1229</v>
          </cell>
          <cell r="AA32">
            <v>1365</v>
          </cell>
          <cell r="AB32">
            <v>1346</v>
          </cell>
          <cell r="AC32">
            <v>1497</v>
          </cell>
        </row>
        <row r="33">
          <cell r="D33" t="str">
            <v>UVA</v>
          </cell>
          <cell r="E33" t="str">
            <v>CRUCH-ESTATAL</v>
          </cell>
          <cell r="F33">
            <v>0.78507164278573804</v>
          </cell>
          <cell r="G33">
            <v>0.81516443361753954</v>
          </cell>
          <cell r="H33">
            <v>0.77999335327351282</v>
          </cell>
          <cell r="I33">
            <v>0.80624780624780623</v>
          </cell>
          <cell r="J33">
            <v>0.8253189401373896</v>
          </cell>
          <cell r="K33">
            <v>0.82230569199653281</v>
          </cell>
          <cell r="L33">
            <v>0.82138694638694643</v>
          </cell>
          <cell r="M33">
            <v>0.80751708428246016</v>
          </cell>
          <cell r="N33">
            <v>3001</v>
          </cell>
          <cell r="O33">
            <v>3284</v>
          </cell>
          <cell r="P33">
            <v>3009</v>
          </cell>
          <cell r="Q33">
            <v>2849</v>
          </cell>
          <cell r="R33">
            <v>3057</v>
          </cell>
          <cell r="S33">
            <v>3461</v>
          </cell>
          <cell r="T33">
            <v>3432</v>
          </cell>
          <cell r="U33">
            <v>3512</v>
          </cell>
          <cell r="V33">
            <v>2356</v>
          </cell>
          <cell r="W33">
            <v>2677</v>
          </cell>
          <cell r="X33">
            <v>2347</v>
          </cell>
          <cell r="Y33">
            <v>2297</v>
          </cell>
          <cell r="Z33">
            <v>2523</v>
          </cell>
          <cell r="AA33">
            <v>2846</v>
          </cell>
          <cell r="AB33">
            <v>2819</v>
          </cell>
          <cell r="AC33">
            <v>2836</v>
          </cell>
        </row>
        <row r="34">
          <cell r="D34" t="str">
            <v>UBB</v>
          </cell>
          <cell r="E34" t="str">
            <v>CRUCH-ESTATAL</v>
          </cell>
          <cell r="F34">
            <v>0.8360352014821677</v>
          </cell>
          <cell r="G34">
            <v>0.88483412322274879</v>
          </cell>
          <cell r="H34">
            <v>0.86964206805125943</v>
          </cell>
          <cell r="I34">
            <v>0.85059101654846336</v>
          </cell>
          <cell r="J34">
            <v>0.8301476976542137</v>
          </cell>
          <cell r="K34">
            <v>0.86605182257356172</v>
          </cell>
          <cell r="L34">
            <v>0.84742881427964301</v>
          </cell>
          <cell r="M34">
            <v>0.7931034482758621</v>
          </cell>
          <cell r="N34">
            <v>2159</v>
          </cell>
          <cell r="O34">
            <v>2110</v>
          </cell>
          <cell r="P34">
            <v>2263</v>
          </cell>
          <cell r="Q34">
            <v>2115</v>
          </cell>
          <cell r="R34">
            <v>2302</v>
          </cell>
          <cell r="S34">
            <v>2277</v>
          </cell>
          <cell r="T34">
            <v>2353</v>
          </cell>
          <cell r="U34">
            <v>2407</v>
          </cell>
          <cell r="V34">
            <v>1805</v>
          </cell>
          <cell r="W34">
            <v>1867</v>
          </cell>
          <cell r="X34">
            <v>1968</v>
          </cell>
          <cell r="Y34">
            <v>1799</v>
          </cell>
          <cell r="Z34">
            <v>1911</v>
          </cell>
          <cell r="AA34">
            <v>1972</v>
          </cell>
          <cell r="AB34">
            <v>1994</v>
          </cell>
          <cell r="AC34">
            <v>1909</v>
          </cell>
        </row>
        <row r="35">
          <cell r="D35" t="str">
            <v>UMC</v>
          </cell>
          <cell r="E35" t="str">
            <v>CRUCH-ESTATAL</v>
          </cell>
          <cell r="F35">
            <v>0.83911368015414256</v>
          </cell>
          <cell r="G35">
            <v>0.82190378710337764</v>
          </cell>
          <cell r="H35">
            <v>0.80499075785582253</v>
          </cell>
          <cell r="I35">
            <v>0.83524904214559392</v>
          </cell>
          <cell r="J35">
            <v>0.78898305084745768</v>
          </cell>
          <cell r="K35">
            <v>0.8230337078651685</v>
          </cell>
          <cell r="L35">
            <v>0.848294434470377</v>
          </cell>
          <cell r="M35">
            <v>0.83456790123456792</v>
          </cell>
          <cell r="N35">
            <v>1038</v>
          </cell>
          <cell r="O35">
            <v>977</v>
          </cell>
          <cell r="P35">
            <v>1082</v>
          </cell>
          <cell r="Q35">
            <v>1044</v>
          </cell>
          <cell r="R35">
            <v>1180</v>
          </cell>
          <cell r="S35">
            <v>1068</v>
          </cell>
          <cell r="T35">
            <v>1114</v>
          </cell>
          <cell r="U35">
            <v>1215</v>
          </cell>
          <cell r="V35">
            <v>871</v>
          </cell>
          <cell r="W35">
            <v>803</v>
          </cell>
          <cell r="X35">
            <v>871</v>
          </cell>
          <cell r="Y35">
            <v>872</v>
          </cell>
          <cell r="Z35">
            <v>931</v>
          </cell>
          <cell r="AA35">
            <v>879</v>
          </cell>
          <cell r="AB35">
            <v>945</v>
          </cell>
          <cell r="AC35">
            <v>1014</v>
          </cell>
        </row>
        <row r="36">
          <cell r="D36" t="str">
            <v>FSM</v>
          </cell>
          <cell r="E36" t="str">
            <v>CRUCH-PRIVADA</v>
          </cell>
          <cell r="F36">
            <v>0.83163571000599157</v>
          </cell>
          <cell r="G36">
            <v>0.81988636363636369</v>
          </cell>
          <cell r="H36">
            <v>0.80307185957213389</v>
          </cell>
          <cell r="I36">
            <v>0.80010746910263297</v>
          </cell>
          <cell r="J36">
            <v>0.82059620596205962</v>
          </cell>
          <cell r="K36">
            <v>0.80020491803278693</v>
          </cell>
          <cell r="L36">
            <v>0.81988472622478381</v>
          </cell>
          <cell r="M36">
            <v>0.81697023545091074</v>
          </cell>
          <cell r="N36">
            <v>1669</v>
          </cell>
          <cell r="O36">
            <v>1760</v>
          </cell>
          <cell r="P36">
            <v>1823</v>
          </cell>
          <cell r="Q36">
            <v>1861</v>
          </cell>
          <cell r="R36">
            <v>1845</v>
          </cell>
          <cell r="S36">
            <v>1952</v>
          </cell>
          <cell r="T36">
            <v>2082</v>
          </cell>
          <cell r="U36">
            <v>2251</v>
          </cell>
          <cell r="V36">
            <v>1388</v>
          </cell>
          <cell r="W36">
            <v>1443</v>
          </cell>
          <cell r="X36">
            <v>1464</v>
          </cell>
          <cell r="Y36">
            <v>1489</v>
          </cell>
          <cell r="Z36">
            <v>1514</v>
          </cell>
          <cell r="AA36">
            <v>1562</v>
          </cell>
          <cell r="AB36">
            <v>1707</v>
          </cell>
          <cell r="AC36">
            <v>1839</v>
          </cell>
        </row>
        <row r="37">
          <cell r="D37" t="str">
            <v>UTM</v>
          </cell>
          <cell r="E37" t="str">
            <v>CRUCH-ESTATAL</v>
          </cell>
          <cell r="F37">
            <v>0.75558099599313111</v>
          </cell>
          <cell r="G37">
            <v>0.70790816326530615</v>
          </cell>
          <cell r="H37">
            <v>0.73997709049255445</v>
          </cell>
          <cell r="I37">
            <v>0.80552546045503792</v>
          </cell>
          <cell r="J37">
            <v>0.80574488802336908</v>
          </cell>
          <cell r="K37">
            <v>0.75210643015521061</v>
          </cell>
          <cell r="L37">
            <v>0.81192438196800776</v>
          </cell>
          <cell r="M37">
            <v>0.74932735426008967</v>
          </cell>
          <cell r="N37">
            <v>1747</v>
          </cell>
          <cell r="O37">
            <v>1568</v>
          </cell>
          <cell r="P37">
            <v>1746</v>
          </cell>
          <cell r="Q37">
            <v>1846</v>
          </cell>
          <cell r="R37">
            <v>2054</v>
          </cell>
          <cell r="S37">
            <v>2255</v>
          </cell>
          <cell r="T37">
            <v>2063</v>
          </cell>
          <cell r="U37">
            <v>2230</v>
          </cell>
          <cell r="V37">
            <v>1320</v>
          </cell>
          <cell r="W37">
            <v>1110</v>
          </cell>
          <cell r="X37">
            <v>1292</v>
          </cell>
          <cell r="Y37">
            <v>1487</v>
          </cell>
          <cell r="Z37">
            <v>1655</v>
          </cell>
          <cell r="AA37">
            <v>1696</v>
          </cell>
          <cell r="AB37">
            <v>1675</v>
          </cell>
          <cell r="AC37">
            <v>1671</v>
          </cell>
        </row>
      </sheetData>
      <sheetData sheetId="7"/>
      <sheetData sheetId="8">
        <row r="10">
          <cell r="D10" t="str">
            <v>PUC</v>
          </cell>
          <cell r="E10" t="str">
            <v>CRUCH-PRIVADA</v>
          </cell>
          <cell r="F10">
            <v>0.77154356060606055</v>
          </cell>
          <cell r="G10">
            <v>0.76631330977620726</v>
          </cell>
          <cell r="H10">
            <v>0.74095895977245019</v>
          </cell>
          <cell r="I10">
            <v>0.75014403687343956</v>
          </cell>
          <cell r="J10">
            <v>0.75529457065845207</v>
          </cell>
          <cell r="K10">
            <v>0.75730550284629983</v>
          </cell>
          <cell r="L10">
            <v>0.76878084445256811</v>
          </cell>
          <cell r="M10">
            <v>4224</v>
          </cell>
          <cell r="N10">
            <v>4245</v>
          </cell>
          <cell r="O10">
            <v>4922</v>
          </cell>
          <cell r="P10">
            <v>5207</v>
          </cell>
          <cell r="Q10">
            <v>5194</v>
          </cell>
          <cell r="R10">
            <v>5270</v>
          </cell>
          <cell r="S10">
            <v>5471</v>
          </cell>
          <cell r="T10">
            <v>3259</v>
          </cell>
          <cell r="U10">
            <v>3253</v>
          </cell>
          <cell r="V10">
            <v>3647</v>
          </cell>
          <cell r="W10">
            <v>3906</v>
          </cell>
          <cell r="X10">
            <v>3923</v>
          </cell>
          <cell r="Y10">
            <v>3991</v>
          </cell>
          <cell r="Z10">
            <v>4206</v>
          </cell>
        </row>
        <row r="11">
          <cell r="D11" t="str">
            <v>UCV</v>
          </cell>
          <cell r="E11" t="str">
            <v>CRUCH-PRIVADA</v>
          </cell>
          <cell r="F11">
            <v>0.59691998660863743</v>
          </cell>
          <cell r="G11">
            <v>0.5578813828100222</v>
          </cell>
          <cell r="H11">
            <v>0.57996661101836389</v>
          </cell>
          <cell r="I11">
            <v>0.57053682896379521</v>
          </cell>
          <cell r="J11">
            <v>0.60974086793630966</v>
          </cell>
          <cell r="K11">
            <v>0.65142499217037264</v>
          </cell>
          <cell r="L11">
            <v>0.67038937518865072</v>
          </cell>
          <cell r="M11">
            <v>2987</v>
          </cell>
          <cell r="N11">
            <v>3153</v>
          </cell>
          <cell r="O11">
            <v>2995</v>
          </cell>
          <cell r="P11">
            <v>3204</v>
          </cell>
          <cell r="Q11">
            <v>3203</v>
          </cell>
          <cell r="R11">
            <v>3193</v>
          </cell>
          <cell r="S11">
            <v>3313</v>
          </cell>
          <cell r="T11">
            <v>1783</v>
          </cell>
          <cell r="U11">
            <v>1759</v>
          </cell>
          <cell r="V11">
            <v>1737</v>
          </cell>
          <cell r="W11">
            <v>1828</v>
          </cell>
          <cell r="X11">
            <v>1953</v>
          </cell>
          <cell r="Y11">
            <v>2080</v>
          </cell>
          <cell r="Z11">
            <v>2221</v>
          </cell>
        </row>
        <row r="12">
          <cell r="D12" t="str">
            <v>UAP</v>
          </cell>
          <cell r="E12" t="str">
            <v>CRUCH-ESTATAL</v>
          </cell>
          <cell r="F12">
            <v>0.52417061611374405</v>
          </cell>
          <cell r="G12">
            <v>0.48810656517602286</v>
          </cell>
          <cell r="H12">
            <v>0.5701402805611222</v>
          </cell>
          <cell r="I12">
            <v>0.5826446280991735</v>
          </cell>
          <cell r="J12">
            <v>0.62112403100775193</v>
          </cell>
          <cell r="K12">
            <v>0.58181818181818179</v>
          </cell>
          <cell r="L12">
            <v>0.63002114164904865</v>
          </cell>
          <cell r="M12">
            <v>1055</v>
          </cell>
          <cell r="N12">
            <v>1051</v>
          </cell>
          <cell r="O12">
            <v>998</v>
          </cell>
          <cell r="P12">
            <v>968</v>
          </cell>
          <cell r="Q12">
            <v>1032</v>
          </cell>
          <cell r="R12">
            <v>935</v>
          </cell>
          <cell r="S12">
            <v>946</v>
          </cell>
          <cell r="T12">
            <v>553</v>
          </cell>
          <cell r="U12">
            <v>513</v>
          </cell>
          <cell r="V12">
            <v>569</v>
          </cell>
          <cell r="W12">
            <v>564</v>
          </cell>
          <cell r="X12">
            <v>641</v>
          </cell>
          <cell r="Y12">
            <v>544</v>
          </cell>
          <cell r="Z12">
            <v>596</v>
          </cell>
        </row>
        <row r="13">
          <cell r="D13" t="str">
            <v>AUS</v>
          </cell>
          <cell r="E13" t="str">
            <v>CRUCH-PRIVADA</v>
          </cell>
          <cell r="F13">
            <v>0.63734076433121023</v>
          </cell>
          <cell r="G13">
            <v>0.63039253789350957</v>
          </cell>
          <cell r="H13">
            <v>0.62969211303247574</v>
          </cell>
          <cell r="I13">
            <v>0.66172656539459063</v>
          </cell>
          <cell r="J13">
            <v>0.67527272727272725</v>
          </cell>
          <cell r="K13">
            <v>0.67984869325997244</v>
          </cell>
          <cell r="L13">
            <v>0.69057815845824411</v>
          </cell>
          <cell r="M13">
            <v>2512</v>
          </cell>
          <cell r="N13">
            <v>2573</v>
          </cell>
          <cell r="O13">
            <v>2371</v>
          </cell>
          <cell r="P13">
            <v>2699</v>
          </cell>
          <cell r="Q13">
            <v>2750</v>
          </cell>
          <cell r="R13">
            <v>2908</v>
          </cell>
          <cell r="S13">
            <v>2802</v>
          </cell>
          <cell r="T13">
            <v>1601</v>
          </cell>
          <cell r="U13">
            <v>1622</v>
          </cell>
          <cell r="V13">
            <v>1493</v>
          </cell>
          <cell r="W13">
            <v>1786</v>
          </cell>
          <cell r="X13">
            <v>1857</v>
          </cell>
          <cell r="Y13">
            <v>1977</v>
          </cell>
          <cell r="Z13">
            <v>1935</v>
          </cell>
        </row>
        <row r="14">
          <cell r="D14" t="str">
            <v>USC</v>
          </cell>
          <cell r="E14" t="str">
            <v>CRUCH-PRIVADA</v>
          </cell>
          <cell r="F14">
            <v>0.72203579418344521</v>
          </cell>
          <cell r="G14">
            <v>0.68609125893347989</v>
          </cell>
          <cell r="H14">
            <v>0.68763326226012789</v>
          </cell>
          <cell r="I14">
            <v>0.70404777704047772</v>
          </cell>
          <cell r="J14">
            <v>0.70962099125364431</v>
          </cell>
          <cell r="K14">
            <v>0.72696629213483144</v>
          </cell>
          <cell r="L14">
            <v>0.69749216300940442</v>
          </cell>
          <cell r="M14">
            <v>1788</v>
          </cell>
          <cell r="N14">
            <v>1819</v>
          </cell>
          <cell r="O14">
            <v>1876</v>
          </cell>
          <cell r="P14">
            <v>1507</v>
          </cell>
          <cell r="Q14">
            <v>1715</v>
          </cell>
          <cell r="R14">
            <v>1780</v>
          </cell>
          <cell r="S14">
            <v>1914</v>
          </cell>
          <cell r="T14">
            <v>1291</v>
          </cell>
          <cell r="U14">
            <v>1248</v>
          </cell>
          <cell r="V14">
            <v>1290</v>
          </cell>
          <cell r="W14">
            <v>1061</v>
          </cell>
          <cell r="X14">
            <v>1217</v>
          </cell>
          <cell r="Y14">
            <v>1294</v>
          </cell>
          <cell r="Z14">
            <v>1335</v>
          </cell>
        </row>
        <row r="15">
          <cell r="D15" t="str">
            <v>UCT</v>
          </cell>
          <cell r="E15" t="str">
            <v>CRUCH-PRIVADA</v>
          </cell>
          <cell r="F15">
            <v>0.56772334293948123</v>
          </cell>
          <cell r="G15">
            <v>0.58519900497512434</v>
          </cell>
          <cell r="H15">
            <v>0.63934426229508201</v>
          </cell>
          <cell r="I15">
            <v>0.65571975916803504</v>
          </cell>
          <cell r="J15">
            <v>0.67000589275191513</v>
          </cell>
          <cell r="K15">
            <v>0.67103762827822122</v>
          </cell>
          <cell r="L15">
            <v>0.68479918657854599</v>
          </cell>
          <cell r="M15">
            <v>1735</v>
          </cell>
          <cell r="N15">
            <v>1608</v>
          </cell>
          <cell r="O15">
            <v>1647</v>
          </cell>
          <cell r="P15">
            <v>1827</v>
          </cell>
          <cell r="Q15">
            <v>1697</v>
          </cell>
          <cell r="R15">
            <v>1754</v>
          </cell>
          <cell r="S15">
            <v>1967</v>
          </cell>
          <cell r="T15">
            <v>985</v>
          </cell>
          <cell r="U15">
            <v>941</v>
          </cell>
          <cell r="V15">
            <v>1053</v>
          </cell>
          <cell r="W15">
            <v>1198</v>
          </cell>
          <cell r="X15">
            <v>1137</v>
          </cell>
          <cell r="Y15">
            <v>1177</v>
          </cell>
          <cell r="Z15">
            <v>1347</v>
          </cell>
        </row>
        <row r="16">
          <cell r="D16" t="str">
            <v>UCM</v>
          </cell>
          <cell r="E16" t="str">
            <v>CRUCH-PRIVADA</v>
          </cell>
          <cell r="F16">
            <v>0.80956678700361007</v>
          </cell>
          <cell r="G16">
            <v>0.75880971025841815</v>
          </cell>
          <cell r="H16">
            <v>0.77064220183486243</v>
          </cell>
          <cell r="I16">
            <v>0.73314993122420913</v>
          </cell>
          <cell r="J16">
            <v>0.72841328413284134</v>
          </cell>
          <cell r="K16">
            <v>0.77353149327671622</v>
          </cell>
          <cell r="L16">
            <v>0.75371802498512785</v>
          </cell>
          <cell r="M16">
            <v>1108</v>
          </cell>
          <cell r="N16">
            <v>1277</v>
          </cell>
          <cell r="O16">
            <v>1308</v>
          </cell>
          <cell r="P16">
            <v>1454</v>
          </cell>
          <cell r="Q16">
            <v>1355</v>
          </cell>
          <cell r="R16">
            <v>1413</v>
          </cell>
          <cell r="S16">
            <v>1681</v>
          </cell>
          <cell r="T16">
            <v>897</v>
          </cell>
          <cell r="U16">
            <v>969</v>
          </cell>
          <cell r="V16">
            <v>1008</v>
          </cell>
          <cell r="W16">
            <v>1066</v>
          </cell>
          <cell r="X16">
            <v>987</v>
          </cell>
          <cell r="Y16">
            <v>1093</v>
          </cell>
          <cell r="Z16">
            <v>1267</v>
          </cell>
        </row>
        <row r="17">
          <cell r="D17" t="str">
            <v>UCN</v>
          </cell>
          <cell r="E17" t="str">
            <v>CRUCH-PRIVADA</v>
          </cell>
          <cell r="F17">
            <v>0.64413722478238611</v>
          </cell>
          <cell r="G17">
            <v>0.58383727322704781</v>
          </cell>
          <cell r="H17">
            <v>0.64928366762177647</v>
          </cell>
          <cell r="I17">
            <v>0.65508298755186722</v>
          </cell>
          <cell r="J17">
            <v>0.65231259968102073</v>
          </cell>
          <cell r="K17">
            <v>0.56695741405849154</v>
          </cell>
          <cell r="L17">
            <v>0.63491295938104453</v>
          </cell>
          <cell r="M17">
            <v>1953</v>
          </cell>
          <cell r="N17">
            <v>1819</v>
          </cell>
          <cell r="O17">
            <v>1745</v>
          </cell>
          <cell r="P17">
            <v>1928</v>
          </cell>
          <cell r="Q17">
            <v>1881</v>
          </cell>
          <cell r="R17">
            <v>1949</v>
          </cell>
          <cell r="S17">
            <v>2068</v>
          </cell>
          <cell r="T17">
            <v>1258</v>
          </cell>
          <cell r="U17">
            <v>1062</v>
          </cell>
          <cell r="V17">
            <v>1133</v>
          </cell>
          <cell r="W17">
            <v>1263</v>
          </cell>
          <cell r="X17">
            <v>1227</v>
          </cell>
          <cell r="Y17">
            <v>1105</v>
          </cell>
          <cell r="Z17">
            <v>1313</v>
          </cell>
        </row>
        <row r="18">
          <cell r="D18" t="str">
            <v>ANT</v>
          </cell>
          <cell r="E18" t="str">
            <v>CRUCH-ESTATAL</v>
          </cell>
          <cell r="F18">
            <v>0.65701559020044542</v>
          </cell>
          <cell r="G18">
            <v>0.66585067319461444</v>
          </cell>
          <cell r="H18">
            <v>0.68436873747494986</v>
          </cell>
          <cell r="I18">
            <v>0.61865189289012001</v>
          </cell>
          <cell r="J18">
            <v>0.66579177602799655</v>
          </cell>
          <cell r="K18">
            <v>0.65437392795883365</v>
          </cell>
          <cell r="L18">
            <v>0.66692728694292414</v>
          </cell>
          <cell r="M18">
            <v>898</v>
          </cell>
          <cell r="N18">
            <v>817</v>
          </cell>
          <cell r="O18">
            <v>998</v>
          </cell>
          <cell r="P18">
            <v>1083</v>
          </cell>
          <cell r="Q18">
            <v>1143</v>
          </cell>
          <cell r="R18">
            <v>1166</v>
          </cell>
          <cell r="S18">
            <v>1279</v>
          </cell>
          <cell r="T18">
            <v>590</v>
          </cell>
          <cell r="U18">
            <v>544</v>
          </cell>
          <cell r="V18">
            <v>683</v>
          </cell>
          <cell r="W18">
            <v>670</v>
          </cell>
          <cell r="X18">
            <v>761</v>
          </cell>
          <cell r="Y18">
            <v>763</v>
          </cell>
          <cell r="Z18">
            <v>853</v>
          </cell>
        </row>
        <row r="19">
          <cell r="D19" t="str">
            <v>ATA</v>
          </cell>
          <cell r="E19" t="str">
            <v>CRUCH-ESTATAL</v>
          </cell>
          <cell r="F19">
            <v>0.46313065976714102</v>
          </cell>
          <cell r="G19">
            <v>0.51892744479495267</v>
          </cell>
          <cell r="H19">
            <v>0.44314868804664725</v>
          </cell>
          <cell r="I19">
            <v>0.52705410821643284</v>
          </cell>
          <cell r="J19">
            <v>0.53543307086614178</v>
          </cell>
          <cell r="K19">
            <v>0.5810276679841897</v>
          </cell>
          <cell r="L19">
            <v>0.57662835249042144</v>
          </cell>
          <cell r="M19">
            <v>773</v>
          </cell>
          <cell r="N19">
            <v>634</v>
          </cell>
          <cell r="O19">
            <v>686</v>
          </cell>
          <cell r="P19">
            <v>998</v>
          </cell>
          <cell r="Q19">
            <v>1016</v>
          </cell>
          <cell r="R19">
            <v>1012</v>
          </cell>
          <cell r="S19">
            <v>1044</v>
          </cell>
          <cell r="T19">
            <v>358</v>
          </cell>
          <cell r="U19">
            <v>329</v>
          </cell>
          <cell r="V19">
            <v>304</v>
          </cell>
          <cell r="W19">
            <v>526</v>
          </cell>
          <cell r="X19">
            <v>544</v>
          </cell>
          <cell r="Y19">
            <v>588</v>
          </cell>
          <cell r="Z19">
            <v>602</v>
          </cell>
        </row>
        <row r="20">
          <cell r="D20" t="str">
            <v>URY</v>
          </cell>
          <cell r="E20" t="str">
            <v>CRUCH-ESTATAL</v>
          </cell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</row>
        <row r="21">
          <cell r="D21" t="str">
            <v>UCH</v>
          </cell>
          <cell r="E21" t="str">
            <v>CRUCH-ESTATAL</v>
          </cell>
          <cell r="F21">
            <v>0.68979980934223073</v>
          </cell>
          <cell r="G21">
            <v>0.70239198961616911</v>
          </cell>
          <cell r="H21">
            <v>0.71343045300339258</v>
          </cell>
          <cell r="I21">
            <v>0.72421652421652427</v>
          </cell>
          <cell r="J21">
            <v>0.73257061136932422</v>
          </cell>
          <cell r="K21">
            <v>0.71918743598497781</v>
          </cell>
          <cell r="L21">
            <v>0.75521821631878561</v>
          </cell>
          <cell r="M21">
            <v>5245</v>
          </cell>
          <cell r="N21">
            <v>5393</v>
          </cell>
          <cell r="O21">
            <v>5011</v>
          </cell>
          <cell r="P21">
            <v>5265</v>
          </cell>
          <cell r="Q21">
            <v>5594</v>
          </cell>
          <cell r="R21">
            <v>5858</v>
          </cell>
          <cell r="S21">
            <v>5797</v>
          </cell>
          <cell r="T21">
            <v>3618</v>
          </cell>
          <cell r="U21">
            <v>3788</v>
          </cell>
          <cell r="V21">
            <v>3575</v>
          </cell>
          <cell r="W21">
            <v>3813</v>
          </cell>
          <cell r="X21">
            <v>4098</v>
          </cell>
          <cell r="Y21">
            <v>4213</v>
          </cell>
          <cell r="Z21">
            <v>4378</v>
          </cell>
        </row>
        <row r="22">
          <cell r="D22" t="str">
            <v>UCO</v>
          </cell>
          <cell r="E22" t="str">
            <v>CRUCH-PRIVADA</v>
          </cell>
          <cell r="F22">
            <v>0.65969345484672748</v>
          </cell>
          <cell r="G22">
            <v>0.65565736202855318</v>
          </cell>
          <cell r="H22">
            <v>0.65961497778718003</v>
          </cell>
          <cell r="I22">
            <v>0.67074148296593183</v>
          </cell>
          <cell r="J22">
            <v>0.65908124202467033</v>
          </cell>
          <cell r="K22">
            <v>0.66556632968846707</v>
          </cell>
          <cell r="L22">
            <v>0.65783664459161151</v>
          </cell>
          <cell r="M22">
            <v>4828</v>
          </cell>
          <cell r="N22">
            <v>4693</v>
          </cell>
          <cell r="O22">
            <v>4727</v>
          </cell>
          <cell r="P22">
            <v>4990</v>
          </cell>
          <cell r="Q22">
            <v>4702</v>
          </cell>
          <cell r="R22">
            <v>4847</v>
          </cell>
          <cell r="S22">
            <v>4983</v>
          </cell>
          <cell r="T22">
            <v>3185</v>
          </cell>
          <cell r="U22">
            <v>3077</v>
          </cell>
          <cell r="V22">
            <v>3118</v>
          </cell>
          <cell r="W22">
            <v>3347</v>
          </cell>
          <cell r="X22">
            <v>3099</v>
          </cell>
          <cell r="Y22">
            <v>3226</v>
          </cell>
          <cell r="Z22">
            <v>3278</v>
          </cell>
        </row>
        <row r="23">
          <cell r="D23" t="str">
            <v>FRO</v>
          </cell>
          <cell r="E23" t="str">
            <v>CRUCH-ESTATAL</v>
          </cell>
          <cell r="F23">
            <v>0.66843220338983056</v>
          </cell>
          <cell r="G23">
            <v>0.64093959731543626</v>
          </cell>
          <cell r="H23">
            <v>0.66393022062596208</v>
          </cell>
          <cell r="I23">
            <v>0.63789581205311541</v>
          </cell>
          <cell r="J23">
            <v>0.63506355932203384</v>
          </cell>
          <cell r="K23">
            <v>0.63857769118363372</v>
          </cell>
          <cell r="L23">
            <v>0.66602223296278396</v>
          </cell>
          <cell r="M23">
            <v>1888</v>
          </cell>
          <cell r="N23">
            <v>1788</v>
          </cell>
          <cell r="O23">
            <v>1949</v>
          </cell>
          <cell r="P23">
            <v>1958</v>
          </cell>
          <cell r="Q23">
            <v>1888</v>
          </cell>
          <cell r="R23">
            <v>2053</v>
          </cell>
          <cell r="S23">
            <v>2069</v>
          </cell>
          <cell r="T23">
            <v>1262</v>
          </cell>
          <cell r="U23">
            <v>1146</v>
          </cell>
          <cell r="V23">
            <v>1294</v>
          </cell>
          <cell r="W23">
            <v>1249</v>
          </cell>
          <cell r="X23">
            <v>1199</v>
          </cell>
          <cell r="Y23">
            <v>1311</v>
          </cell>
          <cell r="Z23">
            <v>1378</v>
          </cell>
        </row>
        <row r="24">
          <cell r="D24" t="str">
            <v>ULS</v>
          </cell>
          <cell r="E24" t="str">
            <v>CRUCH-ESTATAL</v>
          </cell>
          <cell r="F24">
            <v>0.61448140900195691</v>
          </cell>
          <cell r="G24">
            <v>0.58439811701412236</v>
          </cell>
          <cell r="H24">
            <v>0.61419354838709672</v>
          </cell>
          <cell r="I24">
            <v>0.59616573902288184</v>
          </cell>
          <cell r="J24">
            <v>0.60672703751617074</v>
          </cell>
          <cell r="K24">
            <v>0.59270704573547595</v>
          </cell>
          <cell r="L24">
            <v>0.60238805970149256</v>
          </cell>
          <cell r="M24">
            <v>1533</v>
          </cell>
          <cell r="N24">
            <v>1487</v>
          </cell>
          <cell r="O24">
            <v>1550</v>
          </cell>
          <cell r="P24">
            <v>1617</v>
          </cell>
          <cell r="Q24">
            <v>1546</v>
          </cell>
          <cell r="R24">
            <v>1618</v>
          </cell>
          <cell r="S24">
            <v>1675</v>
          </cell>
          <cell r="T24">
            <v>942</v>
          </cell>
          <cell r="U24">
            <v>869</v>
          </cell>
          <cell r="V24">
            <v>952</v>
          </cell>
          <cell r="W24">
            <v>964</v>
          </cell>
          <cell r="X24">
            <v>938</v>
          </cell>
          <cell r="Y24">
            <v>959</v>
          </cell>
          <cell r="Z24">
            <v>1009</v>
          </cell>
        </row>
        <row r="25">
          <cell r="D25" t="str">
            <v>ULA</v>
          </cell>
          <cell r="E25" t="str">
            <v>CRUCH-ESTATAL</v>
          </cell>
          <cell r="F25">
            <v>0.62425149700598803</v>
          </cell>
          <cell r="G25">
            <v>0.61742424242424243</v>
          </cell>
          <cell r="H25">
            <v>0.66614664586583461</v>
          </cell>
          <cell r="I25">
            <v>0.60699865410497977</v>
          </cell>
          <cell r="J25">
            <v>0.62669683257918551</v>
          </cell>
          <cell r="K25">
            <v>0.64565992865636146</v>
          </cell>
          <cell r="L25">
            <v>0.61368209255533201</v>
          </cell>
          <cell r="M25">
            <v>668</v>
          </cell>
          <cell r="N25">
            <v>792</v>
          </cell>
          <cell r="O25">
            <v>641</v>
          </cell>
          <cell r="P25">
            <v>743</v>
          </cell>
          <cell r="Q25">
            <v>884</v>
          </cell>
          <cell r="R25">
            <v>841</v>
          </cell>
          <cell r="S25">
            <v>994</v>
          </cell>
          <cell r="T25">
            <v>417</v>
          </cell>
          <cell r="U25">
            <v>489</v>
          </cell>
          <cell r="V25">
            <v>427</v>
          </cell>
          <cell r="W25">
            <v>451</v>
          </cell>
          <cell r="X25">
            <v>554</v>
          </cell>
          <cell r="Y25">
            <v>543</v>
          </cell>
          <cell r="Z25">
            <v>610</v>
          </cell>
        </row>
        <row r="26">
          <cell r="D26" t="str">
            <v>MAG</v>
          </cell>
          <cell r="E26" t="str">
            <v>CRUCH-ESTATAL</v>
          </cell>
          <cell r="F26">
            <v>0.60493827160493829</v>
          </cell>
          <cell r="G26">
            <v>0.63779527559055116</v>
          </cell>
          <cell r="H26">
            <v>0.63452914798206284</v>
          </cell>
          <cell r="I26">
            <v>0.59834710743801656</v>
          </cell>
          <cell r="J26">
            <v>0.67799642218246869</v>
          </cell>
          <cell r="K26">
            <v>0.6107784431137725</v>
          </cell>
          <cell r="L26">
            <v>0.61693548387096775</v>
          </cell>
          <cell r="M26">
            <v>648</v>
          </cell>
          <cell r="N26">
            <v>508</v>
          </cell>
          <cell r="O26">
            <v>446</v>
          </cell>
          <cell r="P26">
            <v>605</v>
          </cell>
          <cell r="Q26">
            <v>559</v>
          </cell>
          <cell r="R26">
            <v>668</v>
          </cell>
          <cell r="S26">
            <v>744</v>
          </cell>
          <cell r="T26">
            <v>392</v>
          </cell>
          <cell r="U26">
            <v>324</v>
          </cell>
          <cell r="V26">
            <v>283</v>
          </cell>
          <cell r="W26">
            <v>362</v>
          </cell>
          <cell r="X26">
            <v>379</v>
          </cell>
          <cell r="Y26">
            <v>408</v>
          </cell>
          <cell r="Z26">
            <v>459</v>
          </cell>
        </row>
        <row r="27">
          <cell r="D27" t="str">
            <v>URO</v>
          </cell>
          <cell r="E27" t="str">
            <v>CRUCH-ESTATAL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</row>
        <row r="28">
          <cell r="D28" t="str">
            <v>UPA</v>
          </cell>
          <cell r="E28" t="str">
            <v>CRUCH-ESTATAL</v>
          </cell>
          <cell r="F28">
            <v>0.64087193460490466</v>
          </cell>
          <cell r="G28">
            <v>0.59954751131221717</v>
          </cell>
          <cell r="H28">
            <v>0.59619306594153632</v>
          </cell>
          <cell r="I28">
            <v>0.55097765363128492</v>
          </cell>
          <cell r="J28">
            <v>0.59623430962343094</v>
          </cell>
          <cell r="K28">
            <v>0.64819136522753795</v>
          </cell>
          <cell r="L28">
            <v>0.62677254679523542</v>
          </cell>
          <cell r="M28">
            <v>1835</v>
          </cell>
          <cell r="N28">
            <v>1768</v>
          </cell>
          <cell r="O28">
            <v>1471</v>
          </cell>
          <cell r="P28">
            <v>1432</v>
          </cell>
          <cell r="Q28">
            <v>1434</v>
          </cell>
          <cell r="R28">
            <v>1714</v>
          </cell>
          <cell r="S28">
            <v>1763</v>
          </cell>
          <cell r="T28">
            <v>1176</v>
          </cell>
          <cell r="U28">
            <v>1060</v>
          </cell>
          <cell r="V28">
            <v>877</v>
          </cell>
          <cell r="W28">
            <v>789</v>
          </cell>
          <cell r="X28">
            <v>855</v>
          </cell>
          <cell r="Y28">
            <v>1111</v>
          </cell>
          <cell r="Z28">
            <v>1105</v>
          </cell>
        </row>
        <row r="29">
          <cell r="D29" t="str">
            <v>USA</v>
          </cell>
          <cell r="E29" t="str">
            <v>CRUCH-ESTATAL</v>
          </cell>
          <cell r="F29">
            <v>0.68065573770491805</v>
          </cell>
          <cell r="G29">
            <v>0.55658682634730539</v>
          </cell>
          <cell r="H29">
            <v>0.62788823213326173</v>
          </cell>
          <cell r="I29">
            <v>0.61633663366336633</v>
          </cell>
          <cell r="J29">
            <v>0.5958289334741288</v>
          </cell>
          <cell r="K29">
            <v>0.59097859327217128</v>
          </cell>
          <cell r="L29">
            <v>0.58380681818181823</v>
          </cell>
          <cell r="M29">
            <v>3050</v>
          </cell>
          <cell r="N29">
            <v>3340</v>
          </cell>
          <cell r="O29">
            <v>3722</v>
          </cell>
          <cell r="P29">
            <v>3232</v>
          </cell>
          <cell r="Q29">
            <v>3788</v>
          </cell>
          <cell r="R29">
            <v>3924</v>
          </cell>
          <cell r="S29">
            <v>3520</v>
          </cell>
          <cell r="T29">
            <v>2076</v>
          </cell>
          <cell r="U29">
            <v>1859</v>
          </cell>
          <cell r="V29">
            <v>2337</v>
          </cell>
          <cell r="W29">
            <v>1992</v>
          </cell>
          <cell r="X29">
            <v>2257</v>
          </cell>
          <cell r="Y29">
            <v>2319</v>
          </cell>
          <cell r="Z29">
            <v>2055</v>
          </cell>
        </row>
        <row r="30">
          <cell r="D30" t="str">
            <v>TAL</v>
          </cell>
          <cell r="E30" t="str">
            <v>CRUCH-ESTATAL</v>
          </cell>
          <cell r="F30">
            <v>0.7556596409055425</v>
          </cell>
          <cell r="G30">
            <v>0.70656370656370659</v>
          </cell>
          <cell r="H30">
            <v>0.70518602029312294</v>
          </cell>
          <cell r="I30">
            <v>0.71880733944954134</v>
          </cell>
          <cell r="J30">
            <v>0.7183908045977011</v>
          </cell>
          <cell r="K30">
            <v>0.74460043196544279</v>
          </cell>
          <cell r="L30">
            <v>0.72944297082228116</v>
          </cell>
          <cell r="M30">
            <v>1281</v>
          </cell>
          <cell r="N30">
            <v>1295</v>
          </cell>
          <cell r="O30">
            <v>1774</v>
          </cell>
          <cell r="P30">
            <v>2180</v>
          </cell>
          <cell r="Q30">
            <v>1740</v>
          </cell>
          <cell r="R30">
            <v>1852</v>
          </cell>
          <cell r="S30">
            <v>1885</v>
          </cell>
          <cell r="T30">
            <v>968</v>
          </cell>
          <cell r="U30">
            <v>915</v>
          </cell>
          <cell r="V30">
            <v>1251</v>
          </cell>
          <cell r="W30">
            <v>1567</v>
          </cell>
          <cell r="X30">
            <v>1250</v>
          </cell>
          <cell r="Y30">
            <v>1379</v>
          </cell>
          <cell r="Z30">
            <v>1375</v>
          </cell>
        </row>
        <row r="31">
          <cell r="D31" t="str">
            <v>UTA</v>
          </cell>
          <cell r="E31" t="str">
            <v>CRUCH-ESTATAL</v>
          </cell>
          <cell r="F31">
            <v>0.59766963673749141</v>
          </cell>
          <cell r="G31">
            <v>0.63847203274215547</v>
          </cell>
          <cell r="H31">
            <v>0.70169491525423733</v>
          </cell>
          <cell r="I31">
            <v>0.63040629095674972</v>
          </cell>
          <cell r="J31">
            <v>0.62819519752130126</v>
          </cell>
          <cell r="K31">
            <v>0.62621674237508107</v>
          </cell>
          <cell r="L31">
            <v>0.64123076923076927</v>
          </cell>
          <cell r="M31">
            <v>1459</v>
          </cell>
          <cell r="N31">
            <v>1466</v>
          </cell>
          <cell r="O31">
            <v>1475</v>
          </cell>
          <cell r="P31">
            <v>1526</v>
          </cell>
          <cell r="Q31">
            <v>1291</v>
          </cell>
          <cell r="R31">
            <v>1541</v>
          </cell>
          <cell r="S31">
            <v>1625</v>
          </cell>
          <cell r="T31">
            <v>872</v>
          </cell>
          <cell r="U31">
            <v>936</v>
          </cell>
          <cell r="V31">
            <v>1035</v>
          </cell>
          <cell r="W31">
            <v>962</v>
          </cell>
          <cell r="X31">
            <v>811</v>
          </cell>
          <cell r="Y31">
            <v>965</v>
          </cell>
          <cell r="Z31">
            <v>1042</v>
          </cell>
        </row>
        <row r="32">
          <cell r="D32" t="str">
            <v>UVA</v>
          </cell>
          <cell r="E32" t="str">
            <v>CRUCH-ESTATAL</v>
          </cell>
          <cell r="F32">
            <v>0.6637140145523569</v>
          </cell>
          <cell r="G32">
            <v>0.64890073284477012</v>
          </cell>
          <cell r="H32">
            <v>0.64079147640791478</v>
          </cell>
          <cell r="I32">
            <v>0.62412761714855436</v>
          </cell>
          <cell r="J32">
            <v>0.65015806111696528</v>
          </cell>
          <cell r="K32">
            <v>0.67136304062909569</v>
          </cell>
          <cell r="L32">
            <v>0.68208092485549132</v>
          </cell>
          <cell r="M32">
            <v>3161</v>
          </cell>
          <cell r="N32">
            <v>3002</v>
          </cell>
          <cell r="O32">
            <v>3285</v>
          </cell>
          <cell r="P32">
            <v>3009</v>
          </cell>
          <cell r="Q32">
            <v>2847</v>
          </cell>
          <cell r="R32">
            <v>3052</v>
          </cell>
          <cell r="S32">
            <v>3460</v>
          </cell>
          <cell r="T32">
            <v>2098</v>
          </cell>
          <cell r="U32">
            <v>1948</v>
          </cell>
          <cell r="V32">
            <v>2105</v>
          </cell>
          <cell r="W32">
            <v>1878</v>
          </cell>
          <cell r="X32">
            <v>1851</v>
          </cell>
          <cell r="Y32">
            <v>2049</v>
          </cell>
          <cell r="Z32">
            <v>2360</v>
          </cell>
        </row>
        <row r="33">
          <cell r="D33" t="str">
            <v>UBB</v>
          </cell>
          <cell r="E33" t="str">
            <v>CRUCH-ESTATAL</v>
          </cell>
          <cell r="F33">
            <v>0.76222826086956519</v>
          </cell>
          <cell r="G33">
            <v>0.72163038443723948</v>
          </cell>
          <cell r="H33">
            <v>0.7530805687203791</v>
          </cell>
          <cell r="I33">
            <v>0.73044631020768891</v>
          </cell>
          <cell r="J33">
            <v>0.70874704491725771</v>
          </cell>
          <cell r="K33">
            <v>0.70882740447957837</v>
          </cell>
          <cell r="L33">
            <v>0.70119521912350602</v>
          </cell>
          <cell r="M33">
            <v>2208</v>
          </cell>
          <cell r="N33">
            <v>2159</v>
          </cell>
          <cell r="O33">
            <v>2110</v>
          </cell>
          <cell r="P33">
            <v>2263</v>
          </cell>
          <cell r="Q33">
            <v>2115</v>
          </cell>
          <cell r="R33">
            <v>2277</v>
          </cell>
          <cell r="S33">
            <v>2259</v>
          </cell>
          <cell r="T33">
            <v>1683</v>
          </cell>
          <cell r="U33">
            <v>1558</v>
          </cell>
          <cell r="V33">
            <v>1589</v>
          </cell>
          <cell r="W33">
            <v>1653</v>
          </cell>
          <cell r="X33">
            <v>1499</v>
          </cell>
          <cell r="Y33">
            <v>1614</v>
          </cell>
          <cell r="Z33">
            <v>1584</v>
          </cell>
        </row>
        <row r="34">
          <cell r="D34" t="str">
            <v>UMC</v>
          </cell>
          <cell r="E34" t="str">
            <v>CRUCH-ESTATAL</v>
          </cell>
          <cell r="F34">
            <v>0.64579256360078274</v>
          </cell>
          <cell r="G34">
            <v>0.65895953757225434</v>
          </cell>
          <cell r="H34">
            <v>0.63561924257932445</v>
          </cell>
          <cell r="I34">
            <v>0.60351201478743066</v>
          </cell>
          <cell r="J34">
            <v>0.64176245210727967</v>
          </cell>
          <cell r="K34">
            <v>0.55975924333619953</v>
          </cell>
          <cell r="L34">
            <v>0.64049195837275308</v>
          </cell>
          <cell r="M34">
            <v>1022</v>
          </cell>
          <cell r="N34">
            <v>1038</v>
          </cell>
          <cell r="O34">
            <v>977</v>
          </cell>
          <cell r="P34">
            <v>1082</v>
          </cell>
          <cell r="Q34">
            <v>1044</v>
          </cell>
          <cell r="R34">
            <v>1163</v>
          </cell>
          <cell r="S34">
            <v>1057</v>
          </cell>
          <cell r="T34">
            <v>660</v>
          </cell>
          <cell r="U34">
            <v>684</v>
          </cell>
          <cell r="V34">
            <v>621</v>
          </cell>
          <cell r="W34">
            <v>653</v>
          </cell>
          <cell r="X34">
            <v>670</v>
          </cell>
          <cell r="Y34">
            <v>651</v>
          </cell>
          <cell r="Z34">
            <v>677</v>
          </cell>
        </row>
        <row r="35">
          <cell r="D35" t="str">
            <v>FSM</v>
          </cell>
          <cell r="E35" t="str">
            <v>CRUCH-PRIVADA</v>
          </cell>
          <cell r="F35">
            <v>0.66422594142259417</v>
          </cell>
          <cell r="G35">
            <v>0.60167966406718654</v>
          </cell>
          <cell r="H35">
            <v>0.59113034072471604</v>
          </cell>
          <cell r="I35">
            <v>0.61661166116611665</v>
          </cell>
          <cell r="J35">
            <v>0.55633047210300424</v>
          </cell>
          <cell r="K35">
            <v>0.61858454889249059</v>
          </cell>
          <cell r="L35">
            <v>0.59784836065573765</v>
          </cell>
          <cell r="M35">
            <v>1912</v>
          </cell>
          <cell r="N35">
            <v>1667</v>
          </cell>
          <cell r="O35">
            <v>1849</v>
          </cell>
          <cell r="P35">
            <v>1818</v>
          </cell>
          <cell r="Q35">
            <v>1864</v>
          </cell>
          <cell r="R35">
            <v>1851</v>
          </cell>
          <cell r="S35">
            <v>1952</v>
          </cell>
          <cell r="T35">
            <v>1270</v>
          </cell>
          <cell r="U35">
            <v>1003</v>
          </cell>
          <cell r="V35">
            <v>1093</v>
          </cell>
          <cell r="W35">
            <v>1121</v>
          </cell>
          <cell r="X35">
            <v>1037</v>
          </cell>
          <cell r="Y35">
            <v>1145</v>
          </cell>
          <cell r="Z35">
            <v>1167</v>
          </cell>
        </row>
        <row r="36">
          <cell r="D36" t="str">
            <v>UTM</v>
          </cell>
          <cell r="E36" t="str">
            <v>CRUCH-ESTATAL</v>
          </cell>
          <cell r="F36">
            <v>0.52720207253886009</v>
          </cell>
          <cell r="G36">
            <v>0.51516886090440761</v>
          </cell>
          <cell r="H36">
            <v>0.49744897959183676</v>
          </cell>
          <cell r="I36">
            <v>0.51688609044075562</v>
          </cell>
          <cell r="J36">
            <v>0.5579631635969664</v>
          </cell>
          <cell r="K36">
            <v>0.55143832276938076</v>
          </cell>
          <cell r="L36">
            <v>0.53419182948490229</v>
          </cell>
          <cell r="M36">
            <v>1544</v>
          </cell>
          <cell r="N36">
            <v>1747</v>
          </cell>
          <cell r="O36">
            <v>1568</v>
          </cell>
          <cell r="P36">
            <v>1747</v>
          </cell>
          <cell r="Q36">
            <v>1846</v>
          </cell>
          <cell r="R36">
            <v>2051</v>
          </cell>
          <cell r="S36">
            <v>2252</v>
          </cell>
          <cell r="T36">
            <v>814</v>
          </cell>
          <cell r="U36">
            <v>900</v>
          </cell>
          <cell r="V36">
            <v>780</v>
          </cell>
          <cell r="W36">
            <v>903</v>
          </cell>
          <cell r="X36">
            <v>1030</v>
          </cell>
          <cell r="Y36">
            <v>1131</v>
          </cell>
          <cell r="Z36">
            <v>1203</v>
          </cell>
        </row>
      </sheetData>
      <sheetData sheetId="9"/>
      <sheetData sheetId="10">
        <row r="8">
          <cell r="D8" t="str">
            <v>PUC</v>
          </cell>
          <cell r="E8" t="str">
            <v>CRUCH-PRIVADA</v>
          </cell>
          <cell r="F8">
            <v>160</v>
          </cell>
          <cell r="G8">
            <v>1</v>
          </cell>
          <cell r="J8">
            <v>3</v>
          </cell>
          <cell r="K8">
            <v>23</v>
          </cell>
          <cell r="L8">
            <v>0.16875000000000001</v>
          </cell>
          <cell r="M8">
            <v>27</v>
          </cell>
        </row>
        <row r="9">
          <cell r="D9" t="str">
            <v>UCV</v>
          </cell>
          <cell r="E9" t="str">
            <v>CRUCH-PRIVADA</v>
          </cell>
          <cell r="F9">
            <v>47</v>
          </cell>
          <cell r="J9">
            <v>1</v>
          </cell>
          <cell r="K9">
            <v>9</v>
          </cell>
          <cell r="L9">
            <v>0.21276595744680851</v>
          </cell>
          <cell r="M9">
            <v>10</v>
          </cell>
        </row>
        <row r="10">
          <cell r="D10" t="str">
            <v>AUS</v>
          </cell>
          <cell r="E10" t="str">
            <v>CRUCH-PRIVADA</v>
          </cell>
          <cell r="F10">
            <v>48</v>
          </cell>
          <cell r="K10">
            <v>7</v>
          </cell>
          <cell r="L10">
            <v>0.14583333333333334</v>
          </cell>
          <cell r="M10">
            <v>7</v>
          </cell>
        </row>
        <row r="11">
          <cell r="D11" t="str">
            <v>USC</v>
          </cell>
          <cell r="E11" t="str">
            <v>CRUCH-PRIVADA</v>
          </cell>
          <cell r="F11">
            <v>5</v>
          </cell>
          <cell r="L11">
            <v>0</v>
          </cell>
          <cell r="M11">
            <v>0</v>
          </cell>
        </row>
        <row r="12">
          <cell r="D12" t="str">
            <v>UCM</v>
          </cell>
          <cell r="E12" t="str">
            <v>CRUCH-PRIVADA</v>
          </cell>
          <cell r="F12">
            <v>5</v>
          </cell>
          <cell r="L12">
            <v>0</v>
          </cell>
          <cell r="M12">
            <v>0</v>
          </cell>
        </row>
        <row r="13">
          <cell r="D13" t="str">
            <v>UCN</v>
          </cell>
          <cell r="E13" t="str">
            <v>CRUCH-PRIVADA</v>
          </cell>
          <cell r="F13">
            <v>16</v>
          </cell>
          <cell r="J13">
            <v>1</v>
          </cell>
          <cell r="K13">
            <v>2</v>
          </cell>
          <cell r="L13">
            <v>0.1875</v>
          </cell>
          <cell r="M13">
            <v>3</v>
          </cell>
        </row>
        <row r="14">
          <cell r="D14" t="str">
            <v>ANT</v>
          </cell>
          <cell r="E14" t="str">
            <v>CRUCH-ESTATAL</v>
          </cell>
          <cell r="F14">
            <v>15</v>
          </cell>
          <cell r="J14">
            <v>1</v>
          </cell>
          <cell r="K14">
            <v>2</v>
          </cell>
          <cell r="L14">
            <v>0.2</v>
          </cell>
          <cell r="M14">
            <v>3</v>
          </cell>
        </row>
        <row r="15">
          <cell r="D15" t="str">
            <v>UCH</v>
          </cell>
          <cell r="E15" t="str">
            <v>CRUCH-ESTATAL</v>
          </cell>
          <cell r="F15">
            <v>174</v>
          </cell>
          <cell r="H15">
            <v>1</v>
          </cell>
          <cell r="J15">
            <v>1</v>
          </cell>
          <cell r="K15">
            <v>18</v>
          </cell>
          <cell r="L15">
            <v>0.11494252873563218</v>
          </cell>
          <cell r="M15">
            <v>20</v>
          </cell>
        </row>
        <row r="16">
          <cell r="D16" t="str">
            <v>UCO</v>
          </cell>
          <cell r="E16" t="str">
            <v>CRUCH-PRIVADA</v>
          </cell>
          <cell r="F16">
            <v>107</v>
          </cell>
          <cell r="I16">
            <v>1</v>
          </cell>
          <cell r="J16">
            <v>1</v>
          </cell>
          <cell r="K16">
            <v>30</v>
          </cell>
          <cell r="L16">
            <v>0.29906542056074764</v>
          </cell>
          <cell r="M16">
            <v>32</v>
          </cell>
        </row>
        <row r="17">
          <cell r="D17" t="str">
            <v>FRO</v>
          </cell>
          <cell r="E17" t="str">
            <v>CRUCH-ESTATAL</v>
          </cell>
          <cell r="F17">
            <v>47</v>
          </cell>
          <cell r="J17">
            <v>3</v>
          </cell>
          <cell r="K17">
            <v>3</v>
          </cell>
          <cell r="L17">
            <v>0.1276595744680851</v>
          </cell>
          <cell r="M17">
            <v>6</v>
          </cell>
        </row>
        <row r="18">
          <cell r="D18" t="str">
            <v>ULS</v>
          </cell>
          <cell r="E18" t="str">
            <v>CRUCH-ESTATAL</v>
          </cell>
          <cell r="F18">
            <v>5</v>
          </cell>
          <cell r="L18">
            <v>0</v>
          </cell>
          <cell r="M18">
            <v>0</v>
          </cell>
        </row>
        <row r="19">
          <cell r="D19" t="str">
            <v>ULA</v>
          </cell>
          <cell r="E19" t="str">
            <v>CRUCH-ESTATAL</v>
          </cell>
          <cell r="F19">
            <v>9</v>
          </cell>
          <cell r="K19">
            <v>2</v>
          </cell>
          <cell r="L19">
            <v>0.22222222222222221</v>
          </cell>
          <cell r="M19">
            <v>2</v>
          </cell>
        </row>
        <row r="20">
          <cell r="D20" t="str">
            <v>USA</v>
          </cell>
          <cell r="E20" t="str">
            <v>CRUCH-ESTATAL</v>
          </cell>
          <cell r="F20">
            <v>60</v>
          </cell>
          <cell r="K20">
            <v>24</v>
          </cell>
          <cell r="L20">
            <v>0.4</v>
          </cell>
          <cell r="M20">
            <v>24</v>
          </cell>
        </row>
        <row r="21">
          <cell r="D21" t="str">
            <v>TAL</v>
          </cell>
          <cell r="E21" t="str">
            <v>CRUCH-ESTATAL</v>
          </cell>
          <cell r="F21">
            <v>13</v>
          </cell>
          <cell r="K21">
            <v>1</v>
          </cell>
          <cell r="L21">
            <v>7.6923076923076927E-2</v>
          </cell>
          <cell r="M21">
            <v>1</v>
          </cell>
        </row>
        <row r="22">
          <cell r="D22" t="str">
            <v>UVA</v>
          </cell>
          <cell r="E22" t="str">
            <v>CRUCH-ESTATAL</v>
          </cell>
          <cell r="F22">
            <v>23</v>
          </cell>
          <cell r="J22">
            <v>2</v>
          </cell>
          <cell r="K22">
            <v>2</v>
          </cell>
          <cell r="L22">
            <v>0.17391304347826086</v>
          </cell>
          <cell r="M22">
            <v>4</v>
          </cell>
        </row>
        <row r="23">
          <cell r="D23" t="str">
            <v>UBB</v>
          </cell>
          <cell r="E23" t="str">
            <v>CRUCH-ESTATAL</v>
          </cell>
          <cell r="F23">
            <v>18</v>
          </cell>
          <cell r="K23">
            <v>2</v>
          </cell>
          <cell r="L23">
            <v>0.1111111111111111</v>
          </cell>
          <cell r="M23">
            <v>2</v>
          </cell>
        </row>
        <row r="24">
          <cell r="D24" t="str">
            <v>UMC</v>
          </cell>
          <cell r="E24" t="str">
            <v>CRUCH-ESTATAL</v>
          </cell>
          <cell r="F24">
            <v>2</v>
          </cell>
          <cell r="K24">
            <v>1</v>
          </cell>
          <cell r="L24">
            <v>0.5</v>
          </cell>
          <cell r="M24">
            <v>1</v>
          </cell>
        </row>
        <row r="25">
          <cell r="D25" t="str">
            <v>FSM</v>
          </cell>
          <cell r="E25" t="str">
            <v>CRUCH-PRIVADA</v>
          </cell>
          <cell r="F25">
            <v>21</v>
          </cell>
          <cell r="J25">
            <v>2</v>
          </cell>
          <cell r="K25">
            <v>5</v>
          </cell>
          <cell r="L25">
            <v>0.33333333333333331</v>
          </cell>
          <cell r="M25">
            <v>7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17"/>
    </sheetNames>
    <sheetDataSet>
      <sheetData sheetId="0">
        <row r="5">
          <cell r="B5" t="str">
            <v>ANT</v>
          </cell>
          <cell r="C5">
            <v>6</v>
          </cell>
        </row>
        <row r="6">
          <cell r="B6" t="str">
            <v>ATA</v>
          </cell>
          <cell r="C6">
            <v>1</v>
          </cell>
        </row>
        <row r="7">
          <cell r="B7" t="str">
            <v>UCH</v>
          </cell>
          <cell r="C7">
            <v>12</v>
          </cell>
        </row>
        <row r="8">
          <cell r="B8" t="str">
            <v>ULA</v>
          </cell>
          <cell r="C8">
            <v>1</v>
          </cell>
        </row>
        <row r="9">
          <cell r="B9" t="str">
            <v>USA</v>
          </cell>
          <cell r="C9">
            <v>9</v>
          </cell>
        </row>
        <row r="10">
          <cell r="B10" t="str">
            <v>UVA</v>
          </cell>
          <cell r="C10">
            <v>2</v>
          </cell>
        </row>
        <row r="11">
          <cell r="C11">
            <v>31</v>
          </cell>
        </row>
        <row r="12">
          <cell r="B12" t="str">
            <v>FSM</v>
          </cell>
          <cell r="C12">
            <v>11</v>
          </cell>
        </row>
        <row r="13">
          <cell r="B13" t="str">
            <v>PUC</v>
          </cell>
          <cell r="C13">
            <v>34</v>
          </cell>
        </row>
        <row r="14">
          <cell r="B14" t="str">
            <v>UCM</v>
          </cell>
          <cell r="C14">
            <v>1</v>
          </cell>
        </row>
        <row r="15">
          <cell r="B15" t="str">
            <v>UCN</v>
          </cell>
          <cell r="C15">
            <v>3</v>
          </cell>
        </row>
        <row r="16">
          <cell r="B16" t="str">
            <v>UCO</v>
          </cell>
          <cell r="C16">
            <v>8</v>
          </cell>
        </row>
        <row r="17">
          <cell r="C17">
            <v>57</v>
          </cell>
        </row>
        <row r="18">
          <cell r="B18" t="str">
            <v>USS</v>
          </cell>
          <cell r="C18">
            <v>2</v>
          </cell>
        </row>
        <row r="19">
          <cell r="B19" t="str">
            <v>UAU</v>
          </cell>
          <cell r="C19">
            <v>2</v>
          </cell>
        </row>
        <row r="20">
          <cell r="B20" t="str">
            <v>UAI</v>
          </cell>
          <cell r="C20">
            <v>1</v>
          </cell>
        </row>
        <row r="21">
          <cell r="B21" t="str">
            <v>UAB</v>
          </cell>
          <cell r="C21">
            <v>1</v>
          </cell>
        </row>
        <row r="22">
          <cell r="C22">
            <v>6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reditación Investigación"/>
      <sheetName val="IES"/>
      <sheetName val="Promedio acreditaciones"/>
      <sheetName val="PED"/>
      <sheetName val="O_PREG"/>
      <sheetName val="Hoja3"/>
      <sheetName val="DOC"/>
      <sheetName val="MAG"/>
    </sheetNames>
    <sheetDataSet>
      <sheetData sheetId="0">
        <row r="17">
          <cell r="D17" t="str">
            <v>PUC</v>
          </cell>
          <cell r="E17">
            <v>1</v>
          </cell>
        </row>
        <row r="18">
          <cell r="D18" t="str">
            <v>UCV</v>
          </cell>
          <cell r="E18">
            <v>1</v>
          </cell>
        </row>
        <row r="19">
          <cell r="D19" t="str">
            <v>AUS</v>
          </cell>
          <cell r="E19">
            <v>1</v>
          </cell>
        </row>
        <row r="20">
          <cell r="D20" t="str">
            <v>UCT</v>
          </cell>
          <cell r="E20">
            <v>1</v>
          </cell>
        </row>
        <row r="21">
          <cell r="D21" t="str">
            <v>UCN</v>
          </cell>
          <cell r="E21">
            <v>1</v>
          </cell>
        </row>
        <row r="22">
          <cell r="D22" t="str">
            <v>UCO</v>
          </cell>
          <cell r="E22">
            <v>1</v>
          </cell>
        </row>
        <row r="23">
          <cell r="D23" t="str">
            <v>FSM</v>
          </cell>
          <cell r="E23">
            <v>1</v>
          </cell>
        </row>
        <row r="49">
          <cell r="D49" t="str">
            <v>PUC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</row>
        <row r="50">
          <cell r="D50" t="str">
            <v>UCV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</row>
        <row r="51">
          <cell r="D51" t="str">
            <v>AUS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</row>
        <row r="52">
          <cell r="D52" t="str">
            <v>UCN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</row>
        <row r="53">
          <cell r="D53" t="str">
            <v>UCO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</row>
        <row r="54">
          <cell r="D54" t="str">
            <v>FSM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</row>
        <row r="55">
          <cell r="E55">
            <v>6</v>
          </cell>
          <cell r="F55">
            <v>6</v>
          </cell>
          <cell r="G55">
            <v>6</v>
          </cell>
          <cell r="H55">
            <v>6</v>
          </cell>
          <cell r="I55">
            <v>6</v>
          </cell>
          <cell r="J55">
            <v>6</v>
          </cell>
        </row>
        <row r="83">
          <cell r="D83" t="str">
            <v>PUC</v>
          </cell>
          <cell r="E83">
            <v>7</v>
          </cell>
        </row>
        <row r="84">
          <cell r="D84" t="str">
            <v>UCV</v>
          </cell>
          <cell r="E84">
            <v>6</v>
          </cell>
        </row>
        <row r="85">
          <cell r="D85" t="str">
            <v>AUS</v>
          </cell>
          <cell r="E85">
            <v>6</v>
          </cell>
        </row>
        <row r="86">
          <cell r="D86" t="str">
            <v>USC</v>
          </cell>
          <cell r="E86">
            <v>4</v>
          </cell>
        </row>
        <row r="87">
          <cell r="D87" t="str">
            <v>UCT</v>
          </cell>
          <cell r="E87">
            <v>5</v>
          </cell>
        </row>
        <row r="88">
          <cell r="D88" t="str">
            <v>UCM</v>
          </cell>
          <cell r="E88">
            <v>5</v>
          </cell>
        </row>
        <row r="89">
          <cell r="D89" t="str">
            <v>UCN</v>
          </cell>
          <cell r="E89">
            <v>6</v>
          </cell>
        </row>
        <row r="90">
          <cell r="D90" t="str">
            <v>UCO</v>
          </cell>
          <cell r="E90">
            <v>7</v>
          </cell>
        </row>
        <row r="91">
          <cell r="D91" t="str">
            <v>FSM</v>
          </cell>
          <cell r="E91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ula_2019_13_08_2019_WEB"/>
      <sheetName val="Matrícula Pedagogía 2019"/>
      <sheetName val="Matrícula Total"/>
      <sheetName val="Acreditación Carreras"/>
      <sheetName val="Postgrado"/>
      <sheetName val="Tabla postgrado"/>
    </sheetNames>
    <sheetDataSet>
      <sheetData sheetId="0"/>
      <sheetData sheetId="1"/>
      <sheetData sheetId="2">
        <row r="26">
          <cell r="C26" t="str">
            <v>PUC</v>
          </cell>
          <cell r="D26">
            <v>27801</v>
          </cell>
        </row>
        <row r="27">
          <cell r="C27" t="str">
            <v>UCV</v>
          </cell>
          <cell r="D27">
            <v>16090</v>
          </cell>
        </row>
        <row r="28">
          <cell r="C28" t="str">
            <v>AUS</v>
          </cell>
          <cell r="D28">
            <v>15855</v>
          </cell>
        </row>
        <row r="29">
          <cell r="C29" t="str">
            <v>USC</v>
          </cell>
          <cell r="D29">
            <v>12699</v>
          </cell>
        </row>
        <row r="30">
          <cell r="C30" t="str">
            <v>UCT</v>
          </cell>
          <cell r="D30">
            <v>11248</v>
          </cell>
        </row>
        <row r="31">
          <cell r="C31" t="str">
            <v>UCM</v>
          </cell>
          <cell r="D31">
            <v>8924</v>
          </cell>
        </row>
        <row r="32">
          <cell r="C32" t="str">
            <v>UCN</v>
          </cell>
          <cell r="D32">
            <v>11115</v>
          </cell>
        </row>
        <row r="33">
          <cell r="C33" t="str">
            <v>UCO</v>
          </cell>
          <cell r="D33">
            <v>24933</v>
          </cell>
        </row>
        <row r="34">
          <cell r="C34" t="str">
            <v>FSM</v>
          </cell>
          <cell r="D34">
            <v>15491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"/>
  <sheetViews>
    <sheetView tabSelected="1" zoomScale="90" zoomScaleNormal="90" workbookViewId="0">
      <selection activeCell="A2" sqref="A2"/>
    </sheetView>
  </sheetViews>
  <sheetFormatPr baseColWidth="10" defaultRowHeight="15" x14ac:dyDescent="0.25"/>
  <cols>
    <col min="1" max="1" width="48" customWidth="1"/>
    <col min="2" max="2" width="12.140625" customWidth="1"/>
    <col min="3" max="3" width="12.7109375" customWidth="1"/>
    <col min="4" max="4" width="11" bestFit="1" customWidth="1"/>
    <col min="5" max="5" width="13.85546875" customWidth="1"/>
    <col min="6" max="6" width="14.42578125" customWidth="1"/>
    <col min="7" max="8" width="14.85546875" customWidth="1"/>
    <col min="9" max="10" width="13.5703125" customWidth="1"/>
    <col min="11" max="15" width="10.7109375" customWidth="1"/>
    <col min="16" max="16" width="14.5703125" customWidth="1"/>
    <col min="17" max="17" width="12.140625" customWidth="1"/>
    <col min="18" max="18" width="13.42578125" customWidth="1"/>
    <col min="19" max="20" width="15.28515625" customWidth="1"/>
    <col min="21" max="21" width="12" customWidth="1"/>
  </cols>
  <sheetData>
    <row r="1" spans="1:23" ht="92.25" customHeight="1" x14ac:dyDescent="0.25"/>
    <row r="2" spans="1:23" ht="17.25" x14ac:dyDescent="0.3">
      <c r="A2" s="83" t="s">
        <v>181</v>
      </c>
    </row>
    <row r="3" spans="1:23" ht="17.25" x14ac:dyDescent="0.3">
      <c r="A3" s="83" t="s">
        <v>182</v>
      </c>
    </row>
    <row r="4" spans="1:23" ht="17.25" x14ac:dyDescent="0.3">
      <c r="A4" s="83" t="s">
        <v>128</v>
      </c>
    </row>
    <row r="5" spans="1:23" x14ac:dyDescent="0.25">
      <c r="A5" s="17" t="s">
        <v>127</v>
      </c>
    </row>
    <row r="6" spans="1:23" x14ac:dyDescent="0.25">
      <c r="A6" s="179" t="s">
        <v>188</v>
      </c>
      <c r="B6" s="17"/>
      <c r="H6" s="17"/>
    </row>
    <row r="7" spans="1:23" x14ac:dyDescent="0.25">
      <c r="A7" s="179"/>
      <c r="B7" s="17"/>
      <c r="H7" s="17"/>
    </row>
    <row r="8" spans="1:23" ht="15.75" thickBot="1" x14ac:dyDescent="0.3">
      <c r="B8" s="90">
        <v>1</v>
      </c>
      <c r="C8" s="90">
        <v>2</v>
      </c>
      <c r="D8" s="90">
        <v>3</v>
      </c>
      <c r="E8" s="90">
        <v>4</v>
      </c>
      <c r="F8" s="90">
        <v>5</v>
      </c>
      <c r="G8" s="90">
        <v>6</v>
      </c>
      <c r="H8" s="90">
        <v>7</v>
      </c>
      <c r="I8" s="90">
        <v>8</v>
      </c>
      <c r="J8" s="90">
        <v>9</v>
      </c>
      <c r="K8" s="90">
        <v>10</v>
      </c>
      <c r="L8" s="90">
        <v>11</v>
      </c>
      <c r="M8" s="90">
        <v>12</v>
      </c>
      <c r="N8" s="90">
        <v>13</v>
      </c>
      <c r="O8" s="90">
        <v>14</v>
      </c>
      <c r="P8" s="90">
        <v>15</v>
      </c>
      <c r="Q8" s="90">
        <v>16</v>
      </c>
      <c r="R8" s="90">
        <v>17</v>
      </c>
      <c r="S8" s="90">
        <v>18</v>
      </c>
      <c r="T8" s="90">
        <v>19</v>
      </c>
      <c r="U8" s="90">
        <v>20</v>
      </c>
    </row>
    <row r="9" spans="1:23" ht="17.25" customHeight="1" x14ac:dyDescent="0.25">
      <c r="A9" s="186" t="s">
        <v>9</v>
      </c>
      <c r="B9" s="189" t="s">
        <v>1</v>
      </c>
      <c r="C9" s="189" t="s">
        <v>17</v>
      </c>
      <c r="D9" s="192" t="s">
        <v>26</v>
      </c>
      <c r="E9" s="200" t="s">
        <v>142</v>
      </c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170"/>
      <c r="R9" s="216" t="s">
        <v>65</v>
      </c>
      <c r="S9" s="202" t="s">
        <v>143</v>
      </c>
      <c r="T9" s="205" t="s">
        <v>176</v>
      </c>
      <c r="U9" s="219" t="s">
        <v>184</v>
      </c>
      <c r="V9" s="197" t="s">
        <v>77</v>
      </c>
    </row>
    <row r="10" spans="1:23" ht="15" customHeight="1" x14ac:dyDescent="0.25">
      <c r="A10" s="187"/>
      <c r="B10" s="190"/>
      <c r="C10" s="190"/>
      <c r="D10" s="193"/>
      <c r="E10" s="208" t="s">
        <v>144</v>
      </c>
      <c r="F10" s="209"/>
      <c r="G10" s="210" t="s">
        <v>145</v>
      </c>
      <c r="H10" s="211"/>
      <c r="I10" s="212"/>
      <c r="J10" s="213" t="s">
        <v>146</v>
      </c>
      <c r="K10" s="214"/>
      <c r="L10" s="214"/>
      <c r="M10" s="214"/>
      <c r="N10" s="214"/>
      <c r="O10" s="214"/>
      <c r="P10" s="215"/>
      <c r="Q10" s="222" t="s">
        <v>180</v>
      </c>
      <c r="R10" s="217"/>
      <c r="S10" s="203"/>
      <c r="T10" s="206"/>
      <c r="U10" s="220"/>
      <c r="V10" s="198"/>
    </row>
    <row r="11" spans="1:23" ht="51.75" thickBot="1" x14ac:dyDescent="0.3">
      <c r="A11" s="188"/>
      <c r="B11" s="191"/>
      <c r="C11" s="191"/>
      <c r="D11" s="194"/>
      <c r="E11" s="101" t="s">
        <v>64</v>
      </c>
      <c r="F11" s="101" t="s">
        <v>89</v>
      </c>
      <c r="G11" s="102" t="s">
        <v>122</v>
      </c>
      <c r="H11" s="102" t="s">
        <v>123</v>
      </c>
      <c r="I11" s="102" t="s">
        <v>124</v>
      </c>
      <c r="J11" s="103" t="s">
        <v>93</v>
      </c>
      <c r="K11" s="103" t="s">
        <v>94</v>
      </c>
      <c r="L11" s="103" t="s">
        <v>95</v>
      </c>
      <c r="M11" s="103" t="s">
        <v>96</v>
      </c>
      <c r="N11" s="103" t="s">
        <v>97</v>
      </c>
      <c r="O11" s="103" t="s">
        <v>98</v>
      </c>
      <c r="P11" s="103" t="s">
        <v>126</v>
      </c>
      <c r="Q11" s="223"/>
      <c r="R11" s="218"/>
      <c r="S11" s="204"/>
      <c r="T11" s="207"/>
      <c r="U11" s="221"/>
      <c r="V11" s="199"/>
      <c r="W11" s="1"/>
    </row>
    <row r="12" spans="1:23" x14ac:dyDescent="0.25">
      <c r="A12" s="94" t="s">
        <v>10</v>
      </c>
      <c r="B12" s="109" t="s">
        <v>2</v>
      </c>
      <c r="C12" s="95" t="s">
        <v>18</v>
      </c>
      <c r="D12" s="95" t="str">
        <f>VLOOKUP(B12,Categorías!$B$4:$W$12,22,0)</f>
        <v>Categoría I</v>
      </c>
      <c r="E12" s="96">
        <v>2471405</v>
      </c>
      <c r="F12" s="120">
        <f t="shared" ref="F12:F20" si="0">E12*(1+$B$29)</f>
        <v>2545547.15</v>
      </c>
      <c r="G12" s="97">
        <v>100000</v>
      </c>
      <c r="H12" s="178">
        <f>IFERROR(VLOOKUP(B12,'[1]Puntaje Final FID'!$C$7:$M$14,11,0),0)</f>
        <v>379856</v>
      </c>
      <c r="I12" s="123">
        <f t="shared" ref="I12:I20" si="1">G12+H12</f>
        <v>479856</v>
      </c>
      <c r="J12" s="98">
        <f>IFERROR(VLOOKUP(B12,'Publicaciones BD'!$B$3:$E$11,4,0),0)</f>
        <v>697774.17752192984</v>
      </c>
      <c r="K12" s="98">
        <f>IFERROR(VLOOKUP(B12,'Acreditación BD'!$B$3:$K$11,10,0),0)</f>
        <v>294618.3618881118</v>
      </c>
      <c r="L12" s="98">
        <f>IFERROR(VLOOKUP(B12,'Doctorado JC BD'!$B$3:$E$11,4,0),0)</f>
        <v>541694.04471660499</v>
      </c>
      <c r="M12" s="98">
        <f>IFERROR(VLOOKUP(B12,'Programas Doct. Acreditados BD'!$B$3:$E$11,4,0),0)</f>
        <v>695221.54702970292</v>
      </c>
      <c r="N12" s="98">
        <f>IFERROR(VLOOKUP(B12,'Académicos JC BD'!$B$3:$E$11,4,0),0)</f>
        <v>526416.84176264389</v>
      </c>
      <c r="O12" s="98">
        <f>IFERROR(VLOOKUP(B12,'Matrícula Regular Pre BD'!$B$3:$E$11,4,0),0)</f>
        <v>386904.91592961788</v>
      </c>
      <c r="P12" s="183">
        <f>(J12+K12+L12+M12+N12+O12)</f>
        <v>3142629.8888486112</v>
      </c>
      <c r="Q12" s="171">
        <v>0</v>
      </c>
      <c r="R12" s="130">
        <f>F12+I12+P12+Q12</f>
        <v>6168033.0388486106</v>
      </c>
      <c r="S12" s="126">
        <f>IFERROR(VLOOKUP(B12,Indicadores!$B$4:$AH$12,33,0),0)</f>
        <v>2756167</v>
      </c>
      <c r="T12" s="99">
        <f t="shared" ref="T12:T20" si="2">R12+S12</f>
        <v>8924200.0388486106</v>
      </c>
      <c r="U12" s="99">
        <f t="shared" ref="U12:U20" si="3">ROUND(T12,0)</f>
        <v>8924200</v>
      </c>
      <c r="V12" s="100">
        <f t="shared" ref="V12:V20" si="4">U12/$U$21</f>
        <v>0.22241432013062437</v>
      </c>
      <c r="W12" s="76" t="s">
        <v>2</v>
      </c>
    </row>
    <row r="13" spans="1:23" x14ac:dyDescent="0.25">
      <c r="A13" s="93" t="s">
        <v>11</v>
      </c>
      <c r="B13" s="110" t="s">
        <v>3</v>
      </c>
      <c r="C13" s="84" t="s">
        <v>18</v>
      </c>
      <c r="D13" s="95" t="str">
        <f>VLOOKUP(B13,Categorías!$B$4:$W$12,22,0)</f>
        <v>Categoría I</v>
      </c>
      <c r="E13" s="45">
        <v>834829</v>
      </c>
      <c r="F13" s="121">
        <f t="shared" si="0"/>
        <v>859873.87</v>
      </c>
      <c r="G13" s="91">
        <v>100000</v>
      </c>
      <c r="H13" s="178">
        <f>IFERROR(VLOOKUP(B13,'[1]Puntaje Final FID'!$C$7:$M$14,11,0),0)</f>
        <v>460432</v>
      </c>
      <c r="I13" s="124">
        <f t="shared" si="1"/>
        <v>560432</v>
      </c>
      <c r="J13" s="92">
        <f>IFERROR(VLOOKUP(B13,'Publicaciones BD'!$B$3:$E$11,4,0),0)</f>
        <v>373084.80614035088</v>
      </c>
      <c r="K13" s="92">
        <f>IFERROR(VLOOKUP(B13,'Acreditación BD'!$B$3:$K$11,10,0),0)</f>
        <v>294618.3618881118</v>
      </c>
      <c r="L13" s="92">
        <f>IFERROR(VLOOKUP(B13,'Doctorado JC BD'!$B$3:$E$11,4,0),0)</f>
        <v>433126.67288521788</v>
      </c>
      <c r="M13" s="92">
        <f>IFERROR(VLOOKUP(B13,'Programas Doct. Acreditados BD'!$B$3:$E$11,4,0),0)</f>
        <v>556177.23762376246</v>
      </c>
      <c r="N13" s="92">
        <f>IFERROR(VLOOKUP(B13,'Académicos JC BD'!$B$3:$E$11,4,0),0)</f>
        <v>392133.66520614253</v>
      </c>
      <c r="O13" s="92">
        <f>IFERROR(VLOOKUP(B13,'Matrícula Regular Pre BD'!$B$3:$E$11,4,0),0)</f>
        <v>346991.12509885122</v>
      </c>
      <c r="P13" s="183">
        <f t="shared" ref="P13:P19" si="5">(J13+K13+L13+M13+N13+O13)</f>
        <v>2396131.8688424369</v>
      </c>
      <c r="Q13" s="171">
        <v>0</v>
      </c>
      <c r="R13" s="130">
        <f t="shared" ref="R13:R20" si="6">F13+I13+P13+Q13</f>
        <v>3816437.738842437</v>
      </c>
      <c r="S13" s="127">
        <f>IFERROR(VLOOKUP(B13,Indicadores!$B$4:$AH$12,33,0),0)</f>
        <v>2629079</v>
      </c>
      <c r="T13" s="99">
        <f t="shared" si="2"/>
        <v>6445516.738842437</v>
      </c>
      <c r="U13" s="99">
        <f t="shared" si="3"/>
        <v>6445517</v>
      </c>
      <c r="V13" s="100">
        <f t="shared" si="4"/>
        <v>0.16063908041565425</v>
      </c>
      <c r="W13" s="76" t="s">
        <v>3</v>
      </c>
    </row>
    <row r="14" spans="1:23" x14ac:dyDescent="0.25">
      <c r="A14" s="93" t="s">
        <v>12</v>
      </c>
      <c r="B14" s="110" t="s">
        <v>4</v>
      </c>
      <c r="C14" s="84" t="s">
        <v>18</v>
      </c>
      <c r="D14" s="95" t="str">
        <f>VLOOKUP(B14,Categorías!$B$4:$W$12,22,0)</f>
        <v>Categoría I</v>
      </c>
      <c r="E14" s="45">
        <v>534276</v>
      </c>
      <c r="F14" s="121">
        <f t="shared" si="0"/>
        <v>550304.28</v>
      </c>
      <c r="G14" s="91">
        <v>100000</v>
      </c>
      <c r="H14" s="178">
        <f>IFERROR(VLOOKUP(B14,'[1]Puntaje Final FID'!$C$7:$M$14,11,0),0)</f>
        <v>471942</v>
      </c>
      <c r="I14" s="124">
        <f t="shared" si="1"/>
        <v>571942</v>
      </c>
      <c r="J14" s="92">
        <f>IFERROR(VLOOKUP(B14,'Publicaciones BD'!$B$3:$E$11,4,0),0)</f>
        <v>230831.55851608189</v>
      </c>
      <c r="K14" s="92">
        <f>IFERROR(VLOOKUP(B14,'Acreditación BD'!$B$3:$K$11,10,0),0)</f>
        <v>280588.91608391603</v>
      </c>
      <c r="L14" s="92">
        <f>IFERROR(VLOOKUP(B14,'Doctorado JC BD'!$B$3:$E$11,4,0),0)</f>
        <v>230848.51694673882</v>
      </c>
      <c r="M14" s="92">
        <f>IFERROR(VLOOKUP(B14,'Programas Doct. Acreditados BD'!$B$3:$E$11,4,0),0)</f>
        <v>258225.14603960398</v>
      </c>
      <c r="N14" s="92">
        <f>IFERROR(VLOOKUP(B14,'Académicos JC BD'!$B$3:$E$11,4,0),0)</f>
        <v>175137.40982306792</v>
      </c>
      <c r="O14" s="92">
        <f>IFERROR(VLOOKUP(B14,'Matrícula Regular Pre BD'!$B$3:$E$11,4,0),0)</f>
        <v>223923.60337065402</v>
      </c>
      <c r="P14" s="183">
        <f t="shared" si="5"/>
        <v>1399555.1507800627</v>
      </c>
      <c r="Q14" s="171">
        <v>0</v>
      </c>
      <c r="R14" s="130">
        <f t="shared" si="6"/>
        <v>2521801.4307800625</v>
      </c>
      <c r="S14" s="127">
        <f>IFERROR(VLOOKUP(B14,Indicadores!$B$4:$AH$12,33,0),0)</f>
        <v>2394416</v>
      </c>
      <c r="T14" s="99">
        <f t="shared" si="2"/>
        <v>4916217.4307800625</v>
      </c>
      <c r="U14" s="99">
        <f t="shared" si="3"/>
        <v>4916217</v>
      </c>
      <c r="V14" s="100">
        <f t="shared" si="4"/>
        <v>0.12252493911718897</v>
      </c>
      <c r="W14" s="76" t="s">
        <v>4</v>
      </c>
    </row>
    <row r="15" spans="1:23" x14ac:dyDescent="0.25">
      <c r="A15" s="93" t="s">
        <v>13</v>
      </c>
      <c r="B15" s="110" t="s">
        <v>5</v>
      </c>
      <c r="C15" s="84" t="s">
        <v>18</v>
      </c>
      <c r="D15" s="95" t="str">
        <f>VLOOKUP(B15,Categorías!$B$4:$W$12,22,0)</f>
        <v>Categoría I</v>
      </c>
      <c r="E15" s="45">
        <v>308805</v>
      </c>
      <c r="F15" s="121">
        <f t="shared" si="0"/>
        <v>318069.15000000002</v>
      </c>
      <c r="G15" s="91">
        <v>100000</v>
      </c>
      <c r="H15" s="178">
        <f>IFERROR(VLOOKUP(B15,'[1]Puntaje Final FID'!$C$7:$M$14,11,0),0)</f>
        <v>333813</v>
      </c>
      <c r="I15" s="124">
        <f t="shared" si="1"/>
        <v>433813</v>
      </c>
      <c r="J15" s="92">
        <f>IFERROR(VLOOKUP(B15,'Publicaciones BD'!$B$3:$E$11,4,0),0)</f>
        <v>208833.63362573099</v>
      </c>
      <c r="K15" s="92">
        <f>IFERROR(VLOOKUP(B15,'Acreditación BD'!$B$3:$K$11,10,0),0)</f>
        <v>280588.91608391603</v>
      </c>
      <c r="L15" s="92">
        <f>IFERROR(VLOOKUP(B15,'Doctorado JC BD'!$B$3:$E$11,4,0),0)</f>
        <v>243419.47579037311</v>
      </c>
      <c r="M15" s="92">
        <f>IFERROR(VLOOKUP(B15,'Programas Doct. Acreditados BD'!$B$3:$E$11,4,0),0)</f>
        <v>198634.72772277228</v>
      </c>
      <c r="N15" s="92">
        <f>IFERROR(VLOOKUP(B15,'Académicos JC BD'!$B$3:$E$11,4,0),0)</f>
        <v>256176.13482724086</v>
      </c>
      <c r="O15" s="92">
        <f>IFERROR(VLOOKUP(B15,'Matrícula Regular Pre BD'!$B$3:$E$11,4,0),0)</f>
        <v>220653.12190439523</v>
      </c>
      <c r="P15" s="183">
        <f t="shared" si="5"/>
        <v>1408306.0099544285</v>
      </c>
      <c r="Q15" s="171">
        <v>50000</v>
      </c>
      <c r="R15" s="130">
        <f t="shared" si="6"/>
        <v>2210188.1599544287</v>
      </c>
      <c r="S15" s="127">
        <f>IFERROR(VLOOKUP(B15,Indicadores!$B$4:$AH$12,33,0),0)</f>
        <v>2332585</v>
      </c>
      <c r="T15" s="99">
        <f t="shared" si="2"/>
        <v>4542773.1599544287</v>
      </c>
      <c r="U15" s="99">
        <f t="shared" si="3"/>
        <v>4542773</v>
      </c>
      <c r="V15" s="100">
        <f t="shared" si="4"/>
        <v>0.11321774145612569</v>
      </c>
      <c r="W15" s="76" t="s">
        <v>5</v>
      </c>
    </row>
    <row r="16" spans="1:23" x14ac:dyDescent="0.25">
      <c r="A16" s="93" t="s">
        <v>14</v>
      </c>
      <c r="B16" s="110" t="s">
        <v>6</v>
      </c>
      <c r="C16" s="84" t="s">
        <v>18</v>
      </c>
      <c r="D16" s="95" t="str">
        <f>VLOOKUP(B16,Categorías!$B$4:$W$12,22,0)</f>
        <v>Categoría II</v>
      </c>
      <c r="E16" s="45">
        <v>796618</v>
      </c>
      <c r="F16" s="121">
        <f t="shared" si="0"/>
        <v>820516.54</v>
      </c>
      <c r="G16" s="91">
        <v>0</v>
      </c>
      <c r="H16" s="178">
        <f>IFERROR(VLOOKUP(B16,'[1]Puntaje Final FID'!$C$7:$M$14,11,0),0)</f>
        <v>0</v>
      </c>
      <c r="I16" s="124">
        <f t="shared" si="1"/>
        <v>0</v>
      </c>
      <c r="J16" s="92">
        <f>IFERROR(VLOOKUP(B16,'Publicaciones BD'!$B$3:$E$11,4,0),0)</f>
        <v>192995.12770467837</v>
      </c>
      <c r="K16" s="92">
        <f>IFERROR(VLOOKUP(B16,'Acreditación BD'!$B$3:$K$11,10,0),0)</f>
        <v>280588.91608391603</v>
      </c>
      <c r="L16" s="92">
        <f>IFERROR(VLOOKUP(B16,'Doctorado JC BD'!$B$3:$E$11,4,0),0)</f>
        <v>165136.68662774138</v>
      </c>
      <c r="M16" s="92">
        <f>IFERROR(VLOOKUP(B16,'Programas Doct. Acreditados BD'!$B$3:$E$11,4,0),0)</f>
        <v>79453.891089108918</v>
      </c>
      <c r="N16" s="92">
        <f>IFERROR(VLOOKUP(B16,'Académicos JC BD'!$B$3:$E$11,4,0),0)</f>
        <v>175472.28058754798</v>
      </c>
      <c r="O16" s="92">
        <f>IFERROR(VLOOKUP(B16,'Matrícula Regular Pre BD'!$B$3:$E$11,4,0),0)</f>
        <v>215587.35486729656</v>
      </c>
      <c r="P16" s="183">
        <f t="shared" si="5"/>
        <v>1109234.2569602893</v>
      </c>
      <c r="Q16" s="171">
        <v>0</v>
      </c>
      <c r="R16" s="130">
        <f t="shared" si="6"/>
        <v>1929750.7969602894</v>
      </c>
      <c r="S16" s="127">
        <f>IFERROR(VLOOKUP(B16,Indicadores!$B$4:$AH$12,33,0),0)</f>
        <v>2151091</v>
      </c>
      <c r="T16" s="99">
        <f t="shared" si="2"/>
        <v>4080841.7969602896</v>
      </c>
      <c r="U16" s="99">
        <f t="shared" si="3"/>
        <v>4080842</v>
      </c>
      <c r="V16" s="100">
        <f t="shared" si="4"/>
        <v>0.10170521716125785</v>
      </c>
      <c r="W16" s="76" t="s">
        <v>6</v>
      </c>
    </row>
    <row r="17" spans="1:23" x14ac:dyDescent="0.25">
      <c r="A17" s="93" t="s">
        <v>15</v>
      </c>
      <c r="B17" s="110" t="s">
        <v>7</v>
      </c>
      <c r="C17" s="84" t="s">
        <v>18</v>
      </c>
      <c r="D17" s="95" t="str">
        <f>VLOOKUP(B17,Categorías!$B$4:$W$12,22,0)</f>
        <v>Categoría II</v>
      </c>
      <c r="E17" s="45">
        <v>189862</v>
      </c>
      <c r="F17" s="121">
        <f t="shared" si="0"/>
        <v>195557.86000000002</v>
      </c>
      <c r="G17" s="91">
        <v>100000</v>
      </c>
      <c r="H17" s="178">
        <f>IFERROR(VLOOKUP(B17,'[1]Puntaje Final FID'!$C$7:$M$14,11,0),0)</f>
        <v>207194</v>
      </c>
      <c r="I17" s="124">
        <f t="shared" si="1"/>
        <v>307194</v>
      </c>
      <c r="J17" s="92">
        <f>IFERROR(VLOOKUP(B17,'Publicaciones BD'!$B$3:$E$11,4,0),0)</f>
        <v>133160.77200292397</v>
      </c>
      <c r="K17" s="92">
        <f>IFERROR(VLOOKUP(B17,'Acreditación BD'!$B$3:$K$11,10,0),0)</f>
        <v>280588.91608391603</v>
      </c>
      <c r="L17" s="92">
        <f>IFERROR(VLOOKUP(B17,'Doctorado JC BD'!$B$3:$E$11,4,0),0)</f>
        <v>122852.55233551694</v>
      </c>
      <c r="M17" s="92">
        <f>IFERROR(VLOOKUP(B17,'Programas Doct. Acreditados BD'!$B$3:$E$11,4,0),0)</f>
        <v>119180.83663366336</v>
      </c>
      <c r="N17" s="92">
        <f>IFERROR(VLOOKUP(B17,'Académicos JC BD'!$B$3:$E$11,4,0),0)</f>
        <v>151696.45630946421</v>
      </c>
      <c r="O17" s="92">
        <f>IFERROR(VLOOKUP(B17,'Matrícula Regular Pre BD'!$B$3:$E$11,4,0),0)</f>
        <v>154686.81488283526</v>
      </c>
      <c r="P17" s="183">
        <f t="shared" si="5"/>
        <v>962166.3482483197</v>
      </c>
      <c r="Q17" s="171">
        <v>0</v>
      </c>
      <c r="R17" s="130">
        <f t="shared" si="6"/>
        <v>1464918.2082483196</v>
      </c>
      <c r="S17" s="127">
        <f>IFERROR(VLOOKUP(B17,Indicadores!$B$4:$AH$12,33,0),0)</f>
        <v>1721112</v>
      </c>
      <c r="T17" s="99">
        <f t="shared" si="2"/>
        <v>3186030.2082483196</v>
      </c>
      <c r="U17" s="99">
        <f t="shared" si="3"/>
        <v>3186030</v>
      </c>
      <c r="V17" s="100">
        <f t="shared" si="4"/>
        <v>7.9404170274733107E-2</v>
      </c>
      <c r="W17" s="76" t="s">
        <v>7</v>
      </c>
    </row>
    <row r="18" spans="1:23" x14ac:dyDescent="0.25">
      <c r="A18" s="93" t="s">
        <v>16</v>
      </c>
      <c r="B18" s="110" t="s">
        <v>8</v>
      </c>
      <c r="C18" s="84" t="s">
        <v>18</v>
      </c>
      <c r="D18" s="95" t="str">
        <f>VLOOKUP(B18,Categorías!$B$4:$W$12,22,0)</f>
        <v>Categoría II</v>
      </c>
      <c r="E18" s="45">
        <v>30330</v>
      </c>
      <c r="F18" s="121">
        <f t="shared" si="0"/>
        <v>31239.9</v>
      </c>
      <c r="G18" s="91">
        <v>100000</v>
      </c>
      <c r="H18" s="178">
        <f>IFERROR(VLOOKUP(B18,'[1]Puntaje Final FID'!$C$7:$M$14,11,0),0)</f>
        <v>448921</v>
      </c>
      <c r="I18" s="124">
        <f t="shared" si="1"/>
        <v>548921</v>
      </c>
      <c r="J18" s="92">
        <f>IFERROR(VLOOKUP(B18,'Publicaciones BD'!$B$3:$E$11,4,0),0)</f>
        <v>56607.993384502923</v>
      </c>
      <c r="K18" s="92">
        <f>IFERROR(VLOOKUP(B18,'Acreditación BD'!$B$3:$K$11,10,0),0)</f>
        <v>168353.34965034964</v>
      </c>
      <c r="L18" s="92">
        <f>IFERROR(VLOOKUP(B18,'Doctorado JC BD'!$B$3:$E$11,4,0),0)</f>
        <v>91996.562446596421</v>
      </c>
      <c r="M18" s="92">
        <f>IFERROR(VLOOKUP(B18,'Programas Doct. Acreditados BD'!$B$3:$E$11,4,0),0)</f>
        <v>39726.945544554459</v>
      </c>
      <c r="N18" s="92">
        <f>IFERROR(VLOOKUP(B18,'Académicos JC BD'!$B$3:$E$11,4,0),0)</f>
        <v>115865.28451009849</v>
      </c>
      <c r="O18" s="92">
        <f>IFERROR(VLOOKUP(B18,'Matrícula Regular Pre BD'!$B$3:$E$11,4,0),0)</f>
        <v>156537.76822331364</v>
      </c>
      <c r="P18" s="183">
        <f t="shared" si="5"/>
        <v>629087.90375941549</v>
      </c>
      <c r="Q18" s="171">
        <v>0</v>
      </c>
      <c r="R18" s="130">
        <f t="shared" si="6"/>
        <v>1209248.8037594156</v>
      </c>
      <c r="S18" s="127">
        <f>IFERROR(VLOOKUP(B18,Indicadores!$B$4:$AH$12,33,0),0)</f>
        <v>1582522</v>
      </c>
      <c r="T18" s="99">
        <f t="shared" si="2"/>
        <v>2791770.8037594156</v>
      </c>
      <c r="U18" s="99">
        <f t="shared" si="3"/>
        <v>2791771</v>
      </c>
      <c r="V18" s="100">
        <f t="shared" si="4"/>
        <v>6.9578208570560199E-2</v>
      </c>
      <c r="W18" s="76" t="s">
        <v>8</v>
      </c>
    </row>
    <row r="19" spans="1:23" x14ac:dyDescent="0.25">
      <c r="A19" s="93" t="s">
        <v>22</v>
      </c>
      <c r="B19" s="110" t="s">
        <v>19</v>
      </c>
      <c r="C19" s="84" t="s">
        <v>18</v>
      </c>
      <c r="D19" s="95" t="str">
        <f>VLOOKUP(B19,Categorías!$B$4:$W$12,22,0)</f>
        <v>Categoría II</v>
      </c>
      <c r="E19" s="45">
        <v>95377</v>
      </c>
      <c r="F19" s="121">
        <f t="shared" si="0"/>
        <v>98238.31</v>
      </c>
      <c r="G19" s="91">
        <v>100000</v>
      </c>
      <c r="H19" s="178">
        <f>IFERROR(VLOOKUP(B19,'[1]Puntaje Final FID'!$C$7:$M$14,11,0),0)</f>
        <v>448921</v>
      </c>
      <c r="I19" s="124">
        <f t="shared" si="1"/>
        <v>548921</v>
      </c>
      <c r="J19" s="92">
        <f>IFERROR(VLOOKUP(B19,'Publicaciones BD'!$B$3:$E$11,4,0),0)</f>
        <v>55728.076388888883</v>
      </c>
      <c r="K19" s="92">
        <f>IFERROR(VLOOKUP(B19,'Acreditación BD'!$B$3:$K$11,10,0),0)</f>
        <v>70147.229020979008</v>
      </c>
      <c r="L19" s="92">
        <f>IFERROR(VLOOKUP(B19,'Doctorado JC BD'!$B$3:$E$11,4,0),0)</f>
        <v>85139.67580461406</v>
      </c>
      <c r="M19" s="92">
        <f>IFERROR(VLOOKUP(B19,'Programas Doct. Acreditados BD'!$B$3:$E$11,4,0),0)</f>
        <v>39726.945544554459</v>
      </c>
      <c r="N19" s="92">
        <f>IFERROR(VLOOKUP(B19,'Académicos JC BD'!$B$3:$E$11,4,0),0)</f>
        <v>102470.45393089636</v>
      </c>
      <c r="O19" s="92">
        <f>IFERROR(VLOOKUP(B19,'Matrícula Regular Pre BD'!$B$3:$E$11,4,0),0)</f>
        <v>124194.79406337578</v>
      </c>
      <c r="P19" s="183">
        <f t="shared" si="5"/>
        <v>477407.17475330859</v>
      </c>
      <c r="Q19" s="171">
        <v>0</v>
      </c>
      <c r="R19" s="130">
        <f t="shared" si="6"/>
        <v>1124566.4847533086</v>
      </c>
      <c r="S19" s="127">
        <f>IFERROR(VLOOKUP(B19,Indicadores!$B$4:$AH$12,33,0),0)</f>
        <v>1564624</v>
      </c>
      <c r="T19" s="99">
        <f t="shared" si="2"/>
        <v>2689190.4847533088</v>
      </c>
      <c r="U19" s="99">
        <f t="shared" si="3"/>
        <v>2689190</v>
      </c>
      <c r="V19" s="100">
        <f t="shared" si="4"/>
        <v>6.7021622728320046E-2</v>
      </c>
      <c r="W19" s="76" t="s">
        <v>19</v>
      </c>
    </row>
    <row r="20" spans="1:23" ht="15.75" thickBot="1" x14ac:dyDescent="0.3">
      <c r="A20" s="104" t="s">
        <v>21</v>
      </c>
      <c r="B20" s="111" t="s">
        <v>20</v>
      </c>
      <c r="C20" s="85" t="s">
        <v>18</v>
      </c>
      <c r="D20" s="95" t="str">
        <f>VLOOKUP(B20,Categorías!$B$4:$W$12,22,0)</f>
        <v>Categoría II</v>
      </c>
      <c r="E20" s="105">
        <v>76198</v>
      </c>
      <c r="F20" s="122">
        <f t="shared" si="0"/>
        <v>78483.94</v>
      </c>
      <c r="G20" s="106">
        <v>100000</v>
      </c>
      <c r="H20" s="178">
        <f>IFERROR(VLOOKUP(B20,'[1]Puntaje Final FID'!$C$7:$M$14,11,0),0)</f>
        <v>448921</v>
      </c>
      <c r="I20" s="125">
        <f t="shared" si="1"/>
        <v>548921</v>
      </c>
      <c r="J20" s="107">
        <f>IFERROR(VLOOKUP(B20,'Publicaciones BD'!$B$3:$E$11,4,0),0)</f>
        <v>57194.604714912275</v>
      </c>
      <c r="K20" s="107">
        <f>IFERROR(VLOOKUP(B20,'Acreditación BD'!$B$3:$K$11,10,0),0)</f>
        <v>56117.783216783202</v>
      </c>
      <c r="L20" s="107">
        <f>IFERROR(VLOOKUP(B20,'Doctorado JC BD'!$B$3:$E$11,4,0),0)</f>
        <v>91996.562446596421</v>
      </c>
      <c r="M20" s="107">
        <f>IFERROR(VLOOKUP(B20,'Programas Doct. Acreditados BD'!$B$3:$E$11,4,0),0)</f>
        <v>19863.47277227723</v>
      </c>
      <c r="N20" s="107">
        <f>IFERROR(VLOOKUP(B20,'Académicos JC BD'!$B$3:$E$11,4,0),0)</f>
        <v>110842.22304289768</v>
      </c>
      <c r="O20" s="107">
        <f>IFERROR(VLOOKUP(B20,'Matrícula Regular Pre BD'!$B$3:$E$11,4,0),0)</f>
        <v>176731.25165966037</v>
      </c>
      <c r="P20" s="183">
        <f>(J20+K20+L20+M20+N20+O20)</f>
        <v>512745.89785312716</v>
      </c>
      <c r="Q20" s="172">
        <v>0</v>
      </c>
      <c r="R20" s="130">
        <f t="shared" si="6"/>
        <v>1140150.8378531272</v>
      </c>
      <c r="S20" s="128">
        <f>IFERROR(VLOOKUP(B20,Indicadores!$B$4:$AH$12,33,0),0)</f>
        <v>1407524</v>
      </c>
      <c r="T20" s="99">
        <f t="shared" si="2"/>
        <v>2547674.8378531272</v>
      </c>
      <c r="U20" s="99">
        <f t="shared" si="3"/>
        <v>2547675</v>
      </c>
      <c r="V20" s="100">
        <f t="shared" si="4"/>
        <v>6.3494700145535557E-2</v>
      </c>
      <c r="W20" s="76" t="s">
        <v>20</v>
      </c>
    </row>
    <row r="21" spans="1:23" ht="15.75" thickBot="1" x14ac:dyDescent="0.3">
      <c r="A21" s="184" t="s">
        <v>125</v>
      </c>
      <c r="B21" s="185"/>
      <c r="C21" s="185"/>
      <c r="D21" s="185"/>
      <c r="E21" s="86">
        <f t="shared" ref="E21:J21" si="7">SUM(E12:E20)</f>
        <v>5337700</v>
      </c>
      <c r="F21" s="86">
        <f t="shared" si="7"/>
        <v>5497831.0000000009</v>
      </c>
      <c r="G21" s="87">
        <f t="shared" si="7"/>
        <v>800000</v>
      </c>
      <c r="H21" s="87">
        <f t="shared" si="7"/>
        <v>3200000</v>
      </c>
      <c r="I21" s="87">
        <f t="shared" si="7"/>
        <v>4000000</v>
      </c>
      <c r="J21" s="88">
        <f t="shared" si="7"/>
        <v>2006210.75</v>
      </c>
      <c r="K21" s="88">
        <f t="shared" ref="K21:P21" si="8">SUM(K12:K20)</f>
        <v>2006210.75</v>
      </c>
      <c r="L21" s="88">
        <f t="shared" si="8"/>
        <v>2006210.75</v>
      </c>
      <c r="M21" s="88">
        <f t="shared" si="8"/>
        <v>2006210.7499999998</v>
      </c>
      <c r="N21" s="88">
        <f t="shared" si="8"/>
        <v>2006210.7499999998</v>
      </c>
      <c r="O21" s="88">
        <f t="shared" si="8"/>
        <v>2006210.7499999998</v>
      </c>
      <c r="P21" s="88">
        <f t="shared" si="8"/>
        <v>12037264.5</v>
      </c>
      <c r="Q21" s="173">
        <f>SUM(Q12:Q20)</f>
        <v>50000</v>
      </c>
      <c r="R21" s="131">
        <f t="shared" ref="R21:V21" si="9">SUM(R12:R20)</f>
        <v>21585095.499999996</v>
      </c>
      <c r="S21" s="129">
        <f t="shared" si="9"/>
        <v>18539120</v>
      </c>
      <c r="T21" s="89">
        <f t="shared" si="9"/>
        <v>40124215.500000007</v>
      </c>
      <c r="U21" s="89">
        <f t="shared" si="9"/>
        <v>40124215</v>
      </c>
      <c r="V21" s="108">
        <f t="shared" si="9"/>
        <v>1</v>
      </c>
    </row>
    <row r="22" spans="1:23" x14ac:dyDescent="0.25"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23" x14ac:dyDescent="0.25"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</row>
    <row r="24" spans="1:23" ht="15" customHeight="1" x14ac:dyDescent="0.25">
      <c r="E24" s="169" t="s">
        <v>147</v>
      </c>
      <c r="F24" s="169"/>
      <c r="G24" s="169"/>
      <c r="H24" s="169"/>
      <c r="I24" s="169"/>
      <c r="J24" s="195" t="s">
        <v>148</v>
      </c>
    </row>
    <row r="25" spans="1:23" ht="25.5" x14ac:dyDescent="0.25">
      <c r="A25" s="113" t="s">
        <v>79</v>
      </c>
      <c r="B25" s="113" t="s">
        <v>138</v>
      </c>
      <c r="C25" s="113" t="s">
        <v>139</v>
      </c>
      <c r="D25" s="113" t="s">
        <v>179</v>
      </c>
      <c r="E25" s="114" t="s">
        <v>149</v>
      </c>
      <c r="F25" s="115" t="s">
        <v>150</v>
      </c>
      <c r="G25" s="14" t="s">
        <v>146</v>
      </c>
      <c r="H25" s="175" t="s">
        <v>180</v>
      </c>
      <c r="I25" s="118" t="s">
        <v>65</v>
      </c>
      <c r="J25" s="196"/>
      <c r="O25" s="43"/>
      <c r="P25" s="43"/>
      <c r="Q25" s="43"/>
      <c r="R25" s="43"/>
    </row>
    <row r="26" spans="1:23" x14ac:dyDescent="0.25">
      <c r="A26" s="46" t="s">
        <v>66</v>
      </c>
      <c r="B26" s="47">
        <v>31700126</v>
      </c>
      <c r="C26" s="47">
        <v>8424089</v>
      </c>
      <c r="D26" s="47">
        <f>B26+C26</f>
        <v>40124215</v>
      </c>
      <c r="E26" s="20">
        <f>F21</f>
        <v>5497831.0000000009</v>
      </c>
      <c r="F26" s="20">
        <f>I21</f>
        <v>4000000</v>
      </c>
      <c r="G26" s="74">
        <f>P21</f>
        <v>12037264.5</v>
      </c>
      <c r="H26" s="174">
        <v>50000</v>
      </c>
      <c r="I26" s="20">
        <f>E26+F26+G26+H26</f>
        <v>21585095.5</v>
      </c>
      <c r="J26" s="20">
        <f>D26-I26</f>
        <v>18539119.5</v>
      </c>
      <c r="O26" s="44"/>
      <c r="P26" s="44"/>
      <c r="Q26" s="44"/>
      <c r="R26" s="44"/>
    </row>
    <row r="28" spans="1:23" x14ac:dyDescent="0.25">
      <c r="A28" s="18" t="s">
        <v>140</v>
      </c>
      <c r="B28" s="47">
        <f>30%*D26</f>
        <v>12037264.5</v>
      </c>
    </row>
    <row r="29" spans="1:23" x14ac:dyDescent="0.25">
      <c r="A29" s="18" t="s">
        <v>78</v>
      </c>
      <c r="B29" s="19">
        <v>0.03</v>
      </c>
    </row>
    <row r="30" spans="1:23" x14ac:dyDescent="0.25">
      <c r="A30" s="2"/>
    </row>
  </sheetData>
  <sortState xmlns:xlrd2="http://schemas.microsoft.com/office/spreadsheetml/2017/richdata2" ref="A12:W20">
    <sortCondition descending="1" ref="U12:U20"/>
  </sortState>
  <mergeCells count="16">
    <mergeCell ref="J24:J25"/>
    <mergeCell ref="V9:V11"/>
    <mergeCell ref="E9:P9"/>
    <mergeCell ref="S9:S11"/>
    <mergeCell ref="T9:T11"/>
    <mergeCell ref="E10:F10"/>
    <mergeCell ref="G10:I10"/>
    <mergeCell ref="J10:P10"/>
    <mergeCell ref="R9:R11"/>
    <mergeCell ref="U9:U11"/>
    <mergeCell ref="Q10:Q11"/>
    <mergeCell ref="A21:D21"/>
    <mergeCell ref="A9:A11"/>
    <mergeCell ref="B9:B11"/>
    <mergeCell ref="C9:C11"/>
    <mergeCell ref="D9:D11"/>
  </mergeCells>
  <pageMargins left="0.31496062992125984" right="0.31496062992125984" top="0.74803149606299213" bottom="0.74803149606299213" header="0.31496062992125984" footer="0.31496062992125984"/>
  <pageSetup paperSize="14" scale="62" orientation="landscape" verticalDpi="0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D5D8-9979-420C-8791-A2288658523D}">
  <dimension ref="A1:L20"/>
  <sheetViews>
    <sheetView topLeftCell="A8" zoomScale="90" zoomScaleNormal="90" workbookViewId="0">
      <selection activeCell="G22" sqref="G22"/>
    </sheetView>
  </sheetViews>
  <sheetFormatPr baseColWidth="10" defaultRowHeight="15" x14ac:dyDescent="0.25"/>
  <cols>
    <col min="1" max="1" width="48" customWidth="1"/>
    <col min="2" max="2" width="13.42578125" customWidth="1"/>
    <col min="3" max="3" width="14.42578125" bestFit="1" customWidth="1"/>
    <col min="4" max="4" width="15" customWidth="1"/>
    <col min="5" max="5" width="15.28515625" customWidth="1"/>
    <col min="6" max="6" width="12" customWidth="1"/>
    <col min="10" max="10" width="13.7109375" customWidth="1"/>
  </cols>
  <sheetData>
    <row r="1" spans="1:12" ht="92.25" customHeight="1" x14ac:dyDescent="0.25"/>
    <row r="2" spans="1:12" ht="17.25" x14ac:dyDescent="0.3">
      <c r="A2" s="83" t="s">
        <v>181</v>
      </c>
    </row>
    <row r="3" spans="1:12" ht="17.25" x14ac:dyDescent="0.3">
      <c r="A3" s="83" t="s">
        <v>182</v>
      </c>
    </row>
    <row r="4" spans="1:12" ht="17.25" x14ac:dyDescent="0.3">
      <c r="A4" s="83" t="s">
        <v>152</v>
      </c>
    </row>
    <row r="5" spans="1:12" x14ac:dyDescent="0.25">
      <c r="A5" s="17" t="s">
        <v>127</v>
      </c>
    </row>
    <row r="6" spans="1:12" x14ac:dyDescent="0.25">
      <c r="A6" s="179" t="s">
        <v>188</v>
      </c>
      <c r="B6" s="17"/>
    </row>
    <row r="7" spans="1:12" x14ac:dyDescent="0.25">
      <c r="A7" s="179"/>
      <c r="B7" s="17"/>
    </row>
    <row r="8" spans="1:12" ht="33" customHeight="1" thickBot="1" x14ac:dyDescent="0.3">
      <c r="J8" s="132" t="s">
        <v>183</v>
      </c>
    </row>
    <row r="9" spans="1:12" ht="51" x14ac:dyDescent="0.25">
      <c r="A9" s="139" t="s">
        <v>9</v>
      </c>
      <c r="B9" s="140" t="s">
        <v>1</v>
      </c>
      <c r="C9" s="140" t="s">
        <v>17</v>
      </c>
      <c r="D9" s="141" t="s">
        <v>26</v>
      </c>
      <c r="E9" s="176" t="s">
        <v>184</v>
      </c>
      <c r="F9" s="138" t="s">
        <v>77</v>
      </c>
      <c r="G9" s="1"/>
      <c r="H9" s="119" t="s">
        <v>177</v>
      </c>
      <c r="I9" s="133" t="s">
        <v>178</v>
      </c>
      <c r="J9" s="119" t="s">
        <v>190</v>
      </c>
      <c r="K9" s="119" t="s">
        <v>189</v>
      </c>
      <c r="L9" s="119" t="s">
        <v>151</v>
      </c>
    </row>
    <row r="10" spans="1:12" x14ac:dyDescent="0.25">
      <c r="A10" s="94" t="s">
        <v>10</v>
      </c>
      <c r="B10" s="109" t="s">
        <v>2</v>
      </c>
      <c r="C10" s="95" t="s">
        <v>18</v>
      </c>
      <c r="D10" s="95" t="s">
        <v>135</v>
      </c>
      <c r="E10" s="99">
        <f>VLOOKUP(B10,'Montos BD 2020'!$B$12:$U$20,20,0)</f>
        <v>8924200</v>
      </c>
      <c r="F10" s="100">
        <f t="shared" ref="F10:F18" si="0">E10/$E$19</f>
        <v>0.22241432013062437</v>
      </c>
      <c r="G10" s="76" t="s">
        <v>2</v>
      </c>
      <c r="H10" s="134">
        <v>8902619</v>
      </c>
      <c r="I10" s="135">
        <f t="shared" ref="I10:I18" si="1">H10/$H$19</f>
        <v>0.23239933066754873</v>
      </c>
      <c r="J10" s="134">
        <v>3729936</v>
      </c>
      <c r="K10" s="136">
        <f t="shared" ref="K10:K18" si="2">+E10-J10</f>
        <v>5194264</v>
      </c>
      <c r="L10" s="137">
        <f t="shared" ref="L10:L18" si="3">K10/E10</f>
        <v>0.58204253602563816</v>
      </c>
    </row>
    <row r="11" spans="1:12" x14ac:dyDescent="0.25">
      <c r="A11" s="93" t="s">
        <v>11</v>
      </c>
      <c r="B11" s="110" t="s">
        <v>3</v>
      </c>
      <c r="C11" s="84" t="s">
        <v>18</v>
      </c>
      <c r="D11" s="84" t="s">
        <v>135</v>
      </c>
      <c r="E11" s="99">
        <f>VLOOKUP(B11,'Montos BD 2020'!$B$12:$U$20,20,0)</f>
        <v>6445517</v>
      </c>
      <c r="F11" s="100">
        <f t="shared" si="0"/>
        <v>0.16063908041565425</v>
      </c>
      <c r="G11" s="76" t="s">
        <v>3</v>
      </c>
      <c r="H11" s="134">
        <v>6467574</v>
      </c>
      <c r="I11" s="135">
        <f t="shared" si="1"/>
        <v>0.16883344874613199</v>
      </c>
      <c r="J11" s="134">
        <v>2709724</v>
      </c>
      <c r="K11" s="136">
        <f t="shared" si="2"/>
        <v>3735793</v>
      </c>
      <c r="L11" s="137">
        <f t="shared" si="3"/>
        <v>0.5795955545536533</v>
      </c>
    </row>
    <row r="12" spans="1:12" x14ac:dyDescent="0.25">
      <c r="A12" s="93" t="s">
        <v>12</v>
      </c>
      <c r="B12" s="110" t="s">
        <v>4</v>
      </c>
      <c r="C12" s="84" t="s">
        <v>18</v>
      </c>
      <c r="D12" s="84" t="s">
        <v>135</v>
      </c>
      <c r="E12" s="99">
        <f>VLOOKUP(B12,'Montos BD 2020'!$B$12:$U$20,20,0)</f>
        <v>4916217</v>
      </c>
      <c r="F12" s="100">
        <f t="shared" si="0"/>
        <v>0.12252493911718897</v>
      </c>
      <c r="G12" s="76" t="s">
        <v>4</v>
      </c>
      <c r="H12" s="134">
        <v>4897847</v>
      </c>
      <c r="I12" s="135">
        <f t="shared" si="1"/>
        <v>0.12785634929587142</v>
      </c>
      <c r="J12" s="134">
        <v>2052054</v>
      </c>
      <c r="K12" s="136">
        <f t="shared" si="2"/>
        <v>2864163</v>
      </c>
      <c r="L12" s="137">
        <f t="shared" si="3"/>
        <v>0.58259490986667184</v>
      </c>
    </row>
    <row r="13" spans="1:12" x14ac:dyDescent="0.25">
      <c r="A13" s="93" t="s">
        <v>13</v>
      </c>
      <c r="B13" s="110" t="s">
        <v>5</v>
      </c>
      <c r="C13" s="84" t="s">
        <v>18</v>
      </c>
      <c r="D13" s="84" t="s">
        <v>136</v>
      </c>
      <c r="E13" s="99">
        <f>VLOOKUP(B13,'Montos BD 2020'!$B$12:$U$20,20,0)</f>
        <v>4542773</v>
      </c>
      <c r="F13" s="100">
        <f t="shared" si="0"/>
        <v>0.11321774145612569</v>
      </c>
      <c r="G13" s="76" t="s">
        <v>5</v>
      </c>
      <c r="H13" s="134">
        <v>3990903</v>
      </c>
      <c r="I13" s="135">
        <f t="shared" si="1"/>
        <v>0.10418093663888259</v>
      </c>
      <c r="J13" s="134">
        <v>1672071</v>
      </c>
      <c r="K13" s="136">
        <f t="shared" si="2"/>
        <v>2870702</v>
      </c>
      <c r="L13" s="137">
        <f t="shared" si="3"/>
        <v>0.63192723915546734</v>
      </c>
    </row>
    <row r="14" spans="1:12" x14ac:dyDescent="0.25">
      <c r="A14" s="93" t="s">
        <v>14</v>
      </c>
      <c r="B14" s="110" t="s">
        <v>6</v>
      </c>
      <c r="C14" s="84" t="s">
        <v>18</v>
      </c>
      <c r="D14" s="84" t="s">
        <v>136</v>
      </c>
      <c r="E14" s="99">
        <f>VLOOKUP(B14,'Montos BD 2020'!$B$12:$U$20,20,0)</f>
        <v>4080842</v>
      </c>
      <c r="F14" s="100">
        <f t="shared" si="0"/>
        <v>0.10170521716125785</v>
      </c>
      <c r="G14" s="76" t="s">
        <v>6</v>
      </c>
      <c r="H14" s="134">
        <v>3493603</v>
      </c>
      <c r="I14" s="135">
        <f t="shared" si="1"/>
        <v>9.1199117789735828E-2</v>
      </c>
      <c r="J14" s="134">
        <v>1463717</v>
      </c>
      <c r="K14" s="136">
        <f t="shared" si="2"/>
        <v>2617125</v>
      </c>
      <c r="L14" s="137">
        <f t="shared" si="3"/>
        <v>0.64131985506912548</v>
      </c>
    </row>
    <row r="15" spans="1:12" x14ac:dyDescent="0.25">
      <c r="A15" s="93" t="s">
        <v>15</v>
      </c>
      <c r="B15" s="110" t="s">
        <v>7</v>
      </c>
      <c r="C15" s="84" t="s">
        <v>18</v>
      </c>
      <c r="D15" s="84" t="s">
        <v>136</v>
      </c>
      <c r="E15" s="99">
        <f>VLOOKUP(B15,'Montos BD 2020'!$B$12:$U$20,20,0)</f>
        <v>3186030</v>
      </c>
      <c r="F15" s="100">
        <f t="shared" si="0"/>
        <v>7.9404170274733107E-2</v>
      </c>
      <c r="G15" s="76" t="s">
        <v>7</v>
      </c>
      <c r="H15" s="134">
        <v>3088377</v>
      </c>
      <c r="I15" s="135">
        <f t="shared" si="1"/>
        <v>8.062085411596881E-2</v>
      </c>
      <c r="J15" s="134">
        <v>1293939</v>
      </c>
      <c r="K15" s="136">
        <f t="shared" si="2"/>
        <v>1892091</v>
      </c>
      <c r="L15" s="137">
        <f t="shared" si="3"/>
        <v>0.59387105582809951</v>
      </c>
    </row>
    <row r="16" spans="1:12" x14ac:dyDescent="0.25">
      <c r="A16" s="93" t="s">
        <v>16</v>
      </c>
      <c r="B16" s="110" t="s">
        <v>8</v>
      </c>
      <c r="C16" s="84" t="s">
        <v>18</v>
      </c>
      <c r="D16" s="84" t="s">
        <v>136</v>
      </c>
      <c r="E16" s="99">
        <f>VLOOKUP(B16,'Montos BD 2020'!$B$12:$U$20,20,0)</f>
        <v>2791771</v>
      </c>
      <c r="F16" s="100">
        <f t="shared" si="0"/>
        <v>6.9578208570560199E-2</v>
      </c>
      <c r="G16" s="76" t="s">
        <v>8</v>
      </c>
      <c r="H16" s="134">
        <v>2889293</v>
      </c>
      <c r="I16" s="135">
        <f t="shared" si="1"/>
        <v>7.5423845421491567E-2</v>
      </c>
      <c r="J16" s="134">
        <v>1210529</v>
      </c>
      <c r="K16" s="136">
        <f t="shared" si="2"/>
        <v>1581242</v>
      </c>
      <c r="L16" s="137">
        <f t="shared" si="3"/>
        <v>0.56639387686167664</v>
      </c>
    </row>
    <row r="17" spans="1:12" x14ac:dyDescent="0.25">
      <c r="A17" s="93" t="s">
        <v>22</v>
      </c>
      <c r="B17" s="110" t="s">
        <v>19</v>
      </c>
      <c r="C17" s="84" t="s">
        <v>18</v>
      </c>
      <c r="D17" s="84" t="s">
        <v>137</v>
      </c>
      <c r="E17" s="99">
        <f>VLOOKUP(B17,'Montos BD 2020'!$B$12:$U$20,20,0)</f>
        <v>2689190</v>
      </c>
      <c r="F17" s="100">
        <f t="shared" si="0"/>
        <v>6.7021622728320046E-2</v>
      </c>
      <c r="G17" s="76" t="s">
        <v>19</v>
      </c>
      <c r="H17" s="134">
        <v>2404667</v>
      </c>
      <c r="I17" s="135">
        <f t="shared" si="1"/>
        <v>6.277287630508982E-2</v>
      </c>
      <c r="J17" s="134">
        <v>1007485</v>
      </c>
      <c r="K17" s="136">
        <f t="shared" si="2"/>
        <v>1681705</v>
      </c>
      <c r="L17" s="137">
        <f t="shared" si="3"/>
        <v>0.62535744964096995</v>
      </c>
    </row>
    <row r="18" spans="1:12" ht="15.75" thickBot="1" x14ac:dyDescent="0.3">
      <c r="A18" s="104" t="s">
        <v>21</v>
      </c>
      <c r="B18" s="111" t="s">
        <v>20</v>
      </c>
      <c r="C18" s="85" t="s">
        <v>18</v>
      </c>
      <c r="D18" s="85" t="s">
        <v>137</v>
      </c>
      <c r="E18" s="99">
        <f>VLOOKUP(B18,'Montos BD 2020'!$B$12:$U$20,20,0)</f>
        <v>2547675</v>
      </c>
      <c r="F18" s="100">
        <f t="shared" si="0"/>
        <v>6.3494700145535557E-2</v>
      </c>
      <c r="G18" s="76" t="s">
        <v>20</v>
      </c>
      <c r="H18" s="134">
        <v>2172538</v>
      </c>
      <c r="I18" s="135">
        <f t="shared" si="1"/>
        <v>5.671324101927927E-2</v>
      </c>
      <c r="J18" s="134">
        <v>910230</v>
      </c>
      <c r="K18" s="136">
        <f t="shared" si="2"/>
        <v>1637445</v>
      </c>
      <c r="L18" s="137">
        <f t="shared" si="3"/>
        <v>0.64272130471900846</v>
      </c>
    </row>
    <row r="19" spans="1:12" ht="15.75" thickBot="1" x14ac:dyDescent="0.3">
      <c r="A19" s="184" t="s">
        <v>125</v>
      </c>
      <c r="B19" s="185"/>
      <c r="C19" s="185"/>
      <c r="D19" s="185"/>
      <c r="E19" s="89">
        <f>SUM(E10:E18)</f>
        <v>40124215</v>
      </c>
      <c r="F19" s="108">
        <f>SUM(F10:F18)</f>
        <v>1</v>
      </c>
      <c r="H19" s="181">
        <f>SUM(H10:H18)</f>
        <v>38307421</v>
      </c>
      <c r="I19" s="182">
        <f>SUM(I10:I18)</f>
        <v>1</v>
      </c>
      <c r="J19" s="181">
        <f>SUM(J10:J18)</f>
        <v>16049685</v>
      </c>
      <c r="K19" s="181">
        <f>SUM(K10:K18)</f>
        <v>24074530</v>
      </c>
    </row>
    <row r="20" spans="1:12" x14ac:dyDescent="0.25">
      <c r="H20" s="1"/>
      <c r="I20" s="1"/>
      <c r="J20" s="1"/>
      <c r="K20" s="180">
        <f>SUM(J19:K19)</f>
        <v>40124215</v>
      </c>
    </row>
  </sheetData>
  <sortState xmlns:xlrd2="http://schemas.microsoft.com/office/spreadsheetml/2017/richdata2" ref="A10:L18">
    <sortCondition descending="1" ref="E10:E18"/>
  </sortState>
  <mergeCells count="1">
    <mergeCell ref="A19:D19"/>
  </mergeCells>
  <pageMargins left="0.31496062992125984" right="0.31496062992125984" top="0.74803149606299213" bottom="0.74803149606299213" header="0.31496062992125984" footer="0.31496062992125984"/>
  <pageSetup paperSize="14"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X28"/>
  <sheetViews>
    <sheetView workbookViewId="0">
      <selection activeCell="A2" sqref="A2"/>
    </sheetView>
  </sheetViews>
  <sheetFormatPr baseColWidth="10" defaultRowHeight="15" x14ac:dyDescent="0.25"/>
  <cols>
    <col min="1" max="1" width="47" customWidth="1"/>
    <col min="2" max="2" width="14.140625" customWidth="1"/>
    <col min="3" max="3" width="13.42578125" customWidth="1"/>
    <col min="4" max="8" width="6.7109375" customWidth="1"/>
    <col min="9" max="9" width="9.42578125" customWidth="1"/>
    <col min="10" max="17" width="6.7109375" customWidth="1"/>
    <col min="18" max="18" width="8.28515625" customWidth="1"/>
    <col min="19" max="20" width="9" customWidth="1"/>
    <col min="21" max="21" width="8.42578125" customWidth="1"/>
    <col min="22" max="23" width="11.28515625" customWidth="1"/>
    <col min="24" max="24" width="23.42578125" bestFit="1" customWidth="1"/>
  </cols>
  <sheetData>
    <row r="1" spans="1:24" x14ac:dyDescent="0.25">
      <c r="A1" s="17" t="s">
        <v>185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</row>
    <row r="2" spans="1:24" ht="35.25" customHeight="1" x14ac:dyDescent="0.25">
      <c r="B2" s="90">
        <v>1</v>
      </c>
      <c r="C2" s="90">
        <v>2</v>
      </c>
      <c r="D2" s="224" t="s">
        <v>130</v>
      </c>
      <c r="E2" s="224"/>
      <c r="F2" s="224"/>
      <c r="G2" s="224"/>
      <c r="H2" s="224"/>
      <c r="I2" s="224"/>
      <c r="J2" s="224" t="s">
        <v>141</v>
      </c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90">
        <v>24</v>
      </c>
    </row>
    <row r="3" spans="1:24" ht="39" x14ac:dyDescent="0.25">
      <c r="A3" s="23" t="s">
        <v>9</v>
      </c>
      <c r="B3" t="s">
        <v>129</v>
      </c>
      <c r="C3" s="23" t="s">
        <v>17</v>
      </c>
      <c r="D3" s="142">
        <v>2</v>
      </c>
      <c r="E3" s="142">
        <v>3</v>
      </c>
      <c r="F3" s="142">
        <v>4</v>
      </c>
      <c r="G3" s="142">
        <v>5</v>
      </c>
      <c r="H3" s="142">
        <v>6</v>
      </c>
      <c r="I3" s="143" t="s">
        <v>23</v>
      </c>
      <c r="J3" s="146">
        <v>2</v>
      </c>
      <c r="K3" s="146">
        <v>3</v>
      </c>
      <c r="L3" s="146">
        <v>4</v>
      </c>
      <c r="M3" s="146">
        <v>5</v>
      </c>
      <c r="N3" s="146">
        <v>6</v>
      </c>
      <c r="O3" s="146">
        <v>7</v>
      </c>
      <c r="P3" s="146">
        <v>8</v>
      </c>
      <c r="Q3" s="146">
        <v>9</v>
      </c>
      <c r="R3" s="147" t="s">
        <v>131</v>
      </c>
      <c r="S3" s="114" t="s">
        <v>132</v>
      </c>
      <c r="T3" s="114" t="s">
        <v>24</v>
      </c>
      <c r="U3" s="114" t="s">
        <v>25</v>
      </c>
      <c r="V3" s="114" t="s">
        <v>154</v>
      </c>
      <c r="W3" s="114" t="s">
        <v>26</v>
      </c>
      <c r="X3" s="114" t="s">
        <v>59</v>
      </c>
    </row>
    <row r="4" spans="1:24" x14ac:dyDescent="0.25">
      <c r="A4" s="1" t="s">
        <v>10</v>
      </c>
      <c r="B4" s="1" t="s">
        <v>2</v>
      </c>
      <c r="C4" s="3" t="s">
        <v>18</v>
      </c>
      <c r="D4" s="144"/>
      <c r="E4" s="144"/>
      <c r="F4" s="144"/>
      <c r="G4" s="144"/>
      <c r="H4" s="144">
        <v>1</v>
      </c>
      <c r="I4" s="144">
        <f t="shared" ref="I4:I12" si="0">SUM(D4:H4)</f>
        <v>1</v>
      </c>
      <c r="J4" s="148"/>
      <c r="K4" s="148">
        <v>5</v>
      </c>
      <c r="L4" s="148">
        <v>8</v>
      </c>
      <c r="M4" s="148">
        <v>6</v>
      </c>
      <c r="N4" s="148">
        <v>2</v>
      </c>
      <c r="O4" s="148">
        <v>8</v>
      </c>
      <c r="P4" s="148">
        <v>4</v>
      </c>
      <c r="Q4" s="148">
        <v>1</v>
      </c>
      <c r="R4" s="148">
        <f>SUM(J4:Q4)</f>
        <v>34</v>
      </c>
      <c r="S4" s="150">
        <f>I4+R4</f>
        <v>35</v>
      </c>
      <c r="T4" s="150">
        <f>SUM(G4:H4)</f>
        <v>1</v>
      </c>
      <c r="U4" s="150">
        <f>R4+T4</f>
        <v>35</v>
      </c>
      <c r="V4" s="151">
        <f>IFERROR(VLOOKUP(B4,[2]SCOPUS!$B$6:$M$32,11,0),0)</f>
        <v>2379</v>
      </c>
      <c r="W4" s="150" t="str">
        <f t="shared" ref="W4:W12" si="1">IF(AND(U4&gt;=10,V4&gt;=300),"Categoría I",IF(AND(U4&gt;=1,V4&gt;=100),"Categoría II","Categoría III"))</f>
        <v>Categoría I</v>
      </c>
      <c r="X4" s="150" t="str">
        <f t="shared" ref="X4:X12" si="2">CONCATENATE(C4,W4)</f>
        <v>CRUCH-PRIVADACategoría I</v>
      </c>
    </row>
    <row r="5" spans="1:24" x14ac:dyDescent="0.25">
      <c r="A5" s="1" t="s">
        <v>12</v>
      </c>
      <c r="B5" s="1" t="s">
        <v>4</v>
      </c>
      <c r="C5" s="3" t="s">
        <v>18</v>
      </c>
      <c r="D5" s="144"/>
      <c r="E5" s="144"/>
      <c r="F5" s="144">
        <v>1</v>
      </c>
      <c r="G5" s="144">
        <v>1</v>
      </c>
      <c r="H5" s="144">
        <v>1</v>
      </c>
      <c r="I5" s="144">
        <f t="shared" si="0"/>
        <v>3</v>
      </c>
      <c r="J5" s="148">
        <v>3</v>
      </c>
      <c r="K5" s="148">
        <v>2</v>
      </c>
      <c r="L5" s="148">
        <v>3</v>
      </c>
      <c r="M5" s="148">
        <v>1</v>
      </c>
      <c r="N5" s="148"/>
      <c r="O5" s="148">
        <v>2</v>
      </c>
      <c r="P5" s="148"/>
      <c r="Q5" s="148"/>
      <c r="R5" s="148">
        <f t="shared" ref="R5:R12" si="3">SUM(J5:Q5)</f>
        <v>11</v>
      </c>
      <c r="S5" s="150">
        <f t="shared" ref="S5:S12" si="4">I5+R5</f>
        <v>14</v>
      </c>
      <c r="T5" s="150">
        <f t="shared" ref="T5:T12" si="5">SUM(G5:H5)</f>
        <v>2</v>
      </c>
      <c r="U5" s="150">
        <f t="shared" ref="U5:U12" si="6">R5+T5</f>
        <v>13</v>
      </c>
      <c r="V5" s="151">
        <f>IFERROR(VLOOKUP(B5,[2]SCOPUS!$B$6:$M$32,11,0),0)</f>
        <v>787</v>
      </c>
      <c r="W5" s="150" t="str">
        <f t="shared" si="1"/>
        <v>Categoría I</v>
      </c>
      <c r="X5" s="150" t="str">
        <f t="shared" si="2"/>
        <v>CRUCH-PRIVADACategoría I</v>
      </c>
    </row>
    <row r="6" spans="1:24" x14ac:dyDescent="0.25">
      <c r="A6" s="1" t="s">
        <v>13</v>
      </c>
      <c r="B6" s="1" t="s">
        <v>5</v>
      </c>
      <c r="C6" s="3" t="s">
        <v>18</v>
      </c>
      <c r="D6" s="144">
        <v>1</v>
      </c>
      <c r="E6" s="144"/>
      <c r="F6" s="144"/>
      <c r="G6" s="144"/>
      <c r="H6" s="144"/>
      <c r="I6" s="144">
        <f t="shared" si="0"/>
        <v>1</v>
      </c>
      <c r="J6" s="148"/>
      <c r="K6" s="148">
        <v>5</v>
      </c>
      <c r="L6" s="148">
        <v>1</v>
      </c>
      <c r="M6" s="148"/>
      <c r="N6" s="148">
        <v>3</v>
      </c>
      <c r="O6" s="148">
        <v>1</v>
      </c>
      <c r="P6" s="148"/>
      <c r="Q6" s="148"/>
      <c r="R6" s="148">
        <f t="shared" si="3"/>
        <v>10</v>
      </c>
      <c r="S6" s="150">
        <f t="shared" si="4"/>
        <v>11</v>
      </c>
      <c r="T6" s="150">
        <f t="shared" si="5"/>
        <v>0</v>
      </c>
      <c r="U6" s="150">
        <f t="shared" si="6"/>
        <v>10</v>
      </c>
      <c r="V6" s="151">
        <f>IFERROR(VLOOKUP(B6,[2]SCOPUS!$B$6:$M$32,11,0),0)</f>
        <v>712</v>
      </c>
      <c r="W6" s="150" t="str">
        <f t="shared" si="1"/>
        <v>Categoría I</v>
      </c>
      <c r="X6" s="150" t="str">
        <f t="shared" si="2"/>
        <v>CRUCH-PRIVADACategoría I</v>
      </c>
    </row>
    <row r="7" spans="1:24" x14ac:dyDescent="0.25">
      <c r="A7" s="1" t="s">
        <v>21</v>
      </c>
      <c r="B7" s="1" t="s">
        <v>20</v>
      </c>
      <c r="C7" s="3" t="s">
        <v>18</v>
      </c>
      <c r="D7" s="144"/>
      <c r="E7" s="144"/>
      <c r="F7" s="144">
        <v>1</v>
      </c>
      <c r="G7" s="144"/>
      <c r="H7" s="144"/>
      <c r="I7" s="144">
        <f t="shared" si="0"/>
        <v>1</v>
      </c>
      <c r="J7" s="148"/>
      <c r="K7" s="148">
        <v>1</v>
      </c>
      <c r="L7" s="148"/>
      <c r="M7" s="148"/>
      <c r="N7" s="148"/>
      <c r="O7" s="148"/>
      <c r="P7" s="148"/>
      <c r="Q7" s="148"/>
      <c r="R7" s="148">
        <f t="shared" si="3"/>
        <v>1</v>
      </c>
      <c r="S7" s="150">
        <f t="shared" si="4"/>
        <v>2</v>
      </c>
      <c r="T7" s="150">
        <f t="shared" si="5"/>
        <v>0</v>
      </c>
      <c r="U7" s="150">
        <f t="shared" si="6"/>
        <v>1</v>
      </c>
      <c r="V7" s="151">
        <f>IFERROR(VLOOKUP(B7,[2]SCOPUS!$B$6:$M$32,11,0),0)</f>
        <v>195</v>
      </c>
      <c r="W7" s="150" t="str">
        <f t="shared" si="1"/>
        <v>Categoría II</v>
      </c>
      <c r="X7" s="150" t="str">
        <f t="shared" si="2"/>
        <v>CRUCH-PRIVADACategoría II</v>
      </c>
    </row>
    <row r="8" spans="1:24" x14ac:dyDescent="0.25">
      <c r="A8" s="1" t="s">
        <v>16</v>
      </c>
      <c r="B8" s="1" t="s">
        <v>8</v>
      </c>
      <c r="C8" s="3" t="s">
        <v>18</v>
      </c>
      <c r="D8" s="144"/>
      <c r="E8" s="144"/>
      <c r="F8" s="144">
        <v>1</v>
      </c>
      <c r="G8" s="144"/>
      <c r="H8" s="144"/>
      <c r="I8" s="144">
        <f t="shared" si="0"/>
        <v>1</v>
      </c>
      <c r="J8" s="148">
        <v>1</v>
      </c>
      <c r="K8" s="148"/>
      <c r="L8" s="148">
        <v>1</v>
      </c>
      <c r="M8" s="148"/>
      <c r="N8" s="148"/>
      <c r="O8" s="148"/>
      <c r="P8" s="148"/>
      <c r="Q8" s="148"/>
      <c r="R8" s="148">
        <f t="shared" si="3"/>
        <v>2</v>
      </c>
      <c r="S8" s="150">
        <f t="shared" si="4"/>
        <v>3</v>
      </c>
      <c r="T8" s="150">
        <f t="shared" si="5"/>
        <v>0</v>
      </c>
      <c r="U8" s="150">
        <f t="shared" si="6"/>
        <v>2</v>
      </c>
      <c r="V8" s="151">
        <f>IFERROR(VLOOKUP(B8,[2]SCOPUS!$B$6:$M$32,11,0),0)</f>
        <v>193</v>
      </c>
      <c r="W8" s="150" t="str">
        <f t="shared" si="1"/>
        <v>Categoría II</v>
      </c>
      <c r="X8" s="150" t="str">
        <f t="shared" si="2"/>
        <v>CRUCH-PRIVADACategoría II</v>
      </c>
    </row>
    <row r="9" spans="1:24" x14ac:dyDescent="0.25">
      <c r="A9" s="1" t="s">
        <v>22</v>
      </c>
      <c r="B9" s="1" t="s">
        <v>19</v>
      </c>
      <c r="C9" s="3" t="s">
        <v>18</v>
      </c>
      <c r="D9" s="144"/>
      <c r="E9" s="144"/>
      <c r="F9" s="144">
        <v>1</v>
      </c>
      <c r="G9" s="144"/>
      <c r="H9" s="144"/>
      <c r="I9" s="144">
        <f t="shared" si="0"/>
        <v>1</v>
      </c>
      <c r="J9" s="148">
        <v>1</v>
      </c>
      <c r="K9" s="148">
        <v>1</v>
      </c>
      <c r="L9" s="148"/>
      <c r="M9" s="148"/>
      <c r="N9" s="148"/>
      <c r="O9" s="148"/>
      <c r="P9" s="148"/>
      <c r="Q9" s="148"/>
      <c r="R9" s="148">
        <f t="shared" si="3"/>
        <v>2</v>
      </c>
      <c r="S9" s="150">
        <f t="shared" si="4"/>
        <v>3</v>
      </c>
      <c r="T9" s="150">
        <f t="shared" si="5"/>
        <v>0</v>
      </c>
      <c r="U9" s="150">
        <f t="shared" si="6"/>
        <v>2</v>
      </c>
      <c r="V9" s="151">
        <f>IFERROR(VLOOKUP(B9,[2]SCOPUS!$B$6:$M$32,11,0),0)</f>
        <v>190</v>
      </c>
      <c r="W9" s="150" t="str">
        <f t="shared" si="1"/>
        <v>Categoría II</v>
      </c>
      <c r="X9" s="150" t="str">
        <f t="shared" si="2"/>
        <v>CRUCH-PRIVADACategoría II</v>
      </c>
    </row>
    <row r="10" spans="1:24" x14ac:dyDescent="0.25">
      <c r="A10" s="1" t="s">
        <v>15</v>
      </c>
      <c r="B10" s="1" t="s">
        <v>7</v>
      </c>
      <c r="C10" s="3" t="s">
        <v>18</v>
      </c>
      <c r="D10" s="144"/>
      <c r="E10" s="144">
        <v>1</v>
      </c>
      <c r="F10" s="144"/>
      <c r="G10" s="144">
        <v>3</v>
      </c>
      <c r="H10" s="144"/>
      <c r="I10" s="144">
        <f t="shared" si="0"/>
        <v>4</v>
      </c>
      <c r="J10" s="148"/>
      <c r="K10" s="148">
        <v>2</v>
      </c>
      <c r="L10" s="148">
        <v>1</v>
      </c>
      <c r="M10" s="148"/>
      <c r="N10" s="148"/>
      <c r="O10" s="148"/>
      <c r="P10" s="148"/>
      <c r="Q10" s="148"/>
      <c r="R10" s="148">
        <f t="shared" si="3"/>
        <v>3</v>
      </c>
      <c r="S10" s="150">
        <f t="shared" si="4"/>
        <v>7</v>
      </c>
      <c r="T10" s="150">
        <f t="shared" si="5"/>
        <v>3</v>
      </c>
      <c r="U10" s="150">
        <f t="shared" si="6"/>
        <v>6</v>
      </c>
      <c r="V10" s="151">
        <f>IFERROR(VLOOKUP(B10,[2]SCOPUS!$B$6:$M$32,11,0),0)</f>
        <v>454</v>
      </c>
      <c r="W10" s="150" t="str">
        <f t="shared" si="1"/>
        <v>Categoría II</v>
      </c>
      <c r="X10" s="150" t="str">
        <f t="shared" si="2"/>
        <v>CRUCH-PRIVADACategoría II</v>
      </c>
    </row>
    <row r="11" spans="1:24" x14ac:dyDescent="0.25">
      <c r="A11" s="1" t="s">
        <v>11</v>
      </c>
      <c r="B11" s="1" t="s">
        <v>3</v>
      </c>
      <c r="C11" s="3" t="s">
        <v>18</v>
      </c>
      <c r="D11" s="144"/>
      <c r="E11" s="144"/>
      <c r="F11" s="144"/>
      <c r="G11" s="144"/>
      <c r="H11" s="144"/>
      <c r="I11" s="144">
        <f t="shared" si="0"/>
        <v>0</v>
      </c>
      <c r="J11" s="148">
        <v>4</v>
      </c>
      <c r="K11" s="148">
        <v>5</v>
      </c>
      <c r="L11" s="148">
        <v>4</v>
      </c>
      <c r="M11" s="148">
        <v>4</v>
      </c>
      <c r="N11" s="148">
        <v>5</v>
      </c>
      <c r="O11" s="148">
        <v>5</v>
      </c>
      <c r="P11" s="148">
        <v>1</v>
      </c>
      <c r="Q11" s="148"/>
      <c r="R11" s="148">
        <f t="shared" si="3"/>
        <v>28</v>
      </c>
      <c r="S11" s="150">
        <f t="shared" si="4"/>
        <v>28</v>
      </c>
      <c r="T11" s="150">
        <f t="shared" si="5"/>
        <v>0</v>
      </c>
      <c r="U11" s="150">
        <f t="shared" si="6"/>
        <v>28</v>
      </c>
      <c r="V11" s="151">
        <f>IFERROR(VLOOKUP(B11,[2]SCOPUS!$B$6:$M$32,11,0),0)</f>
        <v>1272</v>
      </c>
      <c r="W11" s="150" t="str">
        <f t="shared" si="1"/>
        <v>Categoría I</v>
      </c>
      <c r="X11" s="150" t="str">
        <f t="shared" si="2"/>
        <v>CRUCH-PRIVADACategoría I</v>
      </c>
    </row>
    <row r="12" spans="1:24" x14ac:dyDescent="0.25">
      <c r="A12" s="1" t="s">
        <v>14</v>
      </c>
      <c r="B12" s="1" t="s">
        <v>6</v>
      </c>
      <c r="C12" s="3" t="s">
        <v>18</v>
      </c>
      <c r="D12" s="144"/>
      <c r="E12" s="144"/>
      <c r="F12" s="144">
        <v>2</v>
      </c>
      <c r="G12" s="144"/>
      <c r="H12" s="144">
        <v>1</v>
      </c>
      <c r="I12" s="144">
        <f t="shared" si="0"/>
        <v>3</v>
      </c>
      <c r="J12" s="148">
        <v>1</v>
      </c>
      <c r="K12" s="148"/>
      <c r="L12" s="148">
        <v>1</v>
      </c>
      <c r="M12" s="148"/>
      <c r="N12" s="148"/>
      <c r="O12" s="148">
        <v>1</v>
      </c>
      <c r="P12" s="148"/>
      <c r="Q12" s="148"/>
      <c r="R12" s="148">
        <f t="shared" si="3"/>
        <v>3</v>
      </c>
      <c r="S12" s="150">
        <f t="shared" si="4"/>
        <v>6</v>
      </c>
      <c r="T12" s="150">
        <f t="shared" si="5"/>
        <v>1</v>
      </c>
      <c r="U12" s="150">
        <f t="shared" si="6"/>
        <v>4</v>
      </c>
      <c r="V12" s="151">
        <f>IFERROR(VLOOKUP(B12,[2]SCOPUS!$B$6:$M$32,11,0),0)</f>
        <v>658</v>
      </c>
      <c r="W12" s="150" t="str">
        <f t="shared" si="1"/>
        <v>Categoría II</v>
      </c>
      <c r="X12" s="150" t="str">
        <f t="shared" si="2"/>
        <v>CRUCH-PRIVADACategoría II</v>
      </c>
    </row>
    <row r="13" spans="1:24" x14ac:dyDescent="0.25">
      <c r="A13" s="1"/>
      <c r="B13" s="1"/>
      <c r="C13" s="3" t="s">
        <v>0</v>
      </c>
      <c r="D13" s="145">
        <f>SUM(D4:D12)</f>
        <v>1</v>
      </c>
      <c r="E13" s="145">
        <f t="shared" ref="E13:I13" si="7">SUM(E4:E12)</f>
        <v>1</v>
      </c>
      <c r="F13" s="145">
        <f t="shared" si="7"/>
        <v>6</v>
      </c>
      <c r="G13" s="145">
        <f t="shared" si="7"/>
        <v>4</v>
      </c>
      <c r="H13" s="145">
        <f t="shared" si="7"/>
        <v>3</v>
      </c>
      <c r="I13" s="145">
        <f t="shared" si="7"/>
        <v>15</v>
      </c>
      <c r="J13" s="149">
        <f t="shared" ref="J13:V13" si="8">SUM(J4:J12)</f>
        <v>10</v>
      </c>
      <c r="K13" s="149">
        <f t="shared" si="8"/>
        <v>21</v>
      </c>
      <c r="L13" s="149">
        <f t="shared" si="8"/>
        <v>19</v>
      </c>
      <c r="M13" s="149">
        <f t="shared" si="8"/>
        <v>11</v>
      </c>
      <c r="N13" s="149">
        <f t="shared" si="8"/>
        <v>10</v>
      </c>
      <c r="O13" s="149">
        <f t="shared" si="8"/>
        <v>17</v>
      </c>
      <c r="P13" s="149">
        <f t="shared" si="8"/>
        <v>5</v>
      </c>
      <c r="Q13" s="149">
        <f t="shared" si="8"/>
        <v>1</v>
      </c>
      <c r="R13" s="149">
        <f t="shared" si="8"/>
        <v>94</v>
      </c>
      <c r="S13" s="152">
        <f t="shared" si="8"/>
        <v>109</v>
      </c>
      <c r="T13" s="152">
        <f t="shared" si="8"/>
        <v>7</v>
      </c>
      <c r="U13" s="152">
        <f t="shared" si="8"/>
        <v>101</v>
      </c>
      <c r="V13" s="153">
        <f t="shared" si="8"/>
        <v>6840</v>
      </c>
      <c r="W13" s="1"/>
    </row>
    <row r="16" spans="1:24" x14ac:dyDescent="0.25">
      <c r="A16" s="8" t="s">
        <v>54</v>
      </c>
      <c r="B16" s="8" t="s">
        <v>60</v>
      </c>
      <c r="C16" s="8" t="s">
        <v>58</v>
      </c>
      <c r="F16" s="8"/>
    </row>
    <row r="17" spans="1:6" x14ac:dyDescent="0.25">
      <c r="A17" s="1" t="s">
        <v>55</v>
      </c>
      <c r="B17" s="1">
        <f>COUNTIF($X$3:$X$12,A17)</f>
        <v>4</v>
      </c>
      <c r="C17" s="1">
        <f>(3*$B$17)+(2*$B$18)+$B$19</f>
        <v>22</v>
      </c>
      <c r="F17" s="6"/>
    </row>
    <row r="18" spans="1:6" x14ac:dyDescent="0.25">
      <c r="A18" s="1" t="s">
        <v>56</v>
      </c>
      <c r="B18" s="1">
        <f>COUNTIF($X$3:$X$12,A18)</f>
        <v>5</v>
      </c>
      <c r="C18" s="1">
        <f>(3*$B$17)+(2*$B$18)+$B$19</f>
        <v>22</v>
      </c>
      <c r="F18" s="6"/>
    </row>
    <row r="19" spans="1:6" x14ac:dyDescent="0.25">
      <c r="A19" s="1" t="s">
        <v>57</v>
      </c>
      <c r="B19" s="1">
        <f>COUNTIF($X$3:$X$12,A19)</f>
        <v>0</v>
      </c>
      <c r="C19" s="1">
        <f>(3*$B$17)+(2*$B$18)+$B$19</f>
        <v>22</v>
      </c>
      <c r="F19" s="6"/>
    </row>
    <row r="20" spans="1:6" x14ac:dyDescent="0.25">
      <c r="A20" s="1"/>
      <c r="B20" s="1">
        <f>SUM(B17:B19)</f>
        <v>9</v>
      </c>
      <c r="C20" s="1"/>
      <c r="F20" s="7"/>
    </row>
    <row r="22" spans="1:6" x14ac:dyDescent="0.25">
      <c r="A22" s="8" t="s">
        <v>61</v>
      </c>
      <c r="B22" s="8" t="s">
        <v>62</v>
      </c>
    </row>
    <row r="23" spans="1:6" x14ac:dyDescent="0.25">
      <c r="A23" s="1" t="s">
        <v>18</v>
      </c>
      <c r="B23" s="78">
        <f>'Montos BD 2020'!J26</f>
        <v>18539119.5</v>
      </c>
    </row>
    <row r="24" spans="1:6" x14ac:dyDescent="0.25">
      <c r="A24" s="8" t="s">
        <v>26</v>
      </c>
      <c r="B24" s="8" t="s">
        <v>63</v>
      </c>
      <c r="C24" s="8" t="s">
        <v>75</v>
      </c>
    </row>
    <row r="25" spans="1:6" x14ac:dyDescent="0.25">
      <c r="A25" s="1" t="s">
        <v>55</v>
      </c>
      <c r="B25" s="72">
        <f>($B$23*3*B17)/C17</f>
        <v>10112247</v>
      </c>
      <c r="C25" s="72">
        <f>ROUND(B25,0)</f>
        <v>10112247</v>
      </c>
    </row>
    <row r="26" spans="1:6" x14ac:dyDescent="0.25">
      <c r="A26" s="1" t="s">
        <v>56</v>
      </c>
      <c r="B26" s="72">
        <f>($B$23*2*B18)/C18</f>
        <v>8426872.5</v>
      </c>
      <c r="C26" s="72">
        <f>ROUND(B26,0)</f>
        <v>8426873</v>
      </c>
    </row>
    <row r="27" spans="1:6" x14ac:dyDescent="0.25">
      <c r="A27" s="1" t="s">
        <v>57</v>
      </c>
      <c r="B27" s="72">
        <f>($B$23*1*B19)/C19</f>
        <v>0</v>
      </c>
      <c r="C27" s="72">
        <f>ROUND(B27,0)</f>
        <v>0</v>
      </c>
    </row>
    <row r="28" spans="1:6" x14ac:dyDescent="0.25">
      <c r="B28" s="73">
        <f>SUM(B25:B27)</f>
        <v>18539119.5</v>
      </c>
      <c r="C28" s="73">
        <f>SUM(C25:C27)</f>
        <v>18539120</v>
      </c>
    </row>
  </sheetData>
  <mergeCells count="2">
    <mergeCell ref="D2:I2"/>
    <mergeCell ref="J2:T2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ignoredErrors>
    <ignoredError sqref="D13:V13 T5:T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2:AA20"/>
  <sheetViews>
    <sheetView topLeftCell="A4" workbookViewId="0">
      <selection activeCell="A21" sqref="A21"/>
    </sheetView>
  </sheetViews>
  <sheetFormatPr baseColWidth="10" defaultRowHeight="15" x14ac:dyDescent="0.25"/>
  <cols>
    <col min="1" max="1" width="46.5703125" bestFit="1" customWidth="1"/>
    <col min="4" max="4" width="12.85546875" customWidth="1"/>
  </cols>
  <sheetData>
    <row r="2" spans="1:27" x14ac:dyDescent="0.25">
      <c r="E2" s="112">
        <v>1</v>
      </c>
      <c r="F2" s="112">
        <v>2</v>
      </c>
      <c r="G2" s="112">
        <v>3</v>
      </c>
      <c r="H2" s="112">
        <v>4</v>
      </c>
      <c r="I2" s="112">
        <v>5</v>
      </c>
      <c r="J2" s="112">
        <v>6</v>
      </c>
      <c r="K2" s="112">
        <v>7</v>
      </c>
      <c r="L2" s="112">
        <v>8</v>
      </c>
      <c r="M2" s="112">
        <v>9</v>
      </c>
      <c r="N2" s="112">
        <v>10</v>
      </c>
      <c r="O2" s="112">
        <v>11</v>
      </c>
      <c r="P2" s="112">
        <v>12</v>
      </c>
      <c r="Q2" s="112">
        <v>13</v>
      </c>
      <c r="R2" s="112">
        <v>14</v>
      </c>
      <c r="S2" s="112">
        <v>15</v>
      </c>
      <c r="T2" s="112">
        <v>16</v>
      </c>
      <c r="U2" s="112">
        <v>17</v>
      </c>
      <c r="V2" s="112">
        <v>18</v>
      </c>
      <c r="W2" s="112">
        <v>19</v>
      </c>
      <c r="X2" s="112">
        <v>20</v>
      </c>
      <c r="Y2" s="112">
        <v>21</v>
      </c>
    </row>
    <row r="3" spans="1:27" ht="33.75" x14ac:dyDescent="0.25">
      <c r="A3" s="23" t="s">
        <v>9</v>
      </c>
      <c r="B3" s="23" t="s">
        <v>1</v>
      </c>
      <c r="C3" s="23" t="s">
        <v>17</v>
      </c>
      <c r="D3" s="8" t="s">
        <v>26</v>
      </c>
      <c r="E3" s="154" t="s">
        <v>158</v>
      </c>
      <c r="F3" s="154" t="s">
        <v>159</v>
      </c>
      <c r="G3" s="154" t="s">
        <v>160</v>
      </c>
      <c r="H3" s="155" t="s">
        <v>161</v>
      </c>
      <c r="I3" s="154" t="s">
        <v>165</v>
      </c>
      <c r="J3" s="154" t="s">
        <v>166</v>
      </c>
      <c r="K3" s="156" t="s">
        <v>155</v>
      </c>
      <c r="L3" s="156" t="s">
        <v>156</v>
      </c>
      <c r="M3" s="156" t="s">
        <v>157</v>
      </c>
      <c r="N3" s="157" t="s">
        <v>167</v>
      </c>
      <c r="O3" s="158" t="s">
        <v>168</v>
      </c>
      <c r="P3" s="158" t="s">
        <v>169</v>
      </c>
      <c r="Q3" s="156" t="s">
        <v>170</v>
      </c>
      <c r="R3" s="159" t="s">
        <v>171</v>
      </c>
      <c r="S3" s="158" t="s">
        <v>172</v>
      </c>
      <c r="T3" s="160" t="s">
        <v>173</v>
      </c>
      <c r="U3" s="161" t="s">
        <v>84</v>
      </c>
      <c r="V3" s="161" t="s">
        <v>133</v>
      </c>
      <c r="W3" s="161" t="s">
        <v>174</v>
      </c>
      <c r="X3" s="162" t="s">
        <v>175</v>
      </c>
      <c r="Y3" s="162" t="s">
        <v>134</v>
      </c>
    </row>
    <row r="4" spans="1:27" x14ac:dyDescent="0.25">
      <c r="A4" s="49" t="str">
        <f>Categorías!A4</f>
        <v>PONTIFICIA UNIVERSIDAD CATÓLICA DE CHILE</v>
      </c>
      <c r="B4" s="49" t="str">
        <f>Categorías!B4</f>
        <v>PUC</v>
      </c>
      <c r="C4" s="50" t="str">
        <f>Categorías!C4</f>
        <v>CRUCH-PRIVADA</v>
      </c>
      <c r="D4" s="49" t="str">
        <f>Categorías!W4</f>
        <v>Categoría I</v>
      </c>
      <c r="E4" s="163">
        <f>IFERROR(VLOOKUP(B4,'[3]Indicador a)'!$C$2:$F$60,3,0),0)</f>
        <v>1572</v>
      </c>
      <c r="F4" s="163">
        <f>IFERROR(VLOOKUP(B4,'[3]Indicador a)'!$C$2:$F$60,4,0),0)</f>
        <v>31606</v>
      </c>
      <c r="G4" s="163">
        <f>IFERROR(VLOOKUP(B4,'[3]Indicador b)'!$C$2:$F$60,3,0),0)</f>
        <v>1059.6818181818178</v>
      </c>
      <c r="H4" s="163">
        <f>IFERROR(VLOOKUP(B4,'[3]Indicador b)'!$C$2:$F$60,4,0),0)</f>
        <v>2242.8409090909086</v>
      </c>
      <c r="I4" s="163">
        <f>IFERROR(VLOOKUP(B4,'[3]Indicador c)'!$C$2:$H$60,4,0),0)</f>
        <v>499.15909090909099</v>
      </c>
      <c r="J4" s="163">
        <f>IFERROR(VLOOKUP(B4,'[3]Indicador c)'!$C$2:$H$60,5,0),0)</f>
        <v>411.74999999999977</v>
      </c>
      <c r="K4" s="163">
        <f>IFERROR(VLOOKUP(B4,[2]SCOPUS!$B$6:$M$32,11,0),0)</f>
        <v>2379</v>
      </c>
      <c r="L4" s="163">
        <f>IFERROR(VLOOKUP(B4,[2]SCOPUS!$B$6:$O$32,14,0),0)</f>
        <v>112079</v>
      </c>
      <c r="M4" s="163">
        <f>IFERROR(VLOOKUP(B4,[2]SCOPUS!$B$6:$O$32,13,0),0)</f>
        <v>11511</v>
      </c>
      <c r="N4" s="164">
        <f>IFERROR(VLOOKUP(B4,'[3]Indicador g)'!$D$10:$AD$76,26,0),0)</f>
        <v>1447</v>
      </c>
      <c r="O4" s="164">
        <f>IFERROR(VLOOKUP(B4,'[3]Indicador g)'!$D$10:$AD$76,18,0),0)</f>
        <v>5658</v>
      </c>
      <c r="P4" s="164">
        <f>IFERROR(VLOOKUP(B4,'[3]Indicador h)'!$D$11:$AC$37,25,0),0)</f>
        <v>4899</v>
      </c>
      <c r="Q4" s="164">
        <f>IFERROR(VLOOKUP(B4,'[3]Indicador h)'!$D$11:$AC$37,17,0),0)</f>
        <v>5544</v>
      </c>
      <c r="R4" s="165">
        <f>IFERROR(VLOOKUP(B4,'[3]Indicador i.1)'!$D$10:$Z$36,22,0),0)</f>
        <v>3991</v>
      </c>
      <c r="S4" s="165">
        <f>IFERROR(VLOOKUP(B4,'[3]Indicador i.1)'!$D$10:$Z$36,15,0),0)</f>
        <v>5270</v>
      </c>
      <c r="T4" s="163">
        <f>IFERROR(VLOOKUP(B4,'[3]Indicador j)'!$D$8:$M$25,10,0),0)</f>
        <v>27</v>
      </c>
      <c r="U4" s="163">
        <v>169</v>
      </c>
      <c r="V4" s="163">
        <v>171</v>
      </c>
      <c r="W4" s="163">
        <f>IFERROR(VLOOKUP(B4,'[3]Indicador j)'!$D$8:$F$25,3,0),0)</f>
        <v>160</v>
      </c>
      <c r="X4" s="163">
        <f>IFERROR(VLOOKUP(B4,[4]Hoja1!$B$5:$C$22,2,0),0)</f>
        <v>34</v>
      </c>
      <c r="Y4" s="163">
        <v>11</v>
      </c>
      <c r="Z4" s="51"/>
      <c r="AA4" s="52"/>
    </row>
    <row r="5" spans="1:27" x14ac:dyDescent="0.25">
      <c r="A5" s="49" t="str">
        <f>Categorías!A5</f>
        <v>PONTIFICIA UNIVERSIDAD CATÓLICA DE VALPARAÍSO</v>
      </c>
      <c r="B5" s="49" t="str">
        <f>Categorías!B5</f>
        <v>UCV</v>
      </c>
      <c r="C5" s="50" t="str">
        <f>Categorías!C5</f>
        <v>CRUCH-PRIVADA</v>
      </c>
      <c r="D5" s="49" t="str">
        <f>Categorías!W5</f>
        <v>Categoría I</v>
      </c>
      <c r="E5" s="163">
        <f>IFERROR(VLOOKUP(B5,'[3]Indicador a)'!$C$2:$F$60,3,0),0)</f>
        <v>522</v>
      </c>
      <c r="F5" s="163">
        <f>IFERROR(VLOOKUP(B5,'[3]Indicador a)'!$C$2:$F$60,4,0),0)</f>
        <v>16672</v>
      </c>
      <c r="G5" s="163">
        <f>IFERROR(VLOOKUP(B5,'[3]Indicador b)'!$C$2:$F$60,3,0),0)</f>
        <v>417.15340909090895</v>
      </c>
      <c r="H5" s="163">
        <f>IFERROR(VLOOKUP(B5,'[3]Indicador b)'!$C$2:$F$60,4,0),0)</f>
        <v>659.86931818181836</v>
      </c>
      <c r="I5" s="163">
        <f>IFERROR(VLOOKUP(B5,'[3]Indicador c)'!$C$2:$H$60,4,0),0)</f>
        <v>142.94886363636377</v>
      </c>
      <c r="J5" s="163">
        <f>IFERROR(VLOOKUP(B5,'[3]Indicador c)'!$C$2:$H$60,5,0),0)</f>
        <v>0.44318181818181818</v>
      </c>
      <c r="K5" s="163">
        <f>IFERROR(VLOOKUP(B5,[2]SCOPUS!$B$6:$M$32,11,0),0)</f>
        <v>787</v>
      </c>
      <c r="L5" s="163">
        <f>IFERROR(VLOOKUP(B5,[2]SCOPUS!$B$6:$O$32,14,0),0)</f>
        <v>16058</v>
      </c>
      <c r="M5" s="163">
        <f>IFERROR(VLOOKUP(B5,[2]SCOPUS!$B$6:$O$32,13,0),0)</f>
        <v>3088</v>
      </c>
      <c r="N5" s="164">
        <f>IFERROR(VLOOKUP(B5,'[3]Indicador g)'!$D$10:$AD$76,26,0),0)</f>
        <v>2002</v>
      </c>
      <c r="O5" s="164">
        <f>IFERROR(VLOOKUP(B5,'[3]Indicador g)'!$D$10:$AD$76,18,0),0)</f>
        <v>3570</v>
      </c>
      <c r="P5" s="164">
        <f>IFERROR(VLOOKUP(B5,'[3]Indicador h)'!$D$11:$AC$37,25,0),0)</f>
        <v>2782</v>
      </c>
      <c r="Q5" s="164">
        <f>IFERROR(VLOOKUP(B5,'[3]Indicador h)'!$D$11:$AC$37,17,0),0)</f>
        <v>3394</v>
      </c>
      <c r="R5" s="165">
        <f>IFERROR(VLOOKUP(B5,'[3]Indicador i.1)'!$D$10:$Z$36,22,0),0)</f>
        <v>2080</v>
      </c>
      <c r="S5" s="165">
        <f>IFERROR(VLOOKUP(B5,'[3]Indicador i.1)'!$D$10:$Z$36,15,0),0)</f>
        <v>3193</v>
      </c>
      <c r="T5" s="163">
        <f>IFERROR(VLOOKUP(B5,'[3]Indicador j)'!$D$8:$M$25,10,0),0)</f>
        <v>10</v>
      </c>
      <c r="U5" s="163">
        <v>37</v>
      </c>
      <c r="V5" s="163">
        <v>51</v>
      </c>
      <c r="W5" s="163">
        <f>IFERROR(VLOOKUP(B5,'[3]Indicador j)'!$D$8:$F$25,3,0),0)</f>
        <v>47</v>
      </c>
      <c r="X5" s="163">
        <f>IFERROR(VLOOKUP(B5,[4]Hoja1!$B$5:$C$22,2,0),0)</f>
        <v>0</v>
      </c>
      <c r="Y5" s="163">
        <v>0</v>
      </c>
      <c r="Z5" s="51"/>
      <c r="AA5" s="52"/>
    </row>
    <row r="6" spans="1:27" x14ac:dyDescent="0.25">
      <c r="A6" s="49" t="str">
        <f>Categorías!A6</f>
        <v>UNIVERSIDAD AUSTRAL DE CHILE</v>
      </c>
      <c r="B6" s="49" t="str">
        <f>Categorías!B6</f>
        <v>AUS</v>
      </c>
      <c r="C6" s="50" t="str">
        <f>Categorías!C6</f>
        <v>CRUCH-PRIVADA</v>
      </c>
      <c r="D6" s="49" t="str">
        <f>Categorías!W6</f>
        <v>Categoría I</v>
      </c>
      <c r="E6" s="163">
        <f>IFERROR(VLOOKUP(B6,'[3]Indicador a)'!$C$2:$F$60,3,0),0)</f>
        <v>748</v>
      </c>
      <c r="F6" s="163">
        <f>IFERROR(VLOOKUP(B6,'[3]Indicador a)'!$C$2:$F$60,4,0),0)</f>
        <v>15934</v>
      </c>
      <c r="G6" s="163">
        <f>IFERROR(VLOOKUP(B6,'[3]Indicador b)'!$C$2:$F$60,3,0),0)</f>
        <v>410.68181818181813</v>
      </c>
      <c r="H6" s="163">
        <f>IFERROR(VLOOKUP(B6,'[3]Indicador b)'!$C$2:$F$60,4,0),0)</f>
        <v>918.22727272727263</v>
      </c>
      <c r="I6" s="163">
        <f>IFERROR(VLOOKUP(B6,'[3]Indicador c)'!$C$2:$H$60,4,0),0)</f>
        <v>260.40909090909088</v>
      </c>
      <c r="J6" s="163">
        <f>IFERROR(VLOOKUP(B6,'[3]Indicador c)'!$C$2:$H$60,5,0),0)</f>
        <v>59.181818181818187</v>
      </c>
      <c r="K6" s="163">
        <f>IFERROR(VLOOKUP(B6,[2]SCOPUS!$B$6:$M$32,11,0),0)</f>
        <v>712</v>
      </c>
      <c r="L6" s="163">
        <f>IFERROR(VLOOKUP(B6,[2]SCOPUS!$B$6:$O$32,14,0),0)</f>
        <v>20024</v>
      </c>
      <c r="M6" s="163">
        <f>IFERROR(VLOOKUP(B6,[2]SCOPUS!$B$6:$O$32,13,0),0)</f>
        <v>2788</v>
      </c>
      <c r="N6" s="164">
        <f>IFERROR(VLOOKUP(B6,'[3]Indicador g)'!$D$10:$AD$76,26,0),0)</f>
        <v>1982</v>
      </c>
      <c r="O6" s="164">
        <f>IFERROR(VLOOKUP(B6,'[3]Indicador g)'!$D$10:$AD$76,18,0),0)</f>
        <v>3077</v>
      </c>
      <c r="P6" s="164">
        <f>IFERROR(VLOOKUP(B6,'[3]Indicador h)'!$D$11:$AC$37,25,0),0)</f>
        <v>2521</v>
      </c>
      <c r="Q6" s="164">
        <f>IFERROR(VLOOKUP(B6,'[3]Indicador h)'!$D$11:$AC$37,17,0),0)</f>
        <v>2942</v>
      </c>
      <c r="R6" s="165">
        <f>IFERROR(VLOOKUP(B6,'[3]Indicador i.1)'!$D$10:$Z$36,22,0),0)</f>
        <v>1977</v>
      </c>
      <c r="S6" s="165">
        <f>IFERROR(VLOOKUP(B6,'[3]Indicador i.1)'!$D$10:$Z$36,15,0),0)</f>
        <v>2908</v>
      </c>
      <c r="T6" s="163">
        <f>IFERROR(VLOOKUP(B6,'[3]Indicador j)'!$D$8:$M$25,10,0),0)</f>
        <v>7</v>
      </c>
      <c r="U6" s="163">
        <v>42</v>
      </c>
      <c r="V6" s="163">
        <v>36</v>
      </c>
      <c r="W6" s="163">
        <f>IFERROR(VLOOKUP(B6,'[3]Indicador j)'!$D$8:$F$25,3,0),0)</f>
        <v>48</v>
      </c>
      <c r="X6" s="163">
        <f>IFERROR(VLOOKUP(B6,[4]Hoja1!$B$5:$C$22,2,0),0)</f>
        <v>0</v>
      </c>
      <c r="Y6" s="163">
        <v>1</v>
      </c>
      <c r="Z6" s="51"/>
      <c r="AA6" s="52"/>
    </row>
    <row r="7" spans="1:27" x14ac:dyDescent="0.25">
      <c r="A7" s="49" t="str">
        <f>Categorías!A7</f>
        <v>UNIVERSIDAD CATÓLICA DE LA SANTÍSIMA CONCEPCIÓN</v>
      </c>
      <c r="B7" s="49" t="str">
        <f>Categorías!B7</f>
        <v>USC</v>
      </c>
      <c r="C7" s="50" t="str">
        <f>Categorías!C7</f>
        <v>CRUCH-PRIVADA</v>
      </c>
      <c r="D7" s="49" t="str">
        <f>Categorías!W7</f>
        <v>Categoría II</v>
      </c>
      <c r="E7" s="163">
        <f>IFERROR(VLOOKUP(B7,'[3]Indicador a)'!$C$2:$F$60,3,0),0)</f>
        <v>300</v>
      </c>
      <c r="F7" s="163">
        <f>IFERROR(VLOOKUP(B7,'[3]Indicador a)'!$C$2:$F$60,4,0),0)</f>
        <v>14041</v>
      </c>
      <c r="G7" s="163">
        <f>IFERROR(VLOOKUP(B7,'[3]Indicador b)'!$C$2:$F$60,3,0),0)</f>
        <v>149.70454545454538</v>
      </c>
      <c r="H7" s="163">
        <f>IFERROR(VLOOKUP(B7,'[3]Indicador b)'!$C$2:$F$60,4,0),0)</f>
        <v>500.5227272727268</v>
      </c>
      <c r="I7" s="163">
        <f>IFERROR(VLOOKUP(B7,'[3]Indicador c)'!$C$2:$H$60,4,0),0)</f>
        <v>174.45454545454513</v>
      </c>
      <c r="J7" s="163">
        <f>IFERROR(VLOOKUP(B7,'[3]Indicador c)'!$C$2:$H$60,5,0),0)</f>
        <v>28.886363636363637</v>
      </c>
      <c r="K7" s="163">
        <f>IFERROR(VLOOKUP(B7,[2]SCOPUS!$B$6:$M$32,11,0),0)</f>
        <v>195</v>
      </c>
      <c r="L7" s="163">
        <f>IFERROR(VLOOKUP(B7,[2]SCOPUS!$B$6:$O$32,14,0),0)</f>
        <v>2480</v>
      </c>
      <c r="M7" s="163">
        <f>IFERROR(VLOOKUP(B7,[2]SCOPUS!$B$6:$O$32,13,0),0)</f>
        <v>607</v>
      </c>
      <c r="N7" s="164">
        <f>IFERROR(VLOOKUP(B7,'[3]Indicador g)'!$D$10:$AD$76,26,0),0)</f>
        <v>1514</v>
      </c>
      <c r="O7" s="164">
        <f>IFERROR(VLOOKUP(B7,'[3]Indicador g)'!$D$10:$AD$76,18,0),0)</f>
        <v>1977</v>
      </c>
      <c r="P7" s="164">
        <f>IFERROR(VLOOKUP(B7,'[3]Indicador h)'!$D$11:$AC$37,25,0),0)</f>
        <v>1645</v>
      </c>
      <c r="Q7" s="164">
        <f>IFERROR(VLOOKUP(B7,'[3]Indicador h)'!$D$11:$AC$37,17,0),0)</f>
        <v>1852</v>
      </c>
      <c r="R7" s="165">
        <f>IFERROR(VLOOKUP(B7,'[3]Indicador i.1)'!$D$10:$Z$36,22,0),0)</f>
        <v>1294</v>
      </c>
      <c r="S7" s="165">
        <f>IFERROR(VLOOKUP(B7,'[3]Indicador i.1)'!$D$10:$Z$36,15,0),0)</f>
        <v>1780</v>
      </c>
      <c r="T7" s="163">
        <f>IFERROR(VLOOKUP(B7,'[3]Indicador j)'!$D$8:$M$25,10,0),0)</f>
        <v>0</v>
      </c>
      <c r="U7" s="163">
        <v>0</v>
      </c>
      <c r="V7" s="163">
        <v>0</v>
      </c>
      <c r="W7" s="163">
        <f>IFERROR(VLOOKUP(B7,'[3]Indicador j)'!$D$8:$F$25,3,0),0)</f>
        <v>5</v>
      </c>
      <c r="X7" s="163">
        <f>IFERROR(VLOOKUP(B7,[4]Hoja1!$B$5:$C$22,2,0),0)</f>
        <v>0</v>
      </c>
      <c r="Y7" s="163">
        <v>0</v>
      </c>
      <c r="Z7" s="51"/>
      <c r="AA7" s="52"/>
    </row>
    <row r="8" spans="1:27" x14ac:dyDescent="0.25">
      <c r="A8" s="49" t="str">
        <f>Categorías!A8</f>
        <v>UNIVERSIDAD CATÓLICA DE TEMUCO</v>
      </c>
      <c r="B8" s="49" t="str">
        <f>Categorías!B8</f>
        <v>UCT</v>
      </c>
      <c r="C8" s="50" t="str">
        <f>Categorías!C8</f>
        <v>CRUCH-PRIVADA</v>
      </c>
      <c r="D8" s="49" t="str">
        <f>Categorías!W8</f>
        <v>Categoría II</v>
      </c>
      <c r="E8" s="163">
        <f>IFERROR(VLOOKUP(B8,'[3]Indicador a)'!$C$2:$F$60,3,0),0)</f>
        <v>335</v>
      </c>
      <c r="F8" s="163">
        <f>IFERROR(VLOOKUP(B8,'[3]Indicador a)'!$C$2:$F$60,4,0),0)</f>
        <v>11327</v>
      </c>
      <c r="G8" s="163">
        <f>IFERROR(VLOOKUP(B8,'[3]Indicador b)'!$C$2:$F$60,3,0),0)</f>
        <v>161.28409090909088</v>
      </c>
      <c r="H8" s="163">
        <f>IFERROR(VLOOKUP(B8,'[3]Indicador b)'!$C$2:$F$60,4,0),0)</f>
        <v>486.65795454545474</v>
      </c>
      <c r="I8" s="163">
        <f>IFERROR(VLOOKUP(B8,'[3]Indicador c)'!$C$2:$H$60,4,0),0)</f>
        <v>181.64909090909106</v>
      </c>
      <c r="J8" s="163">
        <f>IFERROR(VLOOKUP(B8,'[3]Indicador c)'!$C$2:$H$60,5,0),0)</f>
        <v>0.81818181818181812</v>
      </c>
      <c r="K8" s="163">
        <f>IFERROR(VLOOKUP(B8,[2]SCOPUS!$B$6:$M$32,11,0),0)</f>
        <v>193</v>
      </c>
      <c r="L8" s="163">
        <f>IFERROR(VLOOKUP(B8,[2]SCOPUS!$B$6:$O$32,14,0),0)</f>
        <v>2640</v>
      </c>
      <c r="M8" s="163">
        <f>IFERROR(VLOOKUP(B8,[2]SCOPUS!$B$6:$O$32,13,0),0)</f>
        <v>710</v>
      </c>
      <c r="N8" s="164">
        <f>IFERROR(VLOOKUP(B8,'[3]Indicador g)'!$D$10:$AD$76,26,0),0)</f>
        <v>1550</v>
      </c>
      <c r="O8" s="164">
        <f>IFERROR(VLOOKUP(B8,'[3]Indicador g)'!$D$10:$AD$76,18,0),0)</f>
        <v>1956</v>
      </c>
      <c r="P8" s="164">
        <f>IFERROR(VLOOKUP(B8,'[3]Indicador h)'!$D$11:$AC$37,25,0),0)</f>
        <v>1599</v>
      </c>
      <c r="Q8" s="164">
        <f>IFERROR(VLOOKUP(B8,'[3]Indicador h)'!$D$11:$AC$37,17,0),0)</f>
        <v>1886</v>
      </c>
      <c r="R8" s="165">
        <f>IFERROR(VLOOKUP(B8,'[3]Indicador i.1)'!$D$10:$Z$36,22,0),0)</f>
        <v>1177</v>
      </c>
      <c r="S8" s="165">
        <f>IFERROR(VLOOKUP(B8,'[3]Indicador i.1)'!$D$10:$Z$36,15,0),0)</f>
        <v>1754</v>
      </c>
      <c r="T8" s="163">
        <f>IFERROR(VLOOKUP(B8,'[3]Indicador j)'!$D$8:$M$25,10,0),0)</f>
        <v>0</v>
      </c>
      <c r="U8" s="163">
        <v>0</v>
      </c>
      <c r="V8" s="163">
        <v>0</v>
      </c>
      <c r="W8" s="163">
        <f>IFERROR(VLOOKUP(B8,'[3]Indicador j)'!$D$8:$F$25,3,0),0)</f>
        <v>0</v>
      </c>
      <c r="X8" s="163">
        <f>IFERROR(VLOOKUP(B8,[4]Hoja1!$B$5:$C$22,2,0),0)</f>
        <v>0</v>
      </c>
      <c r="Y8" s="163">
        <v>0</v>
      </c>
      <c r="Z8" s="51"/>
      <c r="AA8" s="52"/>
    </row>
    <row r="9" spans="1:27" x14ac:dyDescent="0.25">
      <c r="A9" s="49" t="str">
        <f>Categorías!A9</f>
        <v>UNIVERSIDAD CATÓLICA DEL MAULE</v>
      </c>
      <c r="B9" s="49" t="str">
        <f>Categorías!B9</f>
        <v>UCM</v>
      </c>
      <c r="C9" s="50" t="str">
        <f>Categorías!C9</f>
        <v>CRUCH-PRIVADA</v>
      </c>
      <c r="D9" s="49" t="str">
        <f>Categorías!W9</f>
        <v>Categoría II</v>
      </c>
      <c r="E9" s="163">
        <f>IFERROR(VLOOKUP(B9,'[3]Indicador a)'!$C$2:$F$60,3,0),0)</f>
        <v>295</v>
      </c>
      <c r="F9" s="163">
        <f>IFERROR(VLOOKUP(B9,'[3]Indicador a)'!$C$2:$F$60,4,0),0)</f>
        <v>8613</v>
      </c>
      <c r="G9" s="163">
        <f>IFERROR(VLOOKUP(B9,'[3]Indicador b)'!$C$2:$F$60,3,0),0)</f>
        <v>146.59090909090909</v>
      </c>
      <c r="H9" s="163">
        <f>IFERROR(VLOOKUP(B9,'[3]Indicador b)'!$C$2:$F$60,4,0),0)</f>
        <v>411.21363636363645</v>
      </c>
      <c r="I9" s="163">
        <f>IFERROR(VLOOKUP(B9,'[3]Indicador c)'!$C$2:$H$60,4,0),0)</f>
        <v>147.13636363636371</v>
      </c>
      <c r="J9" s="163">
        <f>IFERROR(VLOOKUP(B9,'[3]Indicador c)'!$C$2:$H$60,5,0),0)</f>
        <v>28.93181818181818</v>
      </c>
      <c r="K9" s="163">
        <f>IFERROR(VLOOKUP(B9,[2]SCOPUS!$B$6:$M$32,11,0),0)</f>
        <v>190</v>
      </c>
      <c r="L9" s="163">
        <f>IFERROR(VLOOKUP(B9,[2]SCOPUS!$B$6:$O$32,14,0),0)</f>
        <v>2045</v>
      </c>
      <c r="M9" s="163">
        <f>IFERROR(VLOOKUP(B9,[2]SCOPUS!$B$6:$O$32,13,0),0)</f>
        <v>575</v>
      </c>
      <c r="N9" s="164">
        <f>IFERROR(VLOOKUP(B9,'[3]Indicador g)'!$D$10:$AD$76,26,0),0)</f>
        <v>1637</v>
      </c>
      <c r="O9" s="164">
        <f>IFERROR(VLOOKUP(B9,'[3]Indicador g)'!$D$10:$AD$76,18,0),0)</f>
        <v>2122</v>
      </c>
      <c r="P9" s="164">
        <f>IFERROR(VLOOKUP(B9,'[3]Indicador h)'!$D$11:$AC$37,25,0),0)</f>
        <v>1592</v>
      </c>
      <c r="Q9" s="164">
        <f>IFERROR(VLOOKUP(B9,'[3]Indicador h)'!$D$11:$AC$37,17,0),0)</f>
        <v>1872</v>
      </c>
      <c r="R9" s="165">
        <f>IFERROR(VLOOKUP(B9,'[3]Indicador i.1)'!$D$10:$Z$36,22,0),0)</f>
        <v>1093</v>
      </c>
      <c r="S9" s="165">
        <f>IFERROR(VLOOKUP(B9,'[3]Indicador i.1)'!$D$10:$Z$36,15,0),0)</f>
        <v>1413</v>
      </c>
      <c r="T9" s="163">
        <f>IFERROR(VLOOKUP(B9,'[3]Indicador j)'!$D$8:$M$25,10,0),0)</f>
        <v>0</v>
      </c>
      <c r="U9" s="163">
        <v>0</v>
      </c>
      <c r="V9" s="163">
        <v>0</v>
      </c>
      <c r="W9" s="163">
        <f>IFERROR(VLOOKUP(B9,'[3]Indicador j)'!$D$8:$F$25,3,0),0)</f>
        <v>5</v>
      </c>
      <c r="X9" s="163">
        <f>IFERROR(VLOOKUP(B9,[4]Hoja1!$B$5:$C$22,2,0),0)</f>
        <v>1</v>
      </c>
      <c r="Y9" s="163">
        <v>0</v>
      </c>
      <c r="Z9" s="51"/>
      <c r="AA9" s="52"/>
    </row>
    <row r="10" spans="1:27" x14ac:dyDescent="0.25">
      <c r="A10" s="49" t="str">
        <f>Categorías!A10</f>
        <v>UNIVERSIDAD CATÓLICA DEL NORTE</v>
      </c>
      <c r="B10" s="49" t="str">
        <f>Categorías!B10</f>
        <v>UCN</v>
      </c>
      <c r="C10" s="50" t="str">
        <f>Categorías!C10</f>
        <v>CRUCH-PRIVADA</v>
      </c>
      <c r="D10" s="49" t="str">
        <f>Categorías!W10</f>
        <v>Categoría II</v>
      </c>
      <c r="E10" s="163">
        <f>IFERROR(VLOOKUP(B10,'[3]Indicador a)'!$C$2:$F$60,3,0),0)</f>
        <v>450</v>
      </c>
      <c r="F10" s="163">
        <f>IFERROR(VLOOKUP(B10,'[3]Indicador a)'!$C$2:$F$60,4,0),0)</f>
        <v>11357</v>
      </c>
      <c r="G10" s="163">
        <f>IFERROR(VLOOKUP(B10,'[3]Indicador b)'!$C$2:$F$60,3,0),0)</f>
        <v>218.44090909090912</v>
      </c>
      <c r="H10" s="163">
        <f>IFERROR(VLOOKUP(B10,'[3]Indicador b)'!$C$2:$F$60,4,0),0)</f>
        <v>635.52803030318205</v>
      </c>
      <c r="I10" s="163">
        <f>IFERROR(VLOOKUP(B10,'[3]Indicador c)'!$C$2:$H$60,4,0),0)</f>
        <v>166.81666666681829</v>
      </c>
      <c r="J10" s="163">
        <f>IFERROR(VLOOKUP(B10,'[3]Indicador c)'!$C$2:$H$60,5,0),0)</f>
        <v>23.93181818181818</v>
      </c>
      <c r="K10" s="163">
        <f>IFERROR(VLOOKUP(B10,[2]SCOPUS!$B$6:$M$32,11,0),0)</f>
        <v>454</v>
      </c>
      <c r="L10" s="163">
        <f>IFERROR(VLOOKUP(B10,[2]SCOPUS!$B$6:$O$32,14,0),0)</f>
        <v>10025</v>
      </c>
      <c r="M10" s="163">
        <f>IFERROR(VLOOKUP(B10,[2]SCOPUS!$B$6:$O$32,13,0),0)</f>
        <v>1803</v>
      </c>
      <c r="N10" s="164">
        <f>IFERROR(VLOOKUP(B10,'[3]Indicador g)'!$D$10:$AD$76,26,0),0)</f>
        <v>1076</v>
      </c>
      <c r="O10" s="164">
        <f>IFERROR(VLOOKUP(B10,'[3]Indicador g)'!$D$10:$AD$76,18,0),0)</f>
        <v>2173</v>
      </c>
      <c r="P10" s="164">
        <f>IFERROR(VLOOKUP(B10,'[3]Indicador h)'!$D$11:$AC$37,25,0),0)</f>
        <v>1742</v>
      </c>
      <c r="Q10" s="164">
        <f>IFERROR(VLOOKUP(B10,'[3]Indicador h)'!$D$11:$AC$37,17,0),0)</f>
        <v>2152</v>
      </c>
      <c r="R10" s="165">
        <f>IFERROR(VLOOKUP(B10,'[3]Indicador i.1)'!$D$10:$Z$36,22,0),0)</f>
        <v>1105</v>
      </c>
      <c r="S10" s="165">
        <f>IFERROR(VLOOKUP(B10,'[3]Indicador i.1)'!$D$10:$Z$36,15,0),0)</f>
        <v>1949</v>
      </c>
      <c r="T10" s="163">
        <f>IFERROR(VLOOKUP(B10,'[3]Indicador j)'!$D$8:$M$25,10,0),0)</f>
        <v>3</v>
      </c>
      <c r="U10" s="163">
        <v>4</v>
      </c>
      <c r="V10" s="163">
        <v>12</v>
      </c>
      <c r="W10" s="163">
        <f>IFERROR(VLOOKUP(B10,'[3]Indicador j)'!$D$8:$F$25,3,0),0)</f>
        <v>16</v>
      </c>
      <c r="X10" s="163">
        <f>IFERROR(VLOOKUP(B10,[4]Hoja1!$B$5:$C$22,2,0),0)</f>
        <v>3</v>
      </c>
      <c r="Y10" s="163">
        <v>1</v>
      </c>
      <c r="Z10" s="51"/>
      <c r="AA10" s="52"/>
    </row>
    <row r="11" spans="1:27" x14ac:dyDescent="0.25">
      <c r="A11" s="49" t="str">
        <f>Categorías!A11</f>
        <v>UNIVERSIDAD DE CONCEPCIÓN</v>
      </c>
      <c r="B11" s="49" t="str">
        <f>Categorías!B11</f>
        <v>UCO</v>
      </c>
      <c r="C11" s="50" t="str">
        <f>Categorías!C11</f>
        <v>CRUCH-PRIVADA</v>
      </c>
      <c r="D11" s="49" t="str">
        <f>Categorías!W11</f>
        <v>Categoría I</v>
      </c>
      <c r="E11" s="163">
        <f>IFERROR(VLOOKUP(B11,'[3]Indicador a)'!$C$2:$F$60,3,0),0)</f>
        <v>1154</v>
      </c>
      <c r="F11" s="163">
        <f>IFERROR(VLOOKUP(B11,'[3]Indicador a)'!$C$2:$F$60,4,0),0)</f>
        <v>27354</v>
      </c>
      <c r="G11" s="163">
        <f>IFERROR(VLOOKUP(B11,'[3]Indicador b)'!$C$2:$F$60,3,0),0)</f>
        <v>771.04545454545428</v>
      </c>
      <c r="H11" s="163">
        <f>IFERROR(VLOOKUP(B11,'[3]Indicador b)'!$C$2:$F$60,4,0),0)</f>
        <v>1464.8409090909088</v>
      </c>
      <c r="I11" s="163">
        <f>IFERROR(VLOOKUP(B11,'[3]Indicador c)'!$C$2:$H$60,4,0),0)</f>
        <v>401.65909090909076</v>
      </c>
      <c r="J11" s="163">
        <f>IFERROR(VLOOKUP(B11,'[3]Indicador c)'!$C$2:$H$60,5,0),0)</f>
        <v>97.613636363636374</v>
      </c>
      <c r="K11" s="163">
        <f>IFERROR(VLOOKUP(B11,[2]SCOPUS!$B$6:$M$32,11,0),0)</f>
        <v>1272</v>
      </c>
      <c r="L11" s="163">
        <f>IFERROR(VLOOKUP(B11,[2]SCOPUS!$B$6:$O$32,14,0),0)</f>
        <v>40472</v>
      </c>
      <c r="M11" s="163">
        <f>IFERROR(VLOOKUP(B11,[2]SCOPUS!$B$6:$O$32,13,0),0)</f>
        <v>5575</v>
      </c>
      <c r="N11" s="164">
        <f>IFERROR(VLOOKUP(B11,'[3]Indicador g)'!$D$10:$AD$76,26,0),0)</f>
        <v>3310</v>
      </c>
      <c r="O11" s="164">
        <f>IFERROR(VLOOKUP(B11,'[3]Indicador g)'!$D$10:$AD$76,18,0),0)</f>
        <v>5116</v>
      </c>
      <c r="P11" s="164">
        <f>IFERROR(VLOOKUP(B11,'[3]Indicador h)'!$D$11:$AC$37,25,0),0)</f>
        <v>3928</v>
      </c>
      <c r="Q11" s="164">
        <f>IFERROR(VLOOKUP(B11,'[3]Indicador h)'!$D$11:$AC$37,17,0),0)</f>
        <v>4820</v>
      </c>
      <c r="R11" s="165">
        <f>IFERROR(VLOOKUP(B11,'[3]Indicador i.1)'!$D$10:$Z$36,22,0),0)</f>
        <v>3226</v>
      </c>
      <c r="S11" s="165">
        <f>IFERROR(VLOOKUP(B11,'[3]Indicador i.1)'!$D$10:$Z$36,15,0),0)</f>
        <v>4847</v>
      </c>
      <c r="T11" s="163">
        <f>IFERROR(VLOOKUP(B11,'[3]Indicador j)'!$D$8:$M$25,10,0),0)</f>
        <v>32</v>
      </c>
      <c r="U11" s="163">
        <v>88</v>
      </c>
      <c r="V11" s="163">
        <v>87</v>
      </c>
      <c r="W11" s="163">
        <f>IFERROR(VLOOKUP(B11,'[3]Indicador j)'!$D$8:$F$25,3,0),0)</f>
        <v>107</v>
      </c>
      <c r="X11" s="163">
        <f>IFERROR(VLOOKUP(B11,[4]Hoja1!$B$5:$C$22,2,0),0)</f>
        <v>8</v>
      </c>
      <c r="Y11" s="163">
        <v>6</v>
      </c>
      <c r="Z11" s="51"/>
      <c r="AA11" s="52"/>
    </row>
    <row r="12" spans="1:27" x14ac:dyDescent="0.25">
      <c r="A12" s="49" t="str">
        <f>Categorías!A12</f>
        <v>UNIVERSIDAD TÉCNICA FEDERICO SANTA MARÍA</v>
      </c>
      <c r="B12" s="49" t="str">
        <f>Categorías!B12</f>
        <v>FSM</v>
      </c>
      <c r="C12" s="50" t="str">
        <f>Categorías!C12</f>
        <v>CRUCH-PRIVADA</v>
      </c>
      <c r="D12" s="49" t="str">
        <f>Categorías!W12</f>
        <v>Categoría II</v>
      </c>
      <c r="E12" s="163">
        <f>IFERROR(VLOOKUP(B12,'[3]Indicador a)'!$C$2:$F$60,3,0),0)</f>
        <v>476</v>
      </c>
      <c r="F12" s="163">
        <f>IFERROR(VLOOKUP(B12,'[3]Indicador a)'!$C$2:$F$60,4,0),0)</f>
        <v>19335</v>
      </c>
      <c r="G12" s="163">
        <f>IFERROR(VLOOKUP(B12,'[3]Indicador b)'!$C$2:$F$60,3,0),0)</f>
        <v>269.04562500000026</v>
      </c>
      <c r="H12" s="163">
        <f>IFERROR(VLOOKUP(B12,'[3]Indicador b)'!$C$2:$F$60,4,0),0)</f>
        <v>697.47744318181708</v>
      </c>
      <c r="I12" s="163">
        <f>IFERROR(VLOOKUP(B12,'[3]Indicador c)'!$C$2:$H$60,4,0),0)</f>
        <v>181.50249999999897</v>
      </c>
      <c r="J12" s="163">
        <f>IFERROR(VLOOKUP(B12,'[3]Indicador c)'!$C$2:$H$60,5,0),0)</f>
        <v>0</v>
      </c>
      <c r="K12" s="163">
        <f>IFERROR(VLOOKUP(B12,[2]SCOPUS!$B$6:$M$32,11,0),0)</f>
        <v>658</v>
      </c>
      <c r="L12" s="163">
        <f>IFERROR(VLOOKUP(B12,[2]SCOPUS!$B$6:$O$32,14,0),0)</f>
        <v>35185</v>
      </c>
      <c r="M12" s="163">
        <f>IFERROR(VLOOKUP(B12,[2]SCOPUS!$B$6:$O$32,13,0),0)</f>
        <v>2920</v>
      </c>
      <c r="N12" s="164">
        <f>IFERROR(VLOOKUP(B12,'[3]Indicador g)'!$D$10:$AD$76,26,0),0)</f>
        <v>1113</v>
      </c>
      <c r="O12" s="164">
        <f>IFERROR(VLOOKUP(B12,'[3]Indicador g)'!$D$10:$AD$76,18,0),0)</f>
        <v>2264</v>
      </c>
      <c r="P12" s="164">
        <f>IFERROR(VLOOKUP(B12,'[3]Indicador h)'!$D$11:$AC$37,25,0),0)</f>
        <v>1707</v>
      </c>
      <c r="Q12" s="164">
        <f>IFERROR(VLOOKUP(B12,'[3]Indicador h)'!$D$11:$AC$37,17,0),0)</f>
        <v>2082</v>
      </c>
      <c r="R12" s="165">
        <f>IFERROR(VLOOKUP(B12,'[3]Indicador i.1)'!$D$10:$Z$36,22,0),0)</f>
        <v>1145</v>
      </c>
      <c r="S12" s="165">
        <f>IFERROR(VLOOKUP(B12,'[3]Indicador i.1)'!$D$10:$Z$36,15,0),0)</f>
        <v>1851</v>
      </c>
      <c r="T12" s="163">
        <f>IFERROR(VLOOKUP(B12,'[3]Indicador j)'!$D$8:$M$25,10,0),0)</f>
        <v>7</v>
      </c>
      <c r="U12" s="163">
        <v>19</v>
      </c>
      <c r="V12" s="163">
        <v>23</v>
      </c>
      <c r="W12" s="163">
        <f>IFERROR(VLOOKUP(B12,'[3]Indicador j)'!$D$8:$F$25,3,0),0)</f>
        <v>21</v>
      </c>
      <c r="X12" s="163">
        <f>IFERROR(VLOOKUP(B12,[4]Hoja1!$B$5:$C$22,2,0),0)</f>
        <v>11</v>
      </c>
      <c r="Y12" s="163">
        <v>9</v>
      </c>
      <c r="Z12" s="51"/>
      <c r="AA12" s="52"/>
    </row>
    <row r="13" spans="1:27" x14ac:dyDescent="0.25">
      <c r="E13" s="48">
        <f t="shared" ref="E13:Y13" si="0">SUM(E4:E12)</f>
        <v>5852</v>
      </c>
      <c r="F13" s="48">
        <f t="shared" si="0"/>
        <v>156239</v>
      </c>
      <c r="G13" s="48">
        <f t="shared" si="0"/>
        <v>3603.6285795454537</v>
      </c>
      <c r="H13" s="48">
        <f t="shared" si="0"/>
        <v>8017.1782007577258</v>
      </c>
      <c r="I13" s="117">
        <f t="shared" si="0"/>
        <v>2155.7353030304535</v>
      </c>
      <c r="J13" s="48">
        <f t="shared" si="0"/>
        <v>651.5568181818179</v>
      </c>
      <c r="K13" s="48">
        <f t="shared" si="0"/>
        <v>6840</v>
      </c>
      <c r="L13" s="48">
        <f t="shared" si="0"/>
        <v>241008</v>
      </c>
      <c r="M13" s="48">
        <f t="shared" si="0"/>
        <v>29577</v>
      </c>
      <c r="N13" s="48">
        <f t="shared" si="0"/>
        <v>15631</v>
      </c>
      <c r="O13" s="48">
        <f t="shared" si="0"/>
        <v>27913</v>
      </c>
      <c r="P13" s="48">
        <f t="shared" si="0"/>
        <v>22415</v>
      </c>
      <c r="Q13" s="48">
        <f t="shared" si="0"/>
        <v>26544</v>
      </c>
      <c r="R13" s="48">
        <f t="shared" si="0"/>
        <v>17088</v>
      </c>
      <c r="S13" s="48">
        <f t="shared" si="0"/>
        <v>24965</v>
      </c>
      <c r="T13" s="48">
        <f t="shared" si="0"/>
        <v>86</v>
      </c>
      <c r="U13" s="48">
        <f>SUM(U4:U12)</f>
        <v>359</v>
      </c>
      <c r="V13" s="48">
        <f>SUM(V4:V12)</f>
        <v>380</v>
      </c>
      <c r="W13" s="48">
        <f>SUM(W4:W12)</f>
        <v>409</v>
      </c>
      <c r="X13" s="48">
        <f t="shared" si="0"/>
        <v>57</v>
      </c>
      <c r="Y13" s="48">
        <f t="shared" si="0"/>
        <v>28</v>
      </c>
      <c r="Z13" s="51"/>
    </row>
    <row r="20" spans="1:1" x14ac:dyDescent="0.25">
      <c r="A20" s="22" t="s">
        <v>186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I81"/>
  <sheetViews>
    <sheetView zoomScaleNormal="100" workbookViewId="0">
      <pane xSplit="2" ySplit="3" topLeftCell="AA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baseColWidth="10" defaultRowHeight="15" x14ac:dyDescent="0.25"/>
  <cols>
    <col min="1" max="1" width="46.5703125" bestFit="1" customWidth="1"/>
    <col min="5" max="5" width="19.7109375" customWidth="1"/>
    <col min="28" max="28" width="11.28515625" customWidth="1"/>
    <col min="29" max="31" width="10.7109375" customWidth="1"/>
    <col min="32" max="32" width="11.42578125" bestFit="1" customWidth="1"/>
    <col min="33" max="35" width="10.7109375" customWidth="1"/>
  </cols>
  <sheetData>
    <row r="1" spans="1:35" x14ac:dyDescent="0.25">
      <c r="A1" s="17" t="s">
        <v>187</v>
      </c>
      <c r="F1" s="4" t="s">
        <v>27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  <c r="O1" s="4" t="s">
        <v>73</v>
      </c>
      <c r="P1" s="4" t="s">
        <v>74</v>
      </c>
      <c r="Q1" s="24" t="s">
        <v>51</v>
      </c>
    </row>
    <row r="2" spans="1:35" ht="79.5" x14ac:dyDescent="0.25"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36</v>
      </c>
      <c r="R2" s="5" t="s">
        <v>37</v>
      </c>
      <c r="S2" s="5" t="s">
        <v>38</v>
      </c>
      <c r="T2" s="5" t="s">
        <v>39</v>
      </c>
      <c r="U2" s="5" t="s">
        <v>40</v>
      </c>
      <c r="V2" s="5" t="s">
        <v>41</v>
      </c>
      <c r="W2" s="5" t="s">
        <v>42</v>
      </c>
      <c r="X2" s="5" t="s">
        <v>43</v>
      </c>
      <c r="Y2" s="5" t="s">
        <v>44</v>
      </c>
      <c r="Z2" s="5" t="s">
        <v>45</v>
      </c>
      <c r="AA2" s="5" t="s">
        <v>46</v>
      </c>
      <c r="AB2" s="5"/>
      <c r="AC2" s="5"/>
    </row>
    <row r="3" spans="1:35" ht="67.5" x14ac:dyDescent="0.25">
      <c r="A3" s="9" t="s">
        <v>9</v>
      </c>
      <c r="B3" s="14" t="s">
        <v>1</v>
      </c>
      <c r="C3" s="14" t="s">
        <v>17</v>
      </c>
      <c r="D3" s="15" t="s">
        <v>26</v>
      </c>
      <c r="E3" s="16" t="s">
        <v>50</v>
      </c>
      <c r="F3" s="10" t="s">
        <v>81</v>
      </c>
      <c r="G3" s="10" t="s">
        <v>82</v>
      </c>
      <c r="H3" s="10" t="s">
        <v>83</v>
      </c>
      <c r="I3" s="10" t="s">
        <v>47</v>
      </c>
      <c r="J3" s="10" t="s">
        <v>48</v>
      </c>
      <c r="K3" s="10" t="s">
        <v>76</v>
      </c>
      <c r="L3" s="10" t="s">
        <v>85</v>
      </c>
      <c r="M3" s="10" t="s">
        <v>86</v>
      </c>
      <c r="N3" s="10" t="s">
        <v>87</v>
      </c>
      <c r="O3" s="10" t="s">
        <v>80</v>
      </c>
      <c r="P3" s="10" t="s">
        <v>88</v>
      </c>
      <c r="Q3" s="13" t="s">
        <v>49</v>
      </c>
      <c r="R3" s="11" t="s">
        <v>49</v>
      </c>
      <c r="S3" s="11" t="s">
        <v>49</v>
      </c>
      <c r="T3" s="11" t="s">
        <v>49</v>
      </c>
      <c r="U3" s="11" t="s">
        <v>49</v>
      </c>
      <c r="V3" s="11" t="s">
        <v>49</v>
      </c>
      <c r="W3" s="11" t="s">
        <v>49</v>
      </c>
      <c r="X3" s="11" t="s">
        <v>49</v>
      </c>
      <c r="Y3" s="11" t="s">
        <v>49</v>
      </c>
      <c r="Z3" s="11" t="s">
        <v>49</v>
      </c>
      <c r="AA3" s="11" t="s">
        <v>49</v>
      </c>
      <c r="AB3" s="36" t="s">
        <v>52</v>
      </c>
      <c r="AC3" s="37" t="s">
        <v>69</v>
      </c>
      <c r="AD3" s="37" t="s">
        <v>53</v>
      </c>
      <c r="AE3" s="37" t="s">
        <v>68</v>
      </c>
      <c r="AF3" s="37" t="s">
        <v>70</v>
      </c>
      <c r="AG3" s="37" t="s">
        <v>71</v>
      </c>
      <c r="AH3" s="37" t="s">
        <v>72</v>
      </c>
      <c r="AI3" s="37" t="s">
        <v>67</v>
      </c>
    </row>
    <row r="4" spans="1:35" x14ac:dyDescent="0.25">
      <c r="A4" s="25" t="str">
        <f>Valores!A4</f>
        <v>PONTIFICIA UNIVERSIDAD CATÓLICA DE CHILE</v>
      </c>
      <c r="B4" s="26" t="str">
        <f>Valores!B4</f>
        <v>PUC</v>
      </c>
      <c r="C4" s="27" t="str">
        <f>Valores!C4</f>
        <v>CRUCH-PRIVADA</v>
      </c>
      <c r="D4" s="27" t="str">
        <f>Valores!D4</f>
        <v>Categoría I</v>
      </c>
      <c r="E4" s="27" t="str">
        <f t="shared" ref="E4:E12" si="0">CONCATENATE(C4,D4)</f>
        <v>CRUCH-PRIVADACategoría I</v>
      </c>
      <c r="F4" s="29">
        <f>IFERROR(Valores!E4/Valores!F4*100,0)</f>
        <v>4.9737391634499781</v>
      </c>
      <c r="G4" s="30">
        <f>IFERROR(Valores!G4/Valores!H4,0)</f>
        <v>0.4724730202158382</v>
      </c>
      <c r="H4" s="30">
        <f>IFERROR((Valores!G4+Valores!I4+Valores!J4)/(Valores!H4),0)</f>
        <v>0.8786137710898313</v>
      </c>
      <c r="I4" s="30">
        <f>IFERROR(Valores!K4/Valores!H4,0)</f>
        <v>1.0607083143334857</v>
      </c>
      <c r="J4" s="30">
        <f>IFERROR(Valores!K4/Valores!G4,0)</f>
        <v>2.2450135117745473</v>
      </c>
      <c r="K4" s="30">
        <f>IFERROR(Valores!L4/Valores!M4,0)</f>
        <v>9.7366866475545137</v>
      </c>
      <c r="L4" s="30">
        <f>IFERROR(Valores!N4/Valores!O4,0)</f>
        <v>0.25574407917992226</v>
      </c>
      <c r="M4" s="30">
        <f>IFERROR(Valores!P4/Valores!Q4,0)</f>
        <v>0.8836580086580087</v>
      </c>
      <c r="N4" s="30">
        <f>IFERROR(Valores!R4/Valores!S4,0)</f>
        <v>0.75730550284629983</v>
      </c>
      <c r="O4" s="28">
        <f>IF(Valores!W4&gt;0,Valores!T4/Valores!W4,IF(AND(Valores!W4=0,OR(Valores!V4&gt;0,Valores!U4&gt;0)),0,IF(AND(Valores!V4=0,Valores!W4=0,Valores!U4=0),"NC",)))</f>
        <v>0.16875000000000001</v>
      </c>
      <c r="P4" s="31">
        <f>IFERROR((Valores!X4+Valores!Y4)*1000/(Valores!H4),0)</f>
        <v>20.063839489284092</v>
      </c>
      <c r="Q4" s="32">
        <f t="array" ref="Q4">F4/MAX(IF($E$4:$E$18=$E4,F$4:F$18))</f>
        <v>1</v>
      </c>
      <c r="R4" s="32">
        <f t="array" ref="R4">G4/MAX(IF($E$4:$E$18=$E4,G$4:G$18))</f>
        <v>0.74737600823774264</v>
      </c>
      <c r="S4" s="32">
        <f t="array" ref="S4">H4/MAX(IF($E$4:$E$18=$E4,H$4:H$18))</f>
        <v>1</v>
      </c>
      <c r="T4" s="32">
        <f t="array" ref="T4">I4/MAX(IF($E$4:$E$18=$E4,I$4:I$18))</f>
        <v>0.88936324290854263</v>
      </c>
      <c r="U4" s="32">
        <f t="array" ref="U4">J4/MAX(IF($E$4:$E$18=$E4,J$4:J$18))</f>
        <v>1</v>
      </c>
      <c r="V4" s="32">
        <f t="array" ref="V4">K4/MAX(IF($E$4:$E$18=$E4,K$4:K$18))</f>
        <v>1</v>
      </c>
      <c r="W4" s="32">
        <f t="array" ref="W4">L4/MAX(IF($E$4:$E$18=$E4,L$4:L$18))</f>
        <v>0.39528299368111247</v>
      </c>
      <c r="X4" s="32">
        <f t="array" ref="X4">M4/MAX(IF($E$4:$E$18=$E4,M$4:M$18))</f>
        <v>1</v>
      </c>
      <c r="Y4" s="32">
        <f t="array" ref="Y4">N4/MAX(IF($E$4:$E$18=$E4,N$4:N$18))</f>
        <v>1</v>
      </c>
      <c r="Z4" s="32">
        <f t="array" ref="Z4">IF(O4="NC","NC",IF(O4=0,0,IF(O4&gt;0,O4/MAX(IF($E$4:$E$18=$E4,$O$4:$O$18,"ERROR")))))</f>
        <v>0.56425781250000007</v>
      </c>
      <c r="AA4" s="33">
        <f t="array" ref="AA4">IF(P4=0,0,P4/MAX(IF($E$4:$E$18=$E4,$P$4:$P$18)))</f>
        <v>1</v>
      </c>
      <c r="AB4" s="34">
        <f t="shared" ref="AB4:AB12" si="1">IF(Z4="NC",(SUM(Q4:Y4)+AA4)/(COUNTA(Q4:Y4)+COUNTA(AA4)),AVERAGE(Q4:AA4))</f>
        <v>0.87238909612067239</v>
      </c>
      <c r="AC4" s="12">
        <f t="array" ref="AC4">SUM(IF($E$4:$E$18=$E4,$AB$4:$AB$18,"ERROR"))</f>
        <v>3.2007547909062897</v>
      </c>
      <c r="AD4" s="38">
        <f t="shared" ref="AD4:AD12" si="2">AB4/AC4</f>
        <v>0.2725573038582117</v>
      </c>
      <c r="AE4" s="79">
        <f>IFERROR(VLOOKUP(E4,Categorías!$A$25:$C$27,3,0),0)</f>
        <v>10112247</v>
      </c>
      <c r="AF4" s="80">
        <f t="shared" ref="AF4:AF12" si="3">AD4*AE4</f>
        <v>2756166.7782682898</v>
      </c>
      <c r="AG4" s="79">
        <f t="shared" ref="AG4:AH13" si="4">ROUND(AF4,0)</f>
        <v>2756167</v>
      </c>
      <c r="AH4" s="35">
        <f t="shared" si="4"/>
        <v>2756167</v>
      </c>
      <c r="AI4" s="21">
        <f t="array" ref="AI4">AG4/(SUM(IF($C$4:$C$18=$C4,$AG$4:$AG$18,0)))</f>
        <v>0.14866762823693896</v>
      </c>
    </row>
    <row r="5" spans="1:35" x14ac:dyDescent="0.25">
      <c r="A5" s="25" t="str">
        <f>Valores!A5</f>
        <v>PONTIFICIA UNIVERSIDAD CATÓLICA DE VALPARAÍSO</v>
      </c>
      <c r="B5" s="26" t="str">
        <f>Valores!B5</f>
        <v>UCV</v>
      </c>
      <c r="C5" s="27" t="str">
        <f>Valores!C5</f>
        <v>CRUCH-PRIVADA</v>
      </c>
      <c r="D5" s="27" t="str">
        <f>Valores!D5</f>
        <v>Categoría I</v>
      </c>
      <c r="E5" s="27" t="str">
        <f t="shared" si="0"/>
        <v>CRUCH-PRIVADACategoría I</v>
      </c>
      <c r="F5" s="29">
        <f>IFERROR(Valores!E5/Valores!F5*100,0)</f>
        <v>3.1309980806142037</v>
      </c>
      <c r="G5" s="30">
        <f>IFERROR(Valores!G5/Valores!H5,0)</f>
        <v>0.63217579238313337</v>
      </c>
      <c r="H5" s="30">
        <f>IFERROR((Valores!G5+Valores!I5+Valores!J5)/(Valores!H5),0)</f>
        <v>0.84947949404582512</v>
      </c>
      <c r="I5" s="30">
        <f>IFERROR(Valores!K5/Valores!H5,0)</f>
        <v>1.1926603924675165</v>
      </c>
      <c r="J5" s="30">
        <f>IFERROR(Valores!K5/Valores!G5,0)</f>
        <v>1.8865961127228652</v>
      </c>
      <c r="K5" s="30">
        <f>IFERROR(Valores!L5/Valores!M5,0)</f>
        <v>5.2001295336787567</v>
      </c>
      <c r="L5" s="30">
        <f>IFERROR(Valores!N5/Valores!O5,0)</f>
        <v>0.5607843137254902</v>
      </c>
      <c r="M5" s="30">
        <f>IFERROR(Valores!P5/Valores!Q5,0)</f>
        <v>0.81968179139658215</v>
      </c>
      <c r="N5" s="30">
        <f>IFERROR(Valores!R5/Valores!S5,0)</f>
        <v>0.65142499217037264</v>
      </c>
      <c r="O5" s="28">
        <f>IF(Valores!W5&gt;0,Valores!T5/Valores!W5,IF(AND(Valores!W5=0,OR(Valores!V5&gt;0,Valores!U5&gt;0)),0,IF(AND(Valores!V5=0,Valores!W5=0,Valores!U5=0),"NC",)))</f>
        <v>0.21276595744680851</v>
      </c>
      <c r="P5" s="31">
        <f>IFERROR((Valores!X5+Valores!Y5)*1000/(Valores!H5),0)</f>
        <v>0</v>
      </c>
      <c r="Q5" s="32">
        <f t="array" ref="Q5">F5/MAX(IF($E$4:$E$18=$E5,F$4:F$18))</f>
        <v>0.62950588636063942</v>
      </c>
      <c r="R5" s="32">
        <f t="array" ref="R5">G5/MAX(IF($E$4:$E$18=$E5,G$4:G$18))</f>
        <v>1</v>
      </c>
      <c r="S5" s="32">
        <f t="array" ref="S5">H5/MAX(IF($E$4:$E$18=$E5,H$4:H$18))</f>
        <v>0.96684063236583684</v>
      </c>
      <c r="T5" s="32">
        <f t="array" ref="T5">I5/MAX(IF($E$4:$E$18=$E5,I$4:I$18))</f>
        <v>1</v>
      </c>
      <c r="U5" s="32">
        <f t="array" ref="U5">J5/MAX(IF($E$4:$E$18=$E5,J$4:J$18))</f>
        <v>0.84034955817777024</v>
      </c>
      <c r="V5" s="32">
        <f t="array" ref="V5">K5/MAX(IF($E$4:$E$18=$E5,K$4:K$18))</f>
        <v>0.53407588452944943</v>
      </c>
      <c r="W5" s="32">
        <f t="array" ref="W5">L5/MAX(IF($E$4:$E$18=$E5,L$4:L$18))</f>
        <v>0.86675907825365794</v>
      </c>
      <c r="X5" s="32">
        <f t="array" ref="X5">M5/MAX(IF($E$4:$E$18=$E5,M$4:M$18))</f>
        <v>0.92760070453207821</v>
      </c>
      <c r="Y5" s="32">
        <f t="array" ref="Y5">N5/MAX(IF($E$4:$E$18=$E5,N$4:N$18))</f>
        <v>0.86018784984662078</v>
      </c>
      <c r="Z5" s="32">
        <f t="array" ref="Z5">IF(O5="NC","NC",IF(O5=0,0,IF(O5&gt;0,O5/MAX(IF($E$4:$E$18=$E5,$O$4:$O$18,"ERROR")))))</f>
        <v>0.71143617021276606</v>
      </c>
      <c r="AA5" s="33">
        <f t="array" ref="AA5">IF(P5=0,0,P5/MAX(IF($E$4:$E$18=$E5,$P$4:$P$18)))</f>
        <v>0</v>
      </c>
      <c r="AB5" s="34">
        <f t="shared" si="1"/>
        <v>0.75788688766171075</v>
      </c>
      <c r="AC5" s="12">
        <f t="array" ref="AC5">SUM(IF($E$4:$E$18=$E5,$AB$4:$AB$18,"ERROR"))</f>
        <v>3.2007547909062897</v>
      </c>
      <c r="AD5" s="38">
        <f t="shared" si="2"/>
        <v>0.23678380168794999</v>
      </c>
      <c r="AE5" s="79">
        <f>IFERROR(VLOOKUP(E5,Categorías!$A$25:$C$27,3,0),0)</f>
        <v>10112247</v>
      </c>
      <c r="AF5" s="80">
        <f t="shared" si="3"/>
        <v>2394416.2882675673</v>
      </c>
      <c r="AG5" s="79">
        <f t="shared" si="4"/>
        <v>2394416</v>
      </c>
      <c r="AH5" s="35">
        <f t="shared" si="4"/>
        <v>2394416</v>
      </c>
      <c r="AI5" s="21">
        <f t="array" ref="AI5">AG5/(SUM(IF($C$4:$C$18=$C5,$AG$4:$AG$18,0)))</f>
        <v>0.12915478188824497</v>
      </c>
    </row>
    <row r="6" spans="1:35" x14ac:dyDescent="0.25">
      <c r="A6" s="25" t="str">
        <f>Valores!A6</f>
        <v>UNIVERSIDAD AUSTRAL DE CHILE</v>
      </c>
      <c r="B6" s="26" t="str">
        <f>Valores!B6</f>
        <v>AUS</v>
      </c>
      <c r="C6" s="27" t="str">
        <f>Valores!C6</f>
        <v>CRUCH-PRIVADA</v>
      </c>
      <c r="D6" s="27" t="str">
        <f>Valores!D6</f>
        <v>Categoría I</v>
      </c>
      <c r="E6" s="27" t="str">
        <f t="shared" si="0"/>
        <v>CRUCH-PRIVADACategoría I</v>
      </c>
      <c r="F6" s="29">
        <f>IFERROR(Valores!E6/Valores!F6*100,0)</f>
        <v>4.6943642525417353</v>
      </c>
      <c r="G6" s="30">
        <f>IFERROR(Valores!G6/Valores!H6,0)</f>
        <v>0.44725508638186229</v>
      </c>
      <c r="H6" s="30">
        <f>IFERROR((Valores!G6+Valores!I6+Valores!J6)/(Valores!H6),0)</f>
        <v>0.7953071630117321</v>
      </c>
      <c r="I6" s="30">
        <f>IFERROR(Valores!K6/Valores!H6,0)</f>
        <v>0.77540715806148219</v>
      </c>
      <c r="J6" s="30">
        <f>IFERROR(Valores!K6/Valores!G6,0)</f>
        <v>1.7337022689540678</v>
      </c>
      <c r="K6" s="30">
        <f>IFERROR(Valores!L6/Valores!M6,0)</f>
        <v>7.1822094691535154</v>
      </c>
      <c r="L6" s="30">
        <f>IFERROR(Valores!N6/Valores!O6,0)</f>
        <v>0.64413389665258369</v>
      </c>
      <c r="M6" s="30">
        <f>IFERROR(Valores!P6/Valores!Q6,0)</f>
        <v>0.8569000679809653</v>
      </c>
      <c r="N6" s="30">
        <f>IFERROR(Valores!R6/Valores!S6,0)</f>
        <v>0.67984869325997244</v>
      </c>
      <c r="O6" s="28">
        <f>IF(Valores!W6&gt;0,Valores!T6/Valores!W6,IF(AND(Valores!W6=0,OR(Valores!V6&gt;0,Valores!U6&gt;0)),0,IF(AND(Valores!V6=0,Valores!W6=0,Valores!U6=0),"NC",)))</f>
        <v>0.14583333333333334</v>
      </c>
      <c r="P6" s="31">
        <f>IFERROR((Valores!X6+Valores!Y6)*1000/(Valores!H6),0)</f>
        <v>1.0890549972773627</v>
      </c>
      <c r="Q6" s="32">
        <f t="array" ref="Q6">F6/MAX(IF($E$4:$E$18=$E6,F$4:F$18))</f>
        <v>0.94383000359945346</v>
      </c>
      <c r="R6" s="32">
        <f t="array" ref="R6">G6/MAX(IF($E$4:$E$18=$E6,G$4:G$18))</f>
        <v>0.70748530989431035</v>
      </c>
      <c r="S6" s="32">
        <f t="array" ref="S6">H6/MAX(IF($E$4:$E$18=$E6,H$4:H$18))</f>
        <v>0.9051840401104051</v>
      </c>
      <c r="T6" s="32">
        <f t="array" ref="T6">I6/MAX(IF($E$4:$E$18=$E6,I$4:I$18))</f>
        <v>0.65014916480728302</v>
      </c>
      <c r="U6" s="32">
        <f t="array" ref="U6">J6/MAX(IF($E$4:$E$18=$E6,J$4:J$18))</f>
        <v>0.77224580603244608</v>
      </c>
      <c r="V6" s="32">
        <f t="array" ref="V6">K6/MAX(IF($E$4:$E$18=$E6,K$4:K$18))</f>
        <v>0.73764410103075606</v>
      </c>
      <c r="W6" s="32">
        <f t="array" ref="W6">L6/MAX(IF($E$4:$E$18=$E6,L$4:L$18))</f>
        <v>0.99558580521891782</v>
      </c>
      <c r="X6" s="32">
        <f t="array" ref="X6">M6/MAX(IF($E$4:$E$18=$E6,M$4:M$18))</f>
        <v>0.96971912163430729</v>
      </c>
      <c r="Y6" s="32">
        <f t="array" ref="Y6">N6/MAX(IF($E$4:$E$18=$E6,N$4:N$18))</f>
        <v>0.89772052455025175</v>
      </c>
      <c r="Z6" s="32">
        <f t="array" ref="Z6">IF(O6="NC","NC",IF(O6=0,0,IF(O6&gt;0,O6/MAX(IF($E$4:$E$18=$E6,$O$4:$O$18,"ERROR")))))</f>
        <v>0.48763020833333343</v>
      </c>
      <c r="AA6" s="33">
        <f t="array" ref="AA6">IF(P6=0,0,P6/MAX(IF($E$4:$E$18=$E6,$P$4:$P$18)))</f>
        <v>5.4279491114301262E-2</v>
      </c>
      <c r="AB6" s="34">
        <f t="shared" si="1"/>
        <v>0.7383157796659785</v>
      </c>
      <c r="AC6" s="12">
        <f t="array" ref="AC6">SUM(IF($E$4:$E$18=$E6,$AB$4:$AB$18,"ERROR"))</f>
        <v>3.2007547909062897</v>
      </c>
      <c r="AD6" s="38">
        <f t="shared" si="2"/>
        <v>0.23066927268643572</v>
      </c>
      <c r="AE6" s="79">
        <f>IFERROR(VLOOKUP(E6,Categorías!$A$25:$C$27,3,0),0)</f>
        <v>10112247</v>
      </c>
      <c r="AF6" s="80">
        <f t="shared" si="3"/>
        <v>2332584.6607155916</v>
      </c>
      <c r="AG6" s="79">
        <f t="shared" si="4"/>
        <v>2332585</v>
      </c>
      <c r="AH6" s="35">
        <f t="shared" si="4"/>
        <v>2332585</v>
      </c>
      <c r="AI6" s="21">
        <f t="array" ref="AI6">AG6/(SUM(IF($C$4:$C$18=$C6,$AG$4:$AG$18,0)))</f>
        <v>0.1258196181911547</v>
      </c>
    </row>
    <row r="7" spans="1:35" x14ac:dyDescent="0.25">
      <c r="A7" s="25" t="str">
        <f>Valores!A7</f>
        <v>UNIVERSIDAD CATÓLICA DE LA SANTÍSIMA CONCEPCIÓN</v>
      </c>
      <c r="B7" s="26" t="str">
        <f>Valores!B7</f>
        <v>USC</v>
      </c>
      <c r="C7" s="27" t="str">
        <f>Valores!C7</f>
        <v>CRUCH-PRIVADA</v>
      </c>
      <c r="D7" s="27" t="str">
        <f>Valores!D7</f>
        <v>Categoría II</v>
      </c>
      <c r="E7" s="27" t="str">
        <f t="shared" si="0"/>
        <v>CRUCH-PRIVADACategoría II</v>
      </c>
      <c r="F7" s="29">
        <f>IFERROR(Valores!E7/Valores!F7*100,0)</f>
        <v>2.1365999572680008</v>
      </c>
      <c r="G7" s="30">
        <f>IFERROR(Valores!G7/Valores!H7,0)</f>
        <v>0.29909639921899844</v>
      </c>
      <c r="H7" s="30">
        <f>IFERROR((Valores!G7+Valores!I7+Valores!J7)/(Valores!H7),0)</f>
        <v>0.70535349407437664</v>
      </c>
      <c r="I7" s="30">
        <f>IFERROR(Valores!K7/Valores!H7,0)</f>
        <v>0.38959269854243328</v>
      </c>
      <c r="J7" s="30">
        <f>IFERROR(Valores!K7/Valores!G7,0)</f>
        <v>1.3025656596326103</v>
      </c>
      <c r="K7" s="30">
        <f>IFERROR(Valores!L7/Valores!M7,0)</f>
        <v>4.0856672158154863</v>
      </c>
      <c r="L7" s="30">
        <f>IFERROR(Valores!N7/Valores!O7,0)</f>
        <v>0.76580677794638341</v>
      </c>
      <c r="M7" s="30">
        <f>IFERROR(Valores!P7/Valores!Q7,0)</f>
        <v>0.88822894168466526</v>
      </c>
      <c r="N7" s="30">
        <f>IFERROR(Valores!R7/Valores!S7,0)</f>
        <v>0.72696629213483144</v>
      </c>
      <c r="O7" s="28">
        <f>IF(Valores!W7&gt;0,Valores!T7/Valores!W7,IF(AND(Valores!W7=0,OR(Valores!V7&gt;0,Valores!U7&gt;0)),0,IF(AND(Valores!V7=0,Valores!W7=0,Valores!U7=0),"NC",)))</f>
        <v>0</v>
      </c>
      <c r="P7" s="31">
        <f>IFERROR((Valores!X7+Valores!Y7)*1000/(Valores!H7),0)</f>
        <v>0</v>
      </c>
      <c r="Q7" s="32">
        <f t="array" ref="Q7">F7/MAX(IF($E$4:$E$18=$E7,F$4:F$18))</f>
        <v>0.53923034921539292</v>
      </c>
      <c r="R7" s="32">
        <f t="array" ref="R7">G7/MAX(IF($E$4:$E$18=$E7,G$4:G$18))</f>
        <v>0.77538146844853861</v>
      </c>
      <c r="S7" s="32">
        <f t="array" ref="S7">H7/MAX(IF($E$4:$E$18=$E7,H$4:H$18))</f>
        <v>0.89893941746040185</v>
      </c>
      <c r="T7" s="32">
        <f t="array" ref="T7">I7/MAX(IF($E$4:$E$18=$E7,I$4:I$18))</f>
        <v>0.41296674659829907</v>
      </c>
      <c r="U7" s="32">
        <f t="array" ref="U7">J7/MAX(IF($E$4:$E$18=$E7,J$4:J$18))</f>
        <v>0.53259816413281647</v>
      </c>
      <c r="V7" s="32">
        <f t="array" ref="V7">K7/MAX(IF($E$4:$E$18=$E7,K$4:K$18))</f>
        <v>0.3390691564638687</v>
      </c>
      <c r="W7" s="32">
        <f t="array" ref="W7">L7/MAX(IF($E$4:$E$18=$E7,L$4:L$18))</f>
        <v>0.96639874687943605</v>
      </c>
      <c r="X7" s="32">
        <f t="array" ref="X7">M7/MAX(IF($E$4:$E$18=$E7,M$4:M$18))</f>
        <v>1</v>
      </c>
      <c r="Y7" s="32">
        <f t="array" ref="Y7">N7/MAX(IF($E$4:$E$18=$E7,N$4:N$18))</f>
        <v>0.93980180309836858</v>
      </c>
      <c r="Z7" s="32">
        <f t="array" ref="Z7">IF(O7="NC","NC",IF(O7=0,0,IF(O7&gt;0,O7/MAX(IF($E$4:$E$18=$E7,$O$4:$O$18,"ERROR")))))</f>
        <v>0</v>
      </c>
      <c r="AA7" s="33">
        <f t="array" ref="AA7">IF(P7=0,0,P7/MAX(IF($E$4:$E$18=$E7,$P$4:$P$18)))</f>
        <v>0</v>
      </c>
      <c r="AB7" s="34">
        <f t="shared" si="1"/>
        <v>0.58221689566337476</v>
      </c>
      <c r="AC7" s="12">
        <f t="array" ref="AC7">SUM(IF($E$4:$E$18=$E7,$AB$4:$AB$18,"ERROR"))</f>
        <v>3.4857437045099799</v>
      </c>
      <c r="AD7" s="38">
        <f t="shared" si="2"/>
        <v>0.16702802759424959</v>
      </c>
      <c r="AE7" s="79">
        <f>IFERROR(VLOOKUP(E7,Categorías!$A$25:$C$27,3,0),0)</f>
        <v>8426873</v>
      </c>
      <c r="AF7" s="80">
        <f t="shared" si="3"/>
        <v>1407523.9759772369</v>
      </c>
      <c r="AG7" s="79">
        <f t="shared" si="4"/>
        <v>1407524</v>
      </c>
      <c r="AH7" s="35">
        <f t="shared" si="4"/>
        <v>1407524</v>
      </c>
      <c r="AI7" s="21">
        <f t="array" ref="AI7">AG7/(SUM(IF($C$4:$C$18=$C7,$AG$4:$AG$18,0)))</f>
        <v>7.5921834477580386E-2</v>
      </c>
    </row>
    <row r="8" spans="1:35" x14ac:dyDescent="0.25">
      <c r="A8" s="25" t="str">
        <f>Valores!A8</f>
        <v>UNIVERSIDAD CATÓLICA DE TEMUCO</v>
      </c>
      <c r="B8" s="26" t="str">
        <f>Valores!B8</f>
        <v>UCT</v>
      </c>
      <c r="C8" s="27" t="str">
        <f>Valores!C8</f>
        <v>CRUCH-PRIVADA</v>
      </c>
      <c r="D8" s="27" t="str">
        <f>Valores!D8</f>
        <v>Categoría II</v>
      </c>
      <c r="E8" s="27" t="str">
        <f t="shared" si="0"/>
        <v>CRUCH-PRIVADACategoría II</v>
      </c>
      <c r="F8" s="29">
        <f>IFERROR(Valores!E8/Valores!F8*100,0)</f>
        <v>2.9575350931402844</v>
      </c>
      <c r="G8" s="30">
        <f>IFERROR(Valores!G8/Valores!H8,0)</f>
        <v>0.33141159905571144</v>
      </c>
      <c r="H8" s="30">
        <f>IFERROR((Valores!G8+Valores!I8+Valores!J8)/(Valores!H8),0)</f>
        <v>0.70635106325844865</v>
      </c>
      <c r="I8" s="30">
        <f>IFERROR(Valores!K8/Valores!H8,0)</f>
        <v>0.39658244193350267</v>
      </c>
      <c r="J8" s="30">
        <f>IFERROR(Valores!K8/Valores!G8,0)</f>
        <v>1.1966462340590434</v>
      </c>
      <c r="K8" s="30">
        <f>IFERROR(Valores!L8/Valores!M8,0)</f>
        <v>3.7183098591549295</v>
      </c>
      <c r="L8" s="30">
        <f>IFERROR(Valores!N8/Valores!O8,0)</f>
        <v>0.79243353783231085</v>
      </c>
      <c r="M8" s="30">
        <f>IFERROR(Valores!P8/Valores!Q8,0)</f>
        <v>0.84782608695652173</v>
      </c>
      <c r="N8" s="30">
        <f>IFERROR(Valores!R8/Valores!S8,0)</f>
        <v>0.67103762827822122</v>
      </c>
      <c r="O8" s="28" t="str">
        <f>IF(Valores!W8&gt;0,Valores!T8/Valores!W8,IF(AND(Valores!W8=0,OR(Valores!V8&gt;0,Valores!U8&gt;0)),0,IF(AND(Valores!V8=0,Valores!W8=0,Valores!U8=0),"NC",)))</f>
        <v>NC</v>
      </c>
      <c r="P8" s="31">
        <f>IFERROR((Valores!X8+Valores!Y8)*1000/(Valores!H8),0)</f>
        <v>0</v>
      </c>
      <c r="Q8" s="32">
        <f t="array" ref="Q8">F8/MAX(IF($E$4:$E$18=$E8,F$4:F$18))</f>
        <v>0.74641613450653799</v>
      </c>
      <c r="R8" s="32">
        <f t="array" ref="R8">G8/MAX(IF($E$4:$E$18=$E8,G$4:G$18))</f>
        <v>0.85915582069091401</v>
      </c>
      <c r="S8" s="32">
        <f t="array" ref="S8">H8/MAX(IF($E$4:$E$18=$E8,H$4:H$18))</f>
        <v>0.90021077185042009</v>
      </c>
      <c r="T8" s="32">
        <f t="array" ref="T8">I8/MAX(IF($E$4:$E$18=$E8,I$4:I$18))</f>
        <v>0.42037584743249373</v>
      </c>
      <c r="U8" s="32">
        <f t="array" ref="U8">J8/MAX(IF($E$4:$E$18=$E8,J$4:J$18))</f>
        <v>0.48928941329226733</v>
      </c>
      <c r="V8" s="32">
        <f t="array" ref="V8">K8/MAX(IF($E$4:$E$18=$E8,K$4:K$18))</f>
        <v>0.30858220232293287</v>
      </c>
      <c r="W8" s="32">
        <f t="array" ref="W8">L8/MAX(IF($E$4:$E$18=$E8,L$4:L$18))</f>
        <v>1</v>
      </c>
      <c r="X8" s="32">
        <f t="array" ref="X8">M8/MAX(IF($E$4:$E$18=$E8,M$4:M$18))</f>
        <v>0.95451301704770708</v>
      </c>
      <c r="Y8" s="32">
        <f t="array" ref="Y8">N8/MAX(IF($E$4:$E$18=$E8,N$4:N$18))</f>
        <v>0.86749878202847808</v>
      </c>
      <c r="Z8" s="32" t="str">
        <f t="array" ref="Z8">IF(O8="NC","NC",IF(O8=0,0,IF(O8&gt;0,O8/MAX(IF($E$4:$E$18=$E8,$O$4:$O$18,"ERROR")))))</f>
        <v>NC</v>
      </c>
      <c r="AA8" s="33">
        <f t="array" ref="AA8">IF(P8=0,0,P8/MAX(IF($E$4:$E$18=$E8,$P$4:$P$18)))</f>
        <v>0</v>
      </c>
      <c r="AB8" s="34">
        <f t="shared" si="1"/>
        <v>0.65460419891717514</v>
      </c>
      <c r="AC8" s="12">
        <f t="array" ref="AC8">SUM(IF($E$4:$E$18=$E8,$AB$4:$AB$18,"ERROR"))</f>
        <v>3.4857437045099799</v>
      </c>
      <c r="AD8" s="38">
        <f t="shared" si="2"/>
        <v>0.18779470162141434</v>
      </c>
      <c r="AE8" s="79">
        <f>IFERROR(VLOOKUP(E8,Categorías!$A$25:$C$27,3,0),0)</f>
        <v>8426873</v>
      </c>
      <c r="AF8" s="80">
        <f t="shared" si="3"/>
        <v>1582522.1006365528</v>
      </c>
      <c r="AG8" s="79">
        <f t="shared" si="4"/>
        <v>1582522</v>
      </c>
      <c r="AH8" s="35">
        <f t="shared" si="4"/>
        <v>1582522</v>
      </c>
      <c r="AI8" s="21">
        <f t="array" ref="AI8">AG8/(SUM(IF($C$4:$C$18=$C8,$AG$4:$AG$18,0)))</f>
        <v>8.5361225344029276E-2</v>
      </c>
    </row>
    <row r="9" spans="1:35" x14ac:dyDescent="0.25">
      <c r="A9" s="25" t="str">
        <f>Valores!A9</f>
        <v>UNIVERSIDAD CATÓLICA DEL MAULE</v>
      </c>
      <c r="B9" s="26" t="str">
        <f>Valores!B9</f>
        <v>UCM</v>
      </c>
      <c r="C9" s="27" t="str">
        <f>Valores!C9</f>
        <v>CRUCH-PRIVADA</v>
      </c>
      <c r="D9" s="27" t="str">
        <f>Valores!D9</f>
        <v>Categoría II</v>
      </c>
      <c r="E9" s="27" t="str">
        <f t="shared" si="0"/>
        <v>CRUCH-PRIVADACategoría II</v>
      </c>
      <c r="F9" s="29">
        <f>IFERROR(Valores!E9/Valores!F9*100,0)</f>
        <v>3.4250551491930805</v>
      </c>
      <c r="G9" s="30">
        <f>IFERROR(Valores!G9/Valores!H9,0)</f>
        <v>0.35648357964782729</v>
      </c>
      <c r="H9" s="30">
        <f>IFERROR((Valores!G9+Valores!I9+Valores!J9)/(Valores!H9),0)</f>
        <v>0.78465075662948924</v>
      </c>
      <c r="I9" s="30">
        <f>IFERROR(Valores!K9/Valores!H9,0)</f>
        <v>0.4620469342412149</v>
      </c>
      <c r="J9" s="30">
        <f>IFERROR(Valores!K9/Valores!G9,0)</f>
        <v>1.296124031007752</v>
      </c>
      <c r="K9" s="30">
        <f>IFERROR(Valores!L9/Valores!M9,0)</f>
        <v>3.5565217391304347</v>
      </c>
      <c r="L9" s="30">
        <f>IFERROR(Valores!N9/Valores!O9,0)</f>
        <v>0.7714420358152686</v>
      </c>
      <c r="M9" s="30">
        <f>IFERROR(Valores!P9/Valores!Q9,0)</f>
        <v>0.8504273504273504</v>
      </c>
      <c r="N9" s="30">
        <f>IFERROR(Valores!R9/Valores!S9,0)</f>
        <v>0.77353149327671622</v>
      </c>
      <c r="O9" s="28">
        <f>IF(Valores!W9&gt;0,Valores!T9/Valores!W9,IF(AND(Valores!W9=0,OR(Valores!V9&gt;0,Valores!U9&gt;0)),0,IF(AND(Valores!V9=0,Valores!W9=0,Valores!U9=0),"NC",)))</f>
        <v>0</v>
      </c>
      <c r="P9" s="31">
        <f>IFERROR((Valores!X9+Valores!Y9)*1000/(Valores!H9),0)</f>
        <v>2.431825969690605</v>
      </c>
      <c r="Q9" s="32">
        <f t="array" ref="Q9">F9/MAX(IF($E$4:$E$18=$E9,F$4:F$18))</f>
        <v>0.8644078073196847</v>
      </c>
      <c r="R9" s="32">
        <f t="array" ref="R9">G9/MAX(IF($E$4:$E$18=$E9,G$4:G$18))</f>
        <v>0.9241527553888601</v>
      </c>
      <c r="S9" s="32">
        <f t="array" ref="S9">H9/MAX(IF($E$4:$E$18=$E9,H$4:H$18))</f>
        <v>1</v>
      </c>
      <c r="T9" s="32">
        <f t="array" ref="T9">I9/MAX(IF($E$4:$E$18=$E9,I$4:I$18))</f>
        <v>0.4897679549005467</v>
      </c>
      <c r="U9" s="32">
        <f t="array" ref="U9">J9/MAX(IF($E$4:$E$18=$E9,J$4:J$18))</f>
        <v>0.52996428571428622</v>
      </c>
      <c r="V9" s="32">
        <f t="array" ref="V9">K9/MAX(IF($E$4:$E$18=$E9,K$4:K$18))</f>
        <v>0.29515542072647061</v>
      </c>
      <c r="W9" s="32">
        <f t="array" ref="W9">L9/MAX(IF($E$4:$E$18=$E9,L$4:L$18))</f>
        <v>0.97351007874494544</v>
      </c>
      <c r="X9" s="32">
        <f t="array" ref="X9">M9/MAX(IF($E$4:$E$18=$E9,M$4:M$18))</f>
        <v>0.95744161276076167</v>
      </c>
      <c r="Y9" s="32">
        <f t="array" ref="Y9">N9/MAX(IF($E$4:$E$18=$E9,N$4:N$18))</f>
        <v>1</v>
      </c>
      <c r="Z9" s="32">
        <f t="array" ref="Z9">IF(O9="NC","NC",IF(O9=0,0,IF(O9&gt;0,O9/MAX(IF($E$4:$E$18=$E9,$O$4:$O$18,"ERROR")))))</f>
        <v>0</v>
      </c>
      <c r="AA9" s="33">
        <f t="array" ref="AA9">IF(P9=0,0,P9/MAX(IF($E$4:$E$18=$E9,$P$4:$P$18)))</f>
        <v>8.4807187980147303E-2</v>
      </c>
      <c r="AB9" s="34">
        <f t="shared" si="1"/>
        <v>0.64720064577597303</v>
      </c>
      <c r="AC9" s="12">
        <f t="array" ref="AC9">SUM(IF($E$4:$E$18=$E9,$AB$4:$AB$18,"ERROR"))</f>
        <v>3.4857437045099799</v>
      </c>
      <c r="AD9" s="38">
        <f t="shared" si="2"/>
        <v>0.18567074938372596</v>
      </c>
      <c r="AE9" s="79">
        <f>IFERROR(VLOOKUP(E9,Categorías!$A$25:$C$27,3,0),0)</f>
        <v>8426873</v>
      </c>
      <c r="AF9" s="80">
        <f t="shared" si="3"/>
        <v>1564623.824871487</v>
      </c>
      <c r="AG9" s="79">
        <f t="shared" si="4"/>
        <v>1564624</v>
      </c>
      <c r="AH9" s="35">
        <f t="shared" si="4"/>
        <v>1564624</v>
      </c>
      <c r="AI9" s="21">
        <f t="array" ref="AI9">AG9/(SUM(IF($C$4:$C$18=$C9,$AG$4:$AG$18,0)))</f>
        <v>8.4395807352236785E-2</v>
      </c>
    </row>
    <row r="10" spans="1:35" x14ac:dyDescent="0.25">
      <c r="A10" s="25" t="str">
        <f>Valores!A10</f>
        <v>UNIVERSIDAD CATÓLICA DEL NORTE</v>
      </c>
      <c r="B10" s="26" t="str">
        <f>Valores!B10</f>
        <v>UCN</v>
      </c>
      <c r="C10" s="27" t="str">
        <f>Valores!C10</f>
        <v>CRUCH-PRIVADA</v>
      </c>
      <c r="D10" s="27" t="str">
        <f>Valores!D10</f>
        <v>Categoría II</v>
      </c>
      <c r="E10" s="27" t="str">
        <f t="shared" si="0"/>
        <v>CRUCH-PRIVADACategoría II</v>
      </c>
      <c r="F10" s="29">
        <f>IFERROR(Valores!E10/Valores!F10*100,0)</f>
        <v>3.9623139913709609</v>
      </c>
      <c r="G10" s="30">
        <f>IFERROR(Valores!G10/Valores!H10,0)</f>
        <v>0.34371561705421666</v>
      </c>
      <c r="H10" s="30">
        <f>IFERROR((Valores!G10+Valores!I10+Valores!J10)/(Valores!H10),0)</f>
        <v>0.64385735078331574</v>
      </c>
      <c r="I10" s="30">
        <f>IFERROR(Valores!K10/Valores!H10,0)</f>
        <v>0.71436660281280884</v>
      </c>
      <c r="J10" s="30">
        <f>IFERROR(Valores!K10/Valores!G10,0)</f>
        <v>2.0783652745697814</v>
      </c>
      <c r="K10" s="30">
        <f>IFERROR(Valores!L10/Valores!M10,0)</f>
        <v>5.5601774819744874</v>
      </c>
      <c r="L10" s="30">
        <f>IFERROR(Valores!N10/Valores!O10,0)</f>
        <v>0.49516797054763001</v>
      </c>
      <c r="M10" s="30">
        <f>IFERROR(Valores!P10/Valores!Q10,0)</f>
        <v>0.80947955390334569</v>
      </c>
      <c r="N10" s="30">
        <f>IFERROR(Valores!R10/Valores!S10,0)</f>
        <v>0.56695741405849154</v>
      </c>
      <c r="O10" s="28">
        <f>IF(Valores!W10&gt;0,Valores!T10/Valores!W10,IF(AND(Valores!W10=0,OR(Valores!V10&gt;0,Valores!U10&gt;0)),0,IF(AND(Valores!V10=0,Valores!W10=0,Valores!U10=0),"NC",)))</f>
        <v>0.1875</v>
      </c>
      <c r="P10" s="31">
        <f>IFERROR((Valores!X10+Valores!Y10)*1000/(Valores!H10),0)</f>
        <v>6.2939788794080078</v>
      </c>
      <c r="Q10" s="32">
        <f t="array" ref="Q10">F10/MAX(IF($E$4:$E$18=$E10,F$4:F$18))</f>
        <v>1</v>
      </c>
      <c r="R10" s="32">
        <f t="array" ref="R10">G10/MAX(IF($E$4:$E$18=$E10,G$4:G$18))</f>
        <v>0.89105291998201186</v>
      </c>
      <c r="S10" s="32">
        <f t="array" ref="S10">H10/MAX(IF($E$4:$E$18=$E10,H$4:H$18))</f>
        <v>0.8205655131832672</v>
      </c>
      <c r="T10" s="32">
        <f t="array" ref="T10">I10/MAX(IF($E$4:$E$18=$E10,I$4:I$18))</f>
        <v>0.75722582313732301</v>
      </c>
      <c r="U10" s="32">
        <f t="array" ref="U10">J10/MAX(IF($E$4:$E$18=$E10,J$4:J$18))</f>
        <v>0.84981015847252883</v>
      </c>
      <c r="V10" s="32">
        <f t="array" ref="V10">K10/MAX(IF($E$4:$E$18=$E10,K$4:K$18))</f>
        <v>0.46143863144423769</v>
      </c>
      <c r="W10" s="32">
        <f t="array" ref="W10">L10/MAX(IF($E$4:$E$18=$E10,L$4:L$18))</f>
        <v>0.62487003251042861</v>
      </c>
      <c r="X10" s="32">
        <f t="array" ref="X10">M10/MAX(IF($E$4:$E$18=$E10,M$4:M$18))</f>
        <v>0.91134111478966329</v>
      </c>
      <c r="Y10" s="32">
        <f t="array" ref="Y10">N10/MAX(IF($E$4:$E$18=$E10,N$4:N$18))</f>
        <v>0.73294677590544244</v>
      </c>
      <c r="Z10" s="32">
        <f t="array" ref="Z10">IF(O10="NC","NC",IF(O10=0,0,IF(O10&gt;0,O10/MAX(IF($E$4:$E$18=$E10,$O$4:$O$18,"ERROR")))))</f>
        <v>0.5625</v>
      </c>
      <c r="AA10" s="33">
        <f t="array" ref="AA10">IF(P10=0,0,P10/MAX(IF($E$4:$E$18=$E10,$P$4:$P$18)))</f>
        <v>0.21949541481249277</v>
      </c>
      <c r="AB10" s="34">
        <f t="shared" si="1"/>
        <v>0.71193148947612694</v>
      </c>
      <c r="AC10" s="12">
        <f t="array" ref="AC10">SUM(IF($E$4:$E$18=$E10,$AB$4:$AB$18,"ERROR"))</f>
        <v>3.4857437045099799</v>
      </c>
      <c r="AD10" s="38">
        <f t="shared" si="2"/>
        <v>0.20424091666722499</v>
      </c>
      <c r="AE10" s="79">
        <f>IFERROR(VLOOKUP(E10,Categorías!$A$25:$C$27,3,0),0)</f>
        <v>8426873</v>
      </c>
      <c r="AF10" s="80">
        <f t="shared" si="3"/>
        <v>1721112.2661582883</v>
      </c>
      <c r="AG10" s="79">
        <f t="shared" si="4"/>
        <v>1721112</v>
      </c>
      <c r="AH10" s="35">
        <f t="shared" si="4"/>
        <v>1721112</v>
      </c>
      <c r="AI10" s="21">
        <f t="array" ref="AI10">AG10/(SUM(IF($C$4:$C$18=$C10,$AG$4:$AG$18,0)))</f>
        <v>9.2836768951277085E-2</v>
      </c>
    </row>
    <row r="11" spans="1:35" x14ac:dyDescent="0.25">
      <c r="A11" s="25" t="str">
        <f>Valores!A11</f>
        <v>UNIVERSIDAD DE CONCEPCIÓN</v>
      </c>
      <c r="B11" s="26" t="str">
        <f>Valores!B11</f>
        <v>UCO</v>
      </c>
      <c r="C11" s="27" t="str">
        <f>Valores!C11</f>
        <v>CRUCH-PRIVADA</v>
      </c>
      <c r="D11" s="27" t="str">
        <f>Valores!D11</f>
        <v>Categoría I</v>
      </c>
      <c r="E11" s="27" t="str">
        <f t="shared" si="0"/>
        <v>CRUCH-PRIVADACategoría I</v>
      </c>
      <c r="F11" s="29">
        <f>IFERROR(Valores!E11/Valores!F11*100,0)</f>
        <v>4.2187614242889522</v>
      </c>
      <c r="G11" s="30">
        <f>IFERROR(Valores!G11/Valores!H11,0)</f>
        <v>0.52636805113803853</v>
      </c>
      <c r="H11" s="30">
        <f>IFERROR((Valores!G11+Valores!I11+Valores!J11)/(Valores!H11),0)</f>
        <v>0.86720556064108734</v>
      </c>
      <c r="I11" s="30">
        <f>IFERROR(Valores!K11/Valores!H11,0)</f>
        <v>0.86835368407987235</v>
      </c>
      <c r="J11" s="30">
        <f>IFERROR(Valores!K11/Valores!G11,0)</f>
        <v>1.6497081884100695</v>
      </c>
      <c r="K11" s="30">
        <f>IFERROR(Valores!L11/Valores!M11,0)</f>
        <v>7.2595515695067263</v>
      </c>
      <c r="L11" s="30">
        <f>IFERROR(Valores!N11/Valores!O11,0)</f>
        <v>0.64698983580922598</v>
      </c>
      <c r="M11" s="30">
        <f>IFERROR(Valores!P11/Valores!Q11,0)</f>
        <v>0.81493775933609958</v>
      </c>
      <c r="N11" s="30">
        <f>IFERROR(Valores!R11/Valores!S11,0)</f>
        <v>0.66556632968846707</v>
      </c>
      <c r="O11" s="28">
        <f>IF(Valores!W11&gt;0,Valores!T11/Valores!W11,IF(AND(Valores!W11=0,OR(Valores!V11&gt;0,Valores!U11&gt;0)),0,IF(AND(Valores!V11=0,Valores!W11=0,Valores!U11=0),"NC",)))</f>
        <v>0.29906542056074764</v>
      </c>
      <c r="P11" s="31">
        <f>IFERROR((Valores!X11+Valores!Y11)*1000/(Valores!H11),0)</f>
        <v>9.557351868803627</v>
      </c>
      <c r="Q11" s="32">
        <f t="array" ref="Q11">F11/MAX(IF($E$4:$E$18=$E11,F$4:F$18))</f>
        <v>0.84820721104374441</v>
      </c>
      <c r="R11" s="32">
        <f t="array" ref="R11">G11/MAX(IF($E$4:$E$18=$E11,G$4:G$18))</f>
        <v>0.83262924249878656</v>
      </c>
      <c r="S11" s="32">
        <f t="array" ref="S11">H11/MAX(IF($E$4:$E$18=$E11,H$4:H$18))</f>
        <v>0.98701567079401309</v>
      </c>
      <c r="T11" s="32">
        <f t="array" ref="T11">I11/MAX(IF($E$4:$E$18=$E11,I$4:I$18))</f>
        <v>0.72808126233094717</v>
      </c>
      <c r="U11" s="32">
        <f t="array" ref="U11">J11/MAX(IF($E$4:$E$18=$E11,J$4:J$18))</f>
        <v>0.73483218687003582</v>
      </c>
      <c r="V11" s="32">
        <f t="array" ref="V11">K11/MAX(IF($E$4:$E$18=$E11,K$4:K$18))</f>
        <v>0.74558747059299169</v>
      </c>
      <c r="W11" s="32">
        <f t="array" ref="W11">L11/MAX(IF($E$4:$E$18=$E11,L$4:L$18))</f>
        <v>1</v>
      </c>
      <c r="X11" s="32">
        <f t="array" ref="X11">M11/MAX(IF($E$4:$E$18=$E11,M$4:M$18))</f>
        <v>0.92223207547649233</v>
      </c>
      <c r="Y11" s="32">
        <f t="array" ref="Y11">N11/MAX(IF($E$4:$E$18=$E11,N$4:N$18))</f>
        <v>0.87886107678732683</v>
      </c>
      <c r="Z11" s="32">
        <f t="array" ref="Z11">IF(O11="NC","NC",IF(O11=0,0,IF(O11&gt;0,O11/MAX(IF($E$4:$E$18=$E11,$O$4:$O$18,"ERROR")))))</f>
        <v>1</v>
      </c>
      <c r="AA11" s="33">
        <f t="array" ref="AA11">IF(P11=0,0,P11/MAX(IF($E$4:$E$18=$E11,$P$4:$P$18)))</f>
        <v>0.47634710564287153</v>
      </c>
      <c r="AB11" s="34">
        <f t="shared" si="1"/>
        <v>0.83216302745792814</v>
      </c>
      <c r="AC11" s="12">
        <f t="array" ref="AC11">SUM(IF($E$4:$E$18=$E11,$AB$4:$AB$18,"ERROR"))</f>
        <v>3.2007547909062897</v>
      </c>
      <c r="AD11" s="38">
        <f t="shared" si="2"/>
        <v>0.25998962176740265</v>
      </c>
      <c r="AE11" s="79">
        <f>IFERROR(VLOOKUP(E11,Categorías!$A$25:$C$27,3,0),0)</f>
        <v>10112247</v>
      </c>
      <c r="AF11" s="80">
        <f t="shared" si="3"/>
        <v>2629079.2727485523</v>
      </c>
      <c r="AG11" s="79">
        <f t="shared" si="4"/>
        <v>2629079</v>
      </c>
      <c r="AH11" s="35">
        <f t="shared" si="4"/>
        <v>2629079</v>
      </c>
      <c r="AI11" s="21">
        <f t="array" ref="AI11">AG11/(SUM(IF($C$4:$C$18=$C11,$AG$4:$AG$18,0)))</f>
        <v>0.14181250242729967</v>
      </c>
    </row>
    <row r="12" spans="1:35" x14ac:dyDescent="0.25">
      <c r="A12" s="25" t="str">
        <f>Valores!A12</f>
        <v>UNIVERSIDAD TÉCNICA FEDERICO SANTA MARÍA</v>
      </c>
      <c r="B12" s="26" t="str">
        <f>Valores!B12</f>
        <v>FSM</v>
      </c>
      <c r="C12" s="27" t="str">
        <f>Valores!C12</f>
        <v>CRUCH-PRIVADA</v>
      </c>
      <c r="D12" s="27" t="str">
        <f>Valores!D12</f>
        <v>Categoría II</v>
      </c>
      <c r="E12" s="27" t="str">
        <f t="shared" si="0"/>
        <v>CRUCH-PRIVADACategoría II</v>
      </c>
      <c r="F12" s="29">
        <f>IFERROR(Valores!E12/Valores!F12*100,0)</f>
        <v>2.4618567364882336</v>
      </c>
      <c r="G12" s="30">
        <f>IFERROR(Valores!G12/Valores!H12,0)</f>
        <v>0.38574096930309754</v>
      </c>
      <c r="H12" s="30">
        <f>IFERROR((Valores!G12+Valores!I12+Valores!J12)/(Valores!H12),0)</f>
        <v>0.64596802291504529</v>
      </c>
      <c r="I12" s="30">
        <f>IFERROR(Valores!K12/Valores!H12,0)</f>
        <v>0.94339968472424685</v>
      </c>
      <c r="J12" s="30">
        <f>IFERROR(Valores!K12/Valores!G12,0)</f>
        <v>2.4456818429959579</v>
      </c>
      <c r="K12" s="30">
        <f>IFERROR(Valores!L12/Valores!M12,0)</f>
        <v>12.049657534246576</v>
      </c>
      <c r="L12" s="30">
        <f>IFERROR(Valores!N12/Valores!O12,0)</f>
        <v>0.4916077738515901</v>
      </c>
      <c r="M12" s="30">
        <f>IFERROR(Valores!P12/Valores!Q12,0)</f>
        <v>0.81988472622478381</v>
      </c>
      <c r="N12" s="30">
        <f>IFERROR(Valores!R12/Valores!S12,0)</f>
        <v>0.61858454889249059</v>
      </c>
      <c r="O12" s="28">
        <f>IF(Valores!W12&gt;0,Valores!T12/Valores!W12,IF(AND(Valores!W12=0,OR(Valores!V12&gt;0,Valores!U12&gt;0)),0,IF(AND(Valores!V12=0,Valores!W12=0,Valores!U12=0),"NC",)))</f>
        <v>0.33333333333333331</v>
      </c>
      <c r="P12" s="31">
        <f>IFERROR((Valores!X12+Valores!Y12)*1000/(Valores!H12),0)</f>
        <v>28.674762453624524</v>
      </c>
      <c r="Q12" s="32">
        <f t="array" ref="Q12">F12/MAX(IF($E$4:$E$18=$E12,F$4:F$18))</f>
        <v>0.6213179323621526</v>
      </c>
      <c r="R12" s="32">
        <f t="array" ref="R12">G12/MAX(IF($E$4:$E$18=$E12,G$4:G$18))</f>
        <v>1</v>
      </c>
      <c r="S12" s="32">
        <f t="array" ref="S12">H12/MAX(IF($E$4:$E$18=$E12,H$4:H$18))</f>
        <v>0.82325546423970419</v>
      </c>
      <c r="T12" s="32">
        <f t="array" ref="T12">I12/MAX(IF($E$4:$E$18=$E12,I$4:I$18))</f>
        <v>1</v>
      </c>
      <c r="U12" s="32">
        <f t="array" ref="U12">J12/MAX(IF($E$4:$E$18=$E12,J$4:J$18))</f>
        <v>1</v>
      </c>
      <c r="V12" s="32">
        <f t="array" ref="V12">K12/MAX(IF($E$4:$E$18=$E12,K$4:K$18))</f>
        <v>1</v>
      </c>
      <c r="W12" s="32">
        <f t="array" ref="W12">L12/MAX(IF($E$4:$E$18=$E12,L$4:L$18))</f>
        <v>0.62037729397013563</v>
      </c>
      <c r="X12" s="32">
        <f t="array" ref="X12">M12/MAX(IF($E$4:$E$18=$E12,M$4:M$18))</f>
        <v>0.92305563098376875</v>
      </c>
      <c r="Y12" s="32">
        <f t="array" ref="Y12">N12/MAX(IF($E$4:$E$18=$E12,N$4:N$18))</f>
        <v>0.79968889989486658</v>
      </c>
      <c r="Z12" s="32">
        <f t="array" ref="Z12">IF(O12="NC","NC",IF(O12=0,0,IF(O12&gt;0,O12/MAX(IF($E$4:$E$18=$E12,$O$4:$O$18,"ERROR")))))</f>
        <v>1</v>
      </c>
      <c r="AA12" s="33">
        <f t="array" ref="AA12">IF(P12=0,0,P12/MAX(IF($E$4:$E$18=$E12,$P$4:$P$18)))</f>
        <v>1</v>
      </c>
      <c r="AB12" s="34">
        <f t="shared" si="1"/>
        <v>0.88979047467732997</v>
      </c>
      <c r="AC12" s="12">
        <f t="array" ref="AC12">SUM(IF($E$4:$E$18=$E12,$AB$4:$AB$18,"ERROR"))</f>
        <v>3.4857437045099799</v>
      </c>
      <c r="AD12" s="38">
        <f t="shared" si="2"/>
        <v>0.25526560473338505</v>
      </c>
      <c r="AE12" s="79">
        <f>IFERROR(VLOOKUP(E12,Categorías!$A$25:$C$27,3,0),0)</f>
        <v>8426873</v>
      </c>
      <c r="AF12" s="80">
        <f t="shared" si="3"/>
        <v>2151090.8323564348</v>
      </c>
      <c r="AG12" s="79">
        <f t="shared" si="4"/>
        <v>2151091</v>
      </c>
      <c r="AH12" s="35">
        <f t="shared" si="4"/>
        <v>2151091</v>
      </c>
      <c r="AI12" s="21">
        <f t="array" ref="AI12">AG12/(SUM(IF($C$4:$C$18=$C12,$AG$4:$AG$18,0)))</f>
        <v>0.11602983313123816</v>
      </c>
    </row>
    <row r="13" spans="1:35" x14ac:dyDescent="0.25">
      <c r="F13" s="177">
        <f>SUM(F4:F12)</f>
        <v>31.961223848355431</v>
      </c>
      <c r="G13" s="177">
        <f t="shared" ref="G13:P13" si="5">SUM(G4:G12)</f>
        <v>3.7947201143987237</v>
      </c>
      <c r="H13" s="177">
        <f t="shared" si="5"/>
        <v>6.8767866764491519</v>
      </c>
      <c r="I13" s="177">
        <f t="shared" si="5"/>
        <v>6.803117911196563</v>
      </c>
      <c r="J13" s="177">
        <f t="shared" si="5"/>
        <v>15.834403124126696</v>
      </c>
      <c r="K13" s="177">
        <f t="shared" si="5"/>
        <v>58.34891105021542</v>
      </c>
      <c r="L13" s="177">
        <f t="shared" si="5"/>
        <v>5.4241102213604053</v>
      </c>
      <c r="M13" s="177">
        <f t="shared" si="5"/>
        <v>7.591024286568322</v>
      </c>
      <c r="N13" s="177">
        <f t="shared" si="5"/>
        <v>6.1112228946058629</v>
      </c>
      <c r="O13" s="177">
        <f t="shared" si="5"/>
        <v>1.3472480446742228</v>
      </c>
      <c r="P13" s="177">
        <f t="shared" si="5"/>
        <v>68.110813658088219</v>
      </c>
      <c r="AF13" s="81">
        <f>SUM(AF4:AF12)</f>
        <v>18539120</v>
      </c>
      <c r="AG13" s="82">
        <f>SUM(AG4:AG12)</f>
        <v>18539120</v>
      </c>
      <c r="AH13" s="75">
        <f t="shared" si="4"/>
        <v>18539120</v>
      </c>
      <c r="AI13" s="116">
        <f>SUM(AI4:AI12)</f>
        <v>1</v>
      </c>
    </row>
    <row r="19" spans="33:35" x14ac:dyDescent="0.25">
      <c r="AG19" s="39"/>
      <c r="AH19" s="39"/>
      <c r="AI19" s="39"/>
    </row>
    <row r="20" spans="33:35" x14ac:dyDescent="0.25">
      <c r="AG20" s="39"/>
      <c r="AH20" s="39"/>
      <c r="AI20" s="39"/>
    </row>
    <row r="21" spans="33:35" x14ac:dyDescent="0.25">
      <c r="AG21" s="41"/>
      <c r="AH21" s="39"/>
      <c r="AI21" s="41"/>
    </row>
    <row r="22" spans="33:35" x14ac:dyDescent="0.25">
      <c r="AG22" s="41"/>
      <c r="AH22" s="39"/>
      <c r="AI22" s="41"/>
    </row>
    <row r="23" spans="33:35" x14ac:dyDescent="0.25">
      <c r="AG23" s="41"/>
      <c r="AH23" s="39"/>
      <c r="AI23" s="41"/>
    </row>
    <row r="24" spans="33:35" x14ac:dyDescent="0.25">
      <c r="AG24" s="41"/>
      <c r="AH24" s="39"/>
      <c r="AI24" s="41"/>
    </row>
    <row r="25" spans="33:35" x14ac:dyDescent="0.25">
      <c r="AG25" s="41"/>
      <c r="AH25" s="39"/>
      <c r="AI25" s="41"/>
    </row>
    <row r="26" spans="33:35" x14ac:dyDescent="0.25">
      <c r="AG26" s="41"/>
      <c r="AH26" s="39"/>
      <c r="AI26" s="41"/>
    </row>
    <row r="27" spans="33:35" x14ac:dyDescent="0.25">
      <c r="AG27" s="41"/>
      <c r="AH27" s="39"/>
      <c r="AI27" s="41"/>
    </row>
    <row r="28" spans="33:35" x14ac:dyDescent="0.25">
      <c r="AG28" s="41"/>
      <c r="AH28" s="39"/>
      <c r="AI28" s="41"/>
    </row>
    <row r="29" spans="33:35" x14ac:dyDescent="0.25">
      <c r="AG29" s="41"/>
      <c r="AH29" s="39"/>
      <c r="AI29" s="41"/>
    </row>
    <row r="30" spans="33:35" x14ac:dyDescent="0.25">
      <c r="AG30" s="41"/>
      <c r="AH30" s="39"/>
      <c r="AI30" s="41"/>
    </row>
    <row r="31" spans="33:35" x14ac:dyDescent="0.25">
      <c r="AG31" s="41"/>
      <c r="AH31" s="39"/>
      <c r="AI31" s="41"/>
    </row>
    <row r="32" spans="33:35" x14ac:dyDescent="0.25">
      <c r="AG32" s="41"/>
      <c r="AH32" s="39"/>
      <c r="AI32" s="41"/>
    </row>
    <row r="33" spans="17:35" x14ac:dyDescent="0.25">
      <c r="AE33" s="40"/>
      <c r="AF33" s="41"/>
      <c r="AG33" s="41"/>
      <c r="AH33" s="39"/>
      <c r="AI33" s="41"/>
    </row>
    <row r="34" spans="17:35" x14ac:dyDescent="0.25">
      <c r="AE34" s="40"/>
      <c r="AF34" s="41"/>
      <c r="AG34" s="41"/>
      <c r="AH34" s="39"/>
      <c r="AI34" s="41"/>
    </row>
    <row r="35" spans="17:35" x14ac:dyDescent="0.25">
      <c r="AE35" s="40"/>
      <c r="AF35" s="41"/>
      <c r="AG35" s="41"/>
      <c r="AH35" s="39"/>
      <c r="AI35" s="41"/>
    </row>
    <row r="36" spans="17:35" x14ac:dyDescent="0.25">
      <c r="AE36" s="40"/>
      <c r="AF36" s="41"/>
      <c r="AG36" s="41"/>
      <c r="AH36" s="39"/>
      <c r="AI36" s="41"/>
    </row>
    <row r="37" spans="17:35" x14ac:dyDescent="0.25">
      <c r="AE37" s="40"/>
      <c r="AF37" s="41"/>
      <c r="AG37" s="41"/>
      <c r="AH37" s="39"/>
      <c r="AI37" s="41"/>
    </row>
    <row r="38" spans="17:35" x14ac:dyDescent="0.25">
      <c r="AE38" s="40"/>
      <c r="AF38" s="41"/>
      <c r="AG38" s="41"/>
      <c r="AH38" s="39"/>
      <c r="AI38" s="41"/>
    </row>
    <row r="39" spans="17:35" x14ac:dyDescent="0.25">
      <c r="AE39" s="40"/>
      <c r="AF39" s="41"/>
      <c r="AG39" s="41"/>
      <c r="AH39" s="39"/>
      <c r="AI39" s="41"/>
    </row>
    <row r="40" spans="17:35" x14ac:dyDescent="0.25">
      <c r="AE40" s="40"/>
      <c r="AF40" s="41"/>
      <c r="AG40" s="41"/>
      <c r="AH40" s="39"/>
      <c r="AI40" s="41"/>
    </row>
    <row r="41" spans="17:35" x14ac:dyDescent="0.25">
      <c r="AE41" s="40"/>
      <c r="AF41" s="41"/>
      <c r="AG41" s="41"/>
      <c r="AH41" s="39"/>
      <c r="AI41" s="41"/>
    </row>
    <row r="42" spans="17:35" x14ac:dyDescent="0.25">
      <c r="AE42" s="40"/>
      <c r="AF42" s="41"/>
      <c r="AG42" s="41"/>
      <c r="AH42" s="39"/>
      <c r="AI42" s="41"/>
    </row>
    <row r="43" spans="17:35" x14ac:dyDescent="0.25">
      <c r="AE43" s="40"/>
      <c r="AF43" s="41"/>
      <c r="AG43" s="41"/>
      <c r="AH43" s="39"/>
      <c r="AI43" s="41"/>
    </row>
    <row r="44" spans="17:35" x14ac:dyDescent="0.25">
      <c r="AE44" s="40"/>
      <c r="AF44" s="41"/>
      <c r="AG44" s="41"/>
      <c r="AH44" s="39"/>
      <c r="AI44" s="41"/>
    </row>
    <row r="45" spans="17:35" x14ac:dyDescent="0.25">
      <c r="AE45" s="40"/>
      <c r="AF45" s="41"/>
      <c r="AG45" s="41"/>
      <c r="AH45" s="39"/>
      <c r="AI45" s="41"/>
    </row>
    <row r="46" spans="17:35" x14ac:dyDescent="0.25">
      <c r="AE46" s="40"/>
      <c r="AF46" s="41"/>
      <c r="AG46" s="41"/>
      <c r="AH46" s="39"/>
      <c r="AI46" s="41"/>
    </row>
    <row r="47" spans="17:35" x14ac:dyDescent="0.25">
      <c r="AD47" s="39"/>
      <c r="AE47" s="40"/>
      <c r="AF47" s="41"/>
      <c r="AG47" s="41"/>
      <c r="AH47" s="39"/>
      <c r="AI47" s="41"/>
    </row>
    <row r="48" spans="17:35" x14ac:dyDescent="0.25">
      <c r="Q48" s="42" t="e">
        <f>#REF!-#REF!</f>
        <v>#REF!</v>
      </c>
      <c r="R48" s="42" t="e">
        <f>#REF!-#REF!</f>
        <v>#REF!</v>
      </c>
      <c r="S48" s="42" t="e">
        <f>#REF!-#REF!</f>
        <v>#REF!</v>
      </c>
      <c r="T48" s="42" t="e">
        <f>#REF!-#REF!</f>
        <v>#REF!</v>
      </c>
      <c r="U48" s="42" t="e">
        <f>#REF!-#REF!</f>
        <v>#REF!</v>
      </c>
      <c r="V48" s="42"/>
      <c r="W48" s="42"/>
      <c r="X48" s="42"/>
      <c r="Y48" s="42"/>
      <c r="Z48" s="42"/>
      <c r="AA48" s="42"/>
      <c r="AB48" s="42"/>
      <c r="AC48" s="42"/>
      <c r="AD48" s="42"/>
      <c r="AE48" s="40"/>
      <c r="AF48" s="41"/>
      <c r="AG48" s="41"/>
      <c r="AH48" s="39"/>
      <c r="AI48" s="41"/>
    </row>
    <row r="49" spans="17:35" x14ac:dyDescent="0.25">
      <c r="Q49" s="42" t="e">
        <f>#REF!-Q18</f>
        <v>#REF!</v>
      </c>
      <c r="R49" s="42" t="e">
        <f>#REF!-R18</f>
        <v>#REF!</v>
      </c>
      <c r="S49" s="42" t="e">
        <f>#REF!-S18</f>
        <v>#REF!</v>
      </c>
      <c r="T49" s="42" t="e">
        <f>#REF!-T18</f>
        <v>#REF!</v>
      </c>
      <c r="U49" s="42" t="e">
        <f>#REF!-U18</f>
        <v>#REF!</v>
      </c>
      <c r="V49" s="42"/>
      <c r="W49" s="42"/>
      <c r="X49" s="42"/>
      <c r="Y49" s="42"/>
      <c r="Z49" s="42"/>
      <c r="AA49" s="42"/>
      <c r="AB49" s="42"/>
      <c r="AC49" s="42"/>
      <c r="AD49" s="42"/>
      <c r="AE49" s="40"/>
      <c r="AF49" s="41"/>
      <c r="AG49" s="41"/>
      <c r="AH49" s="39"/>
      <c r="AI49" s="41"/>
    </row>
    <row r="50" spans="17:35" x14ac:dyDescent="0.25">
      <c r="Q50" s="42" t="e">
        <f>#REF!-Q19</f>
        <v>#REF!</v>
      </c>
      <c r="R50" s="42" t="e">
        <f>#REF!-R19</f>
        <v>#REF!</v>
      </c>
      <c r="S50" s="42" t="e">
        <f>#REF!-S19</f>
        <v>#REF!</v>
      </c>
      <c r="T50" s="42" t="e">
        <f>#REF!-T19</f>
        <v>#REF!</v>
      </c>
      <c r="U50" s="42" t="e">
        <f>#REF!-U19</f>
        <v>#REF!</v>
      </c>
      <c r="V50" s="42"/>
      <c r="W50" s="42"/>
      <c r="X50" s="42"/>
      <c r="Y50" s="42"/>
      <c r="Z50" s="42"/>
      <c r="AA50" s="42"/>
      <c r="AB50" s="42"/>
      <c r="AC50" s="42"/>
      <c r="AD50" s="42"/>
      <c r="AE50" s="40"/>
      <c r="AF50" s="41"/>
      <c r="AG50" s="41"/>
      <c r="AH50" s="39"/>
      <c r="AI50" s="41"/>
    </row>
    <row r="51" spans="17:35" x14ac:dyDescent="0.25">
      <c r="Q51" s="42" t="e">
        <f>#REF!-Q20</f>
        <v>#REF!</v>
      </c>
      <c r="R51" s="42" t="e">
        <f>#REF!-R20</f>
        <v>#REF!</v>
      </c>
      <c r="S51" s="42" t="e">
        <f>#REF!-S20</f>
        <v>#REF!</v>
      </c>
      <c r="T51" s="42" t="e">
        <f>#REF!-T20</f>
        <v>#REF!</v>
      </c>
      <c r="U51" s="42" t="e">
        <f>#REF!-U20</f>
        <v>#REF!</v>
      </c>
      <c r="V51" s="42"/>
      <c r="W51" s="42"/>
      <c r="X51" s="42"/>
      <c r="Y51" s="42"/>
      <c r="Z51" s="42"/>
      <c r="AA51" s="42"/>
      <c r="AB51" s="42"/>
      <c r="AC51" s="42"/>
      <c r="AD51" s="42"/>
      <c r="AE51" s="39"/>
      <c r="AF51" s="39"/>
      <c r="AG51" s="41"/>
      <c r="AH51" s="39"/>
      <c r="AI51" s="41"/>
    </row>
    <row r="52" spans="17:35" x14ac:dyDescent="0.25">
      <c r="Q52" s="42" t="e">
        <f>#REF!-Q21</f>
        <v>#REF!</v>
      </c>
      <c r="R52" s="42" t="e">
        <f>#REF!-R21</f>
        <v>#REF!</v>
      </c>
      <c r="S52" s="42" t="e">
        <f>#REF!-S21</f>
        <v>#REF!</v>
      </c>
      <c r="T52" s="42" t="e">
        <f>#REF!-T21</f>
        <v>#REF!</v>
      </c>
      <c r="U52" s="42" t="e">
        <f>#REF!-U21</f>
        <v>#REF!</v>
      </c>
      <c r="V52" s="42"/>
      <c r="W52" s="42"/>
      <c r="X52" s="42"/>
      <c r="Y52" s="42"/>
      <c r="Z52" s="42"/>
      <c r="AA52" s="42"/>
      <c r="AB52" s="42"/>
      <c r="AC52" s="42"/>
      <c r="AD52" s="42"/>
      <c r="AE52" s="39"/>
      <c r="AF52" s="39"/>
      <c r="AG52" s="39"/>
      <c r="AH52" s="39"/>
      <c r="AI52" s="39"/>
    </row>
    <row r="53" spans="17:35" x14ac:dyDescent="0.25">
      <c r="Q53" s="42" t="e">
        <f>#REF!-Q22</f>
        <v>#REF!</v>
      </c>
      <c r="R53" s="42" t="e">
        <f>#REF!-R22</f>
        <v>#REF!</v>
      </c>
      <c r="S53" s="42" t="e">
        <f>#REF!-S22</f>
        <v>#REF!</v>
      </c>
      <c r="T53" s="42" t="e">
        <f>#REF!-T22</f>
        <v>#REF!</v>
      </c>
      <c r="U53" s="42" t="e">
        <f>#REF!-U22</f>
        <v>#REF!</v>
      </c>
      <c r="V53" s="42"/>
      <c r="W53" s="42"/>
      <c r="X53" s="42"/>
      <c r="Y53" s="42"/>
      <c r="Z53" s="42"/>
      <c r="AA53" s="42"/>
      <c r="AB53" s="42"/>
      <c r="AC53" s="42"/>
      <c r="AD53" s="42"/>
      <c r="AE53" s="39"/>
      <c r="AF53" s="39"/>
      <c r="AG53" s="39"/>
      <c r="AH53" s="39"/>
      <c r="AI53" s="39"/>
    </row>
    <row r="54" spans="17:35" x14ac:dyDescent="0.25">
      <c r="Q54" s="42" t="e">
        <f>#REF!-Q23</f>
        <v>#REF!</v>
      </c>
      <c r="R54" s="42" t="e">
        <f>#REF!-R23</f>
        <v>#REF!</v>
      </c>
      <c r="S54" s="42" t="e">
        <f>#REF!-S23</f>
        <v>#REF!</v>
      </c>
      <c r="T54" s="42" t="e">
        <f>#REF!-T23</f>
        <v>#REF!</v>
      </c>
      <c r="U54" s="42" t="e">
        <f>#REF!-U23</f>
        <v>#REF!</v>
      </c>
      <c r="V54" s="42"/>
      <c r="W54" s="42"/>
      <c r="X54" s="42"/>
      <c r="Y54" s="42"/>
      <c r="Z54" s="42"/>
      <c r="AA54" s="42"/>
      <c r="AB54" s="42"/>
      <c r="AC54" s="42"/>
      <c r="AD54" s="42"/>
    </row>
    <row r="55" spans="17:35" x14ac:dyDescent="0.25">
      <c r="Q55" s="42" t="e">
        <f>#REF!-Q24</f>
        <v>#REF!</v>
      </c>
      <c r="R55" s="42" t="e">
        <f>#REF!-R24</f>
        <v>#REF!</v>
      </c>
      <c r="S55" s="42" t="e">
        <f>#REF!-S24</f>
        <v>#REF!</v>
      </c>
      <c r="T55" s="42" t="e">
        <f>#REF!-T24</f>
        <v>#REF!</v>
      </c>
      <c r="U55" s="42" t="e">
        <f>#REF!-U24</f>
        <v>#REF!</v>
      </c>
      <c r="V55" s="42"/>
      <c r="W55" s="42"/>
      <c r="X55" s="42"/>
      <c r="Y55" s="42"/>
      <c r="Z55" s="42"/>
      <c r="AA55" s="42"/>
      <c r="AB55" s="42"/>
      <c r="AC55" s="42"/>
      <c r="AD55" s="42"/>
    </row>
    <row r="56" spans="17:35" x14ac:dyDescent="0.25">
      <c r="Q56" s="42" t="e">
        <f>#REF!-Q25</f>
        <v>#REF!</v>
      </c>
      <c r="R56" s="42" t="e">
        <f>#REF!-R25</f>
        <v>#REF!</v>
      </c>
      <c r="S56" s="42" t="e">
        <f>#REF!-S25</f>
        <v>#REF!</v>
      </c>
      <c r="T56" s="42" t="e">
        <f>#REF!-T25</f>
        <v>#REF!</v>
      </c>
      <c r="U56" s="42" t="e">
        <f>#REF!-U25</f>
        <v>#REF!</v>
      </c>
      <c r="V56" s="42"/>
      <c r="W56" s="42"/>
      <c r="X56" s="42"/>
      <c r="Y56" s="42"/>
      <c r="Z56" s="42"/>
      <c r="AA56" s="42"/>
      <c r="AB56" s="42"/>
      <c r="AC56" s="42"/>
      <c r="AD56" s="42"/>
    </row>
    <row r="57" spans="17:35" x14ac:dyDescent="0.25">
      <c r="Q57" s="42" t="e">
        <f>#REF!-Q26</f>
        <v>#REF!</v>
      </c>
      <c r="R57" s="42" t="e">
        <f>#REF!-R26</f>
        <v>#REF!</v>
      </c>
      <c r="S57" s="42" t="e">
        <f>#REF!-S26</f>
        <v>#REF!</v>
      </c>
      <c r="T57" s="42" t="e">
        <f>#REF!-T26</f>
        <v>#REF!</v>
      </c>
      <c r="U57" s="42" t="e">
        <f>#REF!-U26</f>
        <v>#REF!</v>
      </c>
      <c r="V57" s="42"/>
      <c r="W57" s="42"/>
      <c r="X57" s="42"/>
      <c r="Y57" s="42"/>
      <c r="Z57" s="42"/>
      <c r="AA57" s="42"/>
      <c r="AB57" s="42"/>
      <c r="AC57" s="42"/>
      <c r="AD57" s="42"/>
    </row>
    <row r="58" spans="17:35" x14ac:dyDescent="0.25">
      <c r="Q58" s="42" t="e">
        <f>#REF!-Q27</f>
        <v>#REF!</v>
      </c>
      <c r="R58" s="42" t="e">
        <f>#REF!-R27</f>
        <v>#REF!</v>
      </c>
      <c r="S58" s="42" t="e">
        <f>#REF!-S27</f>
        <v>#REF!</v>
      </c>
      <c r="T58" s="42" t="e">
        <f>#REF!-T27</f>
        <v>#REF!</v>
      </c>
      <c r="U58" s="42" t="e">
        <f>#REF!-U27</f>
        <v>#REF!</v>
      </c>
      <c r="V58" s="42"/>
      <c r="W58" s="42"/>
      <c r="X58" s="42"/>
      <c r="Y58" s="42"/>
      <c r="Z58" s="42"/>
      <c r="AA58" s="42"/>
      <c r="AB58" s="42"/>
      <c r="AC58" s="42"/>
      <c r="AD58" s="42"/>
    </row>
    <row r="59" spans="17:35" x14ac:dyDescent="0.25">
      <c r="Q59" s="42" t="e">
        <f>#REF!-Q28</f>
        <v>#REF!</v>
      </c>
      <c r="R59" s="42" t="e">
        <f>#REF!-R28</f>
        <v>#REF!</v>
      </c>
      <c r="S59" s="42" t="e">
        <f>#REF!-S28</f>
        <v>#REF!</v>
      </c>
      <c r="T59" s="42" t="e">
        <f>#REF!-T28</f>
        <v>#REF!</v>
      </c>
      <c r="U59" s="42" t="e">
        <f>#REF!-U28</f>
        <v>#REF!</v>
      </c>
      <c r="V59" s="42"/>
      <c r="W59" s="42"/>
      <c r="X59" s="42"/>
      <c r="Y59" s="42"/>
      <c r="Z59" s="42"/>
      <c r="AA59" s="42"/>
      <c r="AB59" s="42"/>
      <c r="AC59" s="42"/>
      <c r="AD59" s="42"/>
    </row>
    <row r="60" spans="17:35" x14ac:dyDescent="0.25">
      <c r="Q60" s="42" t="e">
        <f>#REF!-Q29</f>
        <v>#REF!</v>
      </c>
      <c r="R60" s="42" t="e">
        <f>#REF!-R29</f>
        <v>#REF!</v>
      </c>
      <c r="S60" s="42" t="e">
        <f>#REF!-S29</f>
        <v>#REF!</v>
      </c>
      <c r="T60" s="42" t="e">
        <f>#REF!-T29</f>
        <v>#REF!</v>
      </c>
      <c r="U60" s="42" t="e">
        <f>#REF!-U29</f>
        <v>#REF!</v>
      </c>
      <c r="V60" s="42"/>
      <c r="W60" s="42"/>
      <c r="X60" s="42"/>
      <c r="Y60" s="42"/>
      <c r="Z60" s="42"/>
      <c r="AA60" s="42"/>
      <c r="AB60" s="42"/>
      <c r="AC60" s="42"/>
      <c r="AD60" s="42"/>
    </row>
    <row r="61" spans="17:35" x14ac:dyDescent="0.25">
      <c r="Q61" s="42" t="e">
        <f>#REF!-Q30</f>
        <v>#REF!</v>
      </c>
      <c r="R61" s="42" t="e">
        <f>#REF!-R30</f>
        <v>#REF!</v>
      </c>
      <c r="S61" s="42" t="e">
        <f>#REF!-S30</f>
        <v>#REF!</v>
      </c>
      <c r="T61" s="42" t="e">
        <f>#REF!-T30</f>
        <v>#REF!</v>
      </c>
      <c r="U61" s="42" t="e">
        <f>#REF!-U30</f>
        <v>#REF!</v>
      </c>
      <c r="V61" s="42"/>
      <c r="W61" s="42"/>
      <c r="X61" s="42"/>
      <c r="Y61" s="42"/>
      <c r="Z61" s="42"/>
      <c r="AA61" s="42"/>
      <c r="AB61" s="42"/>
      <c r="AC61" s="42"/>
      <c r="AD61" s="42"/>
    </row>
    <row r="62" spans="17:35" x14ac:dyDescent="0.25">
      <c r="Q62" s="42" t="e">
        <f>#REF!-Q31</f>
        <v>#REF!</v>
      </c>
      <c r="R62" s="42" t="e">
        <f>#REF!-R31</f>
        <v>#REF!</v>
      </c>
      <c r="S62" s="42" t="e">
        <f>#REF!-S31</f>
        <v>#REF!</v>
      </c>
      <c r="T62" s="42" t="e">
        <f>#REF!-T31</f>
        <v>#REF!</v>
      </c>
      <c r="U62" s="42" t="e">
        <f>#REF!-U31</f>
        <v>#REF!</v>
      </c>
      <c r="V62" s="42"/>
      <c r="W62" s="42"/>
      <c r="X62" s="42"/>
      <c r="Y62" s="42"/>
      <c r="Z62" s="42"/>
      <c r="AA62" s="42"/>
      <c r="AB62" s="42"/>
      <c r="AC62" s="42"/>
      <c r="AD62" s="42"/>
    </row>
    <row r="63" spans="17:35" x14ac:dyDescent="0.25">
      <c r="Q63" s="42" t="e">
        <f>#REF!-Q32</f>
        <v>#REF!</v>
      </c>
      <c r="R63" s="42" t="e">
        <f>#REF!-R32</f>
        <v>#REF!</v>
      </c>
      <c r="S63" s="42" t="e">
        <f>#REF!-S32</f>
        <v>#REF!</v>
      </c>
      <c r="T63" s="42" t="e">
        <f>#REF!-T32</f>
        <v>#REF!</v>
      </c>
      <c r="U63" s="42" t="e">
        <f>#REF!-U32</f>
        <v>#REF!</v>
      </c>
      <c r="V63" s="42"/>
      <c r="W63" s="42"/>
      <c r="X63" s="42"/>
      <c r="Y63" s="42"/>
      <c r="Z63" s="42"/>
      <c r="AA63" s="42"/>
      <c r="AB63" s="42"/>
      <c r="AC63" s="42"/>
      <c r="AD63" s="42"/>
    </row>
    <row r="64" spans="17:35" x14ac:dyDescent="0.25">
      <c r="Q64" s="42">
        <f t="shared" ref="Q64:U77" si="6">Q4-Q33</f>
        <v>1</v>
      </c>
      <c r="R64" s="42">
        <f t="shared" si="6"/>
        <v>0.74737600823774264</v>
      </c>
      <c r="S64" s="42">
        <f t="shared" si="6"/>
        <v>1</v>
      </c>
      <c r="T64" s="42">
        <f t="shared" si="6"/>
        <v>0.88936324290854263</v>
      </c>
      <c r="U64" s="42">
        <f t="shared" si="6"/>
        <v>1</v>
      </c>
      <c r="V64" s="42"/>
      <c r="W64" s="42"/>
      <c r="X64" s="42"/>
      <c r="Y64" s="42"/>
      <c r="Z64" s="42"/>
      <c r="AA64" s="42"/>
      <c r="AB64" s="42"/>
      <c r="AC64" s="42"/>
      <c r="AD64" s="42"/>
    </row>
    <row r="65" spans="17:30" x14ac:dyDescent="0.25">
      <c r="Q65" s="42">
        <f t="shared" si="6"/>
        <v>0.62950588636063942</v>
      </c>
      <c r="R65" s="42">
        <f t="shared" si="6"/>
        <v>1</v>
      </c>
      <c r="S65" s="42">
        <f t="shared" si="6"/>
        <v>0.96684063236583684</v>
      </c>
      <c r="T65" s="42">
        <f t="shared" si="6"/>
        <v>1</v>
      </c>
      <c r="U65" s="42">
        <f t="shared" si="6"/>
        <v>0.84034955817777024</v>
      </c>
      <c r="V65" s="42"/>
      <c r="W65" s="42"/>
      <c r="X65" s="42"/>
      <c r="Y65" s="42"/>
      <c r="Z65" s="42"/>
      <c r="AA65" s="42"/>
      <c r="AB65" s="42"/>
      <c r="AC65" s="42"/>
      <c r="AD65" s="42"/>
    </row>
    <row r="66" spans="17:30" x14ac:dyDescent="0.25">
      <c r="Q66" s="42">
        <f t="shared" si="6"/>
        <v>0.94383000359945346</v>
      </c>
      <c r="R66" s="42">
        <f t="shared" si="6"/>
        <v>0.70748530989431035</v>
      </c>
      <c r="S66" s="42">
        <f t="shared" si="6"/>
        <v>0.9051840401104051</v>
      </c>
      <c r="T66" s="42">
        <f t="shared" si="6"/>
        <v>0.65014916480728302</v>
      </c>
      <c r="U66" s="42">
        <f t="shared" si="6"/>
        <v>0.77224580603244608</v>
      </c>
      <c r="V66" s="42"/>
      <c r="W66" s="42"/>
      <c r="X66" s="42"/>
      <c r="Y66" s="42"/>
      <c r="Z66" s="42"/>
      <c r="AA66" s="42"/>
      <c r="AB66" s="42"/>
      <c r="AC66" s="42"/>
      <c r="AD66" s="42"/>
    </row>
    <row r="67" spans="17:30" x14ac:dyDescent="0.25">
      <c r="Q67" s="42">
        <f t="shared" si="6"/>
        <v>0.53923034921539292</v>
      </c>
      <c r="R67" s="42">
        <f t="shared" si="6"/>
        <v>0.77538146844853861</v>
      </c>
      <c r="S67" s="42">
        <f t="shared" si="6"/>
        <v>0.89893941746040185</v>
      </c>
      <c r="T67" s="42">
        <f t="shared" si="6"/>
        <v>0.41296674659829907</v>
      </c>
      <c r="U67" s="42">
        <f t="shared" si="6"/>
        <v>0.53259816413281647</v>
      </c>
      <c r="V67" s="42"/>
      <c r="W67" s="42"/>
      <c r="X67" s="42"/>
      <c r="Y67" s="42"/>
      <c r="Z67" s="42"/>
      <c r="AA67" s="42"/>
      <c r="AB67" s="42"/>
      <c r="AC67" s="42"/>
      <c r="AD67" s="42"/>
    </row>
    <row r="68" spans="17:30" x14ac:dyDescent="0.25">
      <c r="Q68" s="42">
        <f t="shared" si="6"/>
        <v>0.74641613450653799</v>
      </c>
      <c r="R68" s="42">
        <f t="shared" si="6"/>
        <v>0.85915582069091401</v>
      </c>
      <c r="S68" s="42">
        <f t="shared" si="6"/>
        <v>0.90021077185042009</v>
      </c>
      <c r="T68" s="42">
        <f t="shared" si="6"/>
        <v>0.42037584743249373</v>
      </c>
      <c r="U68" s="42">
        <f t="shared" si="6"/>
        <v>0.48928941329226733</v>
      </c>
      <c r="V68" s="42"/>
      <c r="W68" s="42"/>
      <c r="X68" s="42"/>
      <c r="Y68" s="42"/>
      <c r="Z68" s="42"/>
      <c r="AA68" s="42"/>
      <c r="AB68" s="42"/>
      <c r="AC68" s="42"/>
      <c r="AD68" s="42"/>
    </row>
    <row r="69" spans="17:30" x14ac:dyDescent="0.25">
      <c r="Q69" s="42">
        <f t="shared" si="6"/>
        <v>0.8644078073196847</v>
      </c>
      <c r="R69" s="42">
        <f t="shared" si="6"/>
        <v>0.9241527553888601</v>
      </c>
      <c r="S69" s="42">
        <f t="shared" si="6"/>
        <v>1</v>
      </c>
      <c r="T69" s="42">
        <f t="shared" si="6"/>
        <v>0.4897679549005467</v>
      </c>
      <c r="U69" s="42">
        <f t="shared" si="6"/>
        <v>0.52996428571428622</v>
      </c>
      <c r="V69" s="42"/>
      <c r="W69" s="42"/>
      <c r="X69" s="42"/>
      <c r="Y69" s="42"/>
      <c r="Z69" s="42"/>
      <c r="AA69" s="42"/>
      <c r="AB69" s="42"/>
      <c r="AC69" s="42"/>
      <c r="AD69" s="42"/>
    </row>
    <row r="70" spans="17:30" x14ac:dyDescent="0.25">
      <c r="Q70" s="42">
        <f t="shared" si="6"/>
        <v>1</v>
      </c>
      <c r="R70" s="42">
        <f t="shared" si="6"/>
        <v>0.89105291998201186</v>
      </c>
      <c r="S70" s="42">
        <f t="shared" si="6"/>
        <v>0.8205655131832672</v>
      </c>
      <c r="T70" s="42">
        <f t="shared" si="6"/>
        <v>0.75722582313732301</v>
      </c>
      <c r="U70" s="42">
        <f t="shared" si="6"/>
        <v>0.84981015847252883</v>
      </c>
      <c r="V70" s="42"/>
      <c r="W70" s="42"/>
      <c r="X70" s="42"/>
      <c r="Y70" s="42"/>
      <c r="Z70" s="42"/>
      <c r="AA70" s="42"/>
      <c r="AB70" s="42"/>
      <c r="AC70" s="42"/>
      <c r="AD70" s="42"/>
    </row>
    <row r="71" spans="17:30" x14ac:dyDescent="0.25">
      <c r="Q71" s="42">
        <f t="shared" si="6"/>
        <v>0.84820721104374441</v>
      </c>
      <c r="R71" s="42">
        <f t="shared" si="6"/>
        <v>0.83262924249878656</v>
      </c>
      <c r="S71" s="42">
        <f t="shared" si="6"/>
        <v>0.98701567079401309</v>
      </c>
      <c r="T71" s="42">
        <f t="shared" si="6"/>
        <v>0.72808126233094717</v>
      </c>
      <c r="U71" s="42">
        <f t="shared" si="6"/>
        <v>0.73483218687003582</v>
      </c>
      <c r="V71" s="42"/>
      <c r="W71" s="42"/>
      <c r="X71" s="42"/>
      <c r="Y71" s="42"/>
      <c r="Z71" s="42"/>
      <c r="AA71" s="42"/>
      <c r="AB71" s="42"/>
      <c r="AC71" s="42"/>
      <c r="AD71" s="42"/>
    </row>
    <row r="72" spans="17:30" x14ac:dyDescent="0.25">
      <c r="Q72" s="42">
        <f t="shared" si="6"/>
        <v>0.6213179323621526</v>
      </c>
      <c r="R72" s="42">
        <f t="shared" si="6"/>
        <v>1</v>
      </c>
      <c r="S72" s="42">
        <f t="shared" si="6"/>
        <v>0.82325546423970419</v>
      </c>
      <c r="T72" s="42">
        <f t="shared" si="6"/>
        <v>1</v>
      </c>
      <c r="U72" s="42">
        <f t="shared" si="6"/>
        <v>1</v>
      </c>
      <c r="V72" s="42"/>
      <c r="W72" s="42"/>
      <c r="X72" s="42"/>
      <c r="Y72" s="42"/>
      <c r="Z72" s="42"/>
      <c r="AA72" s="42"/>
      <c r="AB72" s="42"/>
      <c r="AC72" s="42"/>
      <c r="AD72" s="42"/>
    </row>
    <row r="73" spans="17:30" x14ac:dyDescent="0.25">
      <c r="Q73" s="42">
        <f t="shared" si="6"/>
        <v>0</v>
      </c>
      <c r="R73" s="42">
        <f t="shared" si="6"/>
        <v>0</v>
      </c>
      <c r="S73" s="42">
        <f t="shared" si="6"/>
        <v>0</v>
      </c>
      <c r="T73" s="42">
        <f t="shared" si="6"/>
        <v>0</v>
      </c>
      <c r="U73" s="42">
        <f t="shared" si="6"/>
        <v>0</v>
      </c>
      <c r="V73" s="42"/>
      <c r="W73" s="42"/>
      <c r="X73" s="42"/>
      <c r="Y73" s="42"/>
      <c r="Z73" s="42"/>
      <c r="AA73" s="42"/>
      <c r="AB73" s="42"/>
      <c r="AC73" s="42"/>
      <c r="AD73" s="42"/>
    </row>
    <row r="74" spans="17:30" x14ac:dyDescent="0.25">
      <c r="Q74" s="42">
        <f t="shared" si="6"/>
        <v>0</v>
      </c>
      <c r="R74" s="42">
        <f t="shared" si="6"/>
        <v>0</v>
      </c>
      <c r="S74" s="42">
        <f t="shared" si="6"/>
        <v>0</v>
      </c>
      <c r="T74" s="42">
        <f t="shared" si="6"/>
        <v>0</v>
      </c>
      <c r="U74" s="42">
        <f t="shared" si="6"/>
        <v>0</v>
      </c>
      <c r="V74" s="42"/>
      <c r="W74" s="42"/>
      <c r="X74" s="42"/>
      <c r="Y74" s="42"/>
      <c r="Z74" s="42"/>
      <c r="AA74" s="42"/>
      <c r="AB74" s="42"/>
      <c r="AC74" s="42"/>
      <c r="AD74" s="42"/>
    </row>
    <row r="75" spans="17:30" x14ac:dyDescent="0.25">
      <c r="Q75" s="42">
        <f t="shared" si="6"/>
        <v>0</v>
      </c>
      <c r="R75" s="42">
        <f t="shared" si="6"/>
        <v>0</v>
      </c>
      <c r="S75" s="42">
        <f t="shared" si="6"/>
        <v>0</v>
      </c>
      <c r="T75" s="42">
        <f t="shared" si="6"/>
        <v>0</v>
      </c>
      <c r="U75" s="42">
        <f t="shared" si="6"/>
        <v>0</v>
      </c>
      <c r="V75" s="42"/>
      <c r="W75" s="42"/>
      <c r="X75" s="42"/>
      <c r="Y75" s="42"/>
      <c r="Z75" s="42"/>
      <c r="AA75" s="42"/>
      <c r="AB75" s="42"/>
      <c r="AC75" s="42"/>
      <c r="AD75" s="42"/>
    </row>
    <row r="76" spans="17:30" x14ac:dyDescent="0.25">
      <c r="Q76" s="42">
        <f t="shared" si="6"/>
        <v>0</v>
      </c>
      <c r="R76" s="42">
        <f t="shared" si="6"/>
        <v>0</v>
      </c>
      <c r="S76" s="42">
        <f t="shared" si="6"/>
        <v>0</v>
      </c>
      <c r="T76" s="42">
        <f t="shared" si="6"/>
        <v>0</v>
      </c>
      <c r="U76" s="42">
        <f t="shared" si="6"/>
        <v>0</v>
      </c>
      <c r="V76" s="42"/>
      <c r="W76" s="42"/>
      <c r="X76" s="42"/>
      <c r="Y76" s="42"/>
      <c r="Z76" s="42"/>
      <c r="AA76" s="42"/>
      <c r="AB76" s="42"/>
      <c r="AC76" s="42"/>
      <c r="AD76" s="42"/>
    </row>
    <row r="77" spans="17:30" x14ac:dyDescent="0.25">
      <c r="Q77" s="42">
        <f t="shared" si="6"/>
        <v>0</v>
      </c>
      <c r="R77" s="42">
        <f t="shared" si="6"/>
        <v>0</v>
      </c>
      <c r="S77" s="42">
        <f t="shared" si="6"/>
        <v>0</v>
      </c>
      <c r="T77" s="42">
        <f t="shared" si="6"/>
        <v>0</v>
      </c>
      <c r="U77" s="42">
        <f t="shared" si="6"/>
        <v>0</v>
      </c>
      <c r="V77" s="42"/>
      <c r="W77" s="42"/>
      <c r="X77" s="42"/>
      <c r="Y77" s="42"/>
      <c r="Z77" s="42"/>
      <c r="AA77" s="42"/>
      <c r="AB77" s="42"/>
      <c r="AC77" s="42"/>
      <c r="AD77" s="42"/>
    </row>
    <row r="78" spans="17:30" x14ac:dyDescent="0.25">
      <c r="Q78" s="42"/>
    </row>
    <row r="79" spans="17:30" x14ac:dyDescent="0.25">
      <c r="Q79" s="42"/>
    </row>
    <row r="80" spans="17:30" x14ac:dyDescent="0.25">
      <c r="Q80" s="42"/>
    </row>
    <row r="81" spans="17:17" x14ac:dyDescent="0.25">
      <c r="Q81" s="42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  <ignoredErrors>
    <ignoredError sqref="M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2:E15"/>
  <sheetViews>
    <sheetView workbookViewId="0">
      <selection activeCell="F8" sqref="F8"/>
    </sheetView>
  </sheetViews>
  <sheetFormatPr baseColWidth="10" defaultRowHeight="15" x14ac:dyDescent="0.25"/>
  <cols>
    <col min="1" max="1" width="44.7109375" bestFit="1" customWidth="1"/>
    <col min="2" max="2" width="13.140625" bestFit="1" customWidth="1"/>
    <col min="3" max="3" width="12.140625" bestFit="1" customWidth="1"/>
    <col min="5" max="5" width="14.42578125" bestFit="1" customWidth="1"/>
  </cols>
  <sheetData>
    <row r="2" spans="1:5" ht="25.5" x14ac:dyDescent="0.25">
      <c r="A2" s="56" t="s">
        <v>9</v>
      </c>
      <c r="B2" s="57" t="s">
        <v>1</v>
      </c>
      <c r="C2" s="57" t="s">
        <v>153</v>
      </c>
      <c r="D2" s="57" t="s">
        <v>90</v>
      </c>
      <c r="E2" s="57" t="s">
        <v>91</v>
      </c>
    </row>
    <row r="3" spans="1:5" x14ac:dyDescent="0.25">
      <c r="A3" s="53" t="s">
        <v>10</v>
      </c>
      <c r="B3" s="53" t="s">
        <v>2</v>
      </c>
      <c r="C3" s="47">
        <f>IFERROR(VLOOKUP(B3,[2]SCOPUS!$B$6:$M$32,11,0),0)</f>
        <v>2379</v>
      </c>
      <c r="D3" s="54">
        <f t="shared" ref="D3:D11" si="0">C3/$C$12</f>
        <v>0.34780701754385968</v>
      </c>
      <c r="E3" s="55">
        <f t="shared" ref="E3:E11" si="1">$B$15*D3</f>
        <v>697774.17752192984</v>
      </c>
    </row>
    <row r="4" spans="1:5" x14ac:dyDescent="0.25">
      <c r="A4" s="53" t="s">
        <v>11</v>
      </c>
      <c r="B4" s="53" t="s">
        <v>3</v>
      </c>
      <c r="C4" s="47">
        <f>IFERROR(VLOOKUP(B4,[2]SCOPUS!$B$6:$M$32,11,0),0)</f>
        <v>1272</v>
      </c>
      <c r="D4" s="54">
        <f t="shared" si="0"/>
        <v>0.18596491228070175</v>
      </c>
      <c r="E4" s="55">
        <f t="shared" si="1"/>
        <v>373084.80614035088</v>
      </c>
    </row>
    <row r="5" spans="1:5" x14ac:dyDescent="0.25">
      <c r="A5" s="53" t="s">
        <v>12</v>
      </c>
      <c r="B5" s="53" t="s">
        <v>4</v>
      </c>
      <c r="C5" s="47">
        <f>IFERROR(VLOOKUP(B5,[2]SCOPUS!$B$6:$M$32,11,0),0)</f>
        <v>787</v>
      </c>
      <c r="D5" s="54">
        <f t="shared" si="0"/>
        <v>0.11505847953216375</v>
      </c>
      <c r="E5" s="55">
        <f t="shared" si="1"/>
        <v>230831.55851608189</v>
      </c>
    </row>
    <row r="6" spans="1:5" x14ac:dyDescent="0.25">
      <c r="A6" s="53" t="s">
        <v>13</v>
      </c>
      <c r="B6" s="53" t="s">
        <v>5</v>
      </c>
      <c r="C6" s="47">
        <f>IFERROR(VLOOKUP(B6,[2]SCOPUS!$B$6:$M$32,11,0),0)</f>
        <v>712</v>
      </c>
      <c r="D6" s="54">
        <f t="shared" si="0"/>
        <v>0.10409356725146199</v>
      </c>
      <c r="E6" s="55">
        <f t="shared" si="1"/>
        <v>208833.63362573099</v>
      </c>
    </row>
    <row r="7" spans="1:5" x14ac:dyDescent="0.25">
      <c r="A7" s="53" t="s">
        <v>15</v>
      </c>
      <c r="B7" s="53" t="s">
        <v>7</v>
      </c>
      <c r="C7" s="47">
        <f>IFERROR(VLOOKUP(B7,[2]SCOPUS!$B$6:$M$32,11,0),0)</f>
        <v>454</v>
      </c>
      <c r="D7" s="54">
        <f t="shared" si="0"/>
        <v>6.6374269005847947E-2</v>
      </c>
      <c r="E7" s="55">
        <f t="shared" si="1"/>
        <v>133160.77200292397</v>
      </c>
    </row>
    <row r="8" spans="1:5" x14ac:dyDescent="0.25">
      <c r="A8" s="53" t="s">
        <v>14</v>
      </c>
      <c r="B8" s="53" t="s">
        <v>6</v>
      </c>
      <c r="C8" s="47">
        <f>IFERROR(VLOOKUP(B8,[2]SCOPUS!$B$6:$M$32,11,0),0)</f>
        <v>658</v>
      </c>
      <c r="D8" s="54">
        <f t="shared" si="0"/>
        <v>9.6198830409356728E-2</v>
      </c>
      <c r="E8" s="55">
        <f t="shared" si="1"/>
        <v>192995.12770467837</v>
      </c>
    </row>
    <row r="9" spans="1:5" x14ac:dyDescent="0.25">
      <c r="A9" s="53" t="s">
        <v>16</v>
      </c>
      <c r="B9" s="53" t="s">
        <v>8</v>
      </c>
      <c r="C9" s="47">
        <f>IFERROR(VLOOKUP(B9,[2]SCOPUS!$B$6:$M$32,11,0),0)</f>
        <v>193</v>
      </c>
      <c r="D9" s="54">
        <f t="shared" si="0"/>
        <v>2.8216374269005848E-2</v>
      </c>
      <c r="E9" s="55">
        <f t="shared" si="1"/>
        <v>56607.993384502923</v>
      </c>
    </row>
    <row r="10" spans="1:5" x14ac:dyDescent="0.25">
      <c r="A10" s="53" t="s">
        <v>21</v>
      </c>
      <c r="B10" s="53" t="s">
        <v>20</v>
      </c>
      <c r="C10" s="47">
        <f>IFERROR(VLOOKUP(B10,[2]SCOPUS!$B$6:$M$32,11,0),0)</f>
        <v>195</v>
      </c>
      <c r="D10" s="54">
        <f t="shared" si="0"/>
        <v>2.850877192982456E-2</v>
      </c>
      <c r="E10" s="55">
        <f t="shared" si="1"/>
        <v>57194.604714912275</v>
      </c>
    </row>
    <row r="11" spans="1:5" x14ac:dyDescent="0.25">
      <c r="A11" s="53" t="s">
        <v>22</v>
      </c>
      <c r="B11" s="53" t="s">
        <v>19</v>
      </c>
      <c r="C11" s="47">
        <f>IFERROR(VLOOKUP(B11,[2]SCOPUS!$B$6:$M$32,11,0),0)</f>
        <v>190</v>
      </c>
      <c r="D11" s="54">
        <f t="shared" si="0"/>
        <v>2.7777777777777776E-2</v>
      </c>
      <c r="E11" s="55">
        <f t="shared" si="1"/>
        <v>55728.076388888883</v>
      </c>
    </row>
    <row r="12" spans="1:5" x14ac:dyDescent="0.25">
      <c r="C12" s="45">
        <f>SUM(C3:C11)</f>
        <v>6840</v>
      </c>
      <c r="D12" s="62">
        <f>SUM(D3:D11)</f>
        <v>1</v>
      </c>
      <c r="E12" s="63">
        <f>SUM(E3:E11)</f>
        <v>2006210.75</v>
      </c>
    </row>
    <row r="15" spans="1:5" x14ac:dyDescent="0.25">
      <c r="A15" t="s">
        <v>92</v>
      </c>
      <c r="B15" s="6">
        <f>'Montos BD 2020'!B28/6</f>
        <v>2006210.75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2:K15"/>
  <sheetViews>
    <sheetView topLeftCell="E1" workbookViewId="0">
      <selection activeCell="P2" sqref="P2"/>
    </sheetView>
  </sheetViews>
  <sheetFormatPr baseColWidth="10" defaultRowHeight="15" x14ac:dyDescent="0.25"/>
  <cols>
    <col min="1" max="1" width="44.7109375" bestFit="1" customWidth="1"/>
  </cols>
  <sheetData>
    <row r="2" spans="1:11" ht="51" x14ac:dyDescent="0.25">
      <c r="A2" s="60" t="s">
        <v>9</v>
      </c>
      <c r="B2" s="61" t="s">
        <v>1</v>
      </c>
      <c r="C2" s="57" t="s">
        <v>99</v>
      </c>
      <c r="D2" s="57" t="s">
        <v>100</v>
      </c>
      <c r="E2" s="57" t="s">
        <v>101</v>
      </c>
      <c r="F2" s="57" t="s">
        <v>102</v>
      </c>
      <c r="G2" s="57" t="s">
        <v>103</v>
      </c>
      <c r="H2" s="57" t="s">
        <v>104</v>
      </c>
      <c r="I2" s="57" t="s">
        <v>105</v>
      </c>
      <c r="J2" s="57" t="s">
        <v>107</v>
      </c>
      <c r="K2" s="57" t="s">
        <v>106</v>
      </c>
    </row>
    <row r="3" spans="1:11" x14ac:dyDescent="0.25">
      <c r="A3" s="53" t="s">
        <v>10</v>
      </c>
      <c r="B3" s="53" t="s">
        <v>2</v>
      </c>
      <c r="C3" s="166">
        <f>IFERROR(VLOOKUP(B3,'[5]Acreditación Investigación'!$D$17:$E$23,2,0),0)</f>
        <v>1</v>
      </c>
      <c r="D3" s="166">
        <f>IFERROR(VLOOKUP(B3,'[5]Acreditación Investigación'!$D$49:$J$55,7,0),0)</f>
        <v>1</v>
      </c>
      <c r="E3" s="166">
        <f>IFERROR(VLOOKUP(B3,'[5]Acreditación Investigación'!$D$83:$E$91,2,0),0)</f>
        <v>7</v>
      </c>
      <c r="F3" s="166">
        <f>C3*100</f>
        <v>100</v>
      </c>
      <c r="G3" s="166">
        <f>D3*100</f>
        <v>100</v>
      </c>
      <c r="H3" s="166">
        <f>E3/7*100</f>
        <v>100</v>
      </c>
      <c r="I3" s="166">
        <f>F3+G3+H3</f>
        <v>300</v>
      </c>
      <c r="J3" s="167">
        <f t="shared" ref="J3:J11" si="0">I3/$I$12</f>
        <v>0.14685314685314682</v>
      </c>
      <c r="K3" s="168">
        <f t="shared" ref="K3:K11" si="1">J3*$B$15</f>
        <v>294618.3618881118</v>
      </c>
    </row>
    <row r="4" spans="1:11" x14ac:dyDescent="0.25">
      <c r="A4" s="53" t="s">
        <v>11</v>
      </c>
      <c r="B4" s="53" t="s">
        <v>3</v>
      </c>
      <c r="C4" s="166">
        <f>IFERROR(VLOOKUP(B4,'[5]Acreditación Investigación'!$D$17:$E$23,2,0),0)</f>
        <v>1</v>
      </c>
      <c r="D4" s="166">
        <f>IFERROR(VLOOKUP(B4,'[5]Acreditación Investigación'!$D$49:$J$55,7,0),0)</f>
        <v>1</v>
      </c>
      <c r="E4" s="166">
        <f>IFERROR(VLOOKUP(B4,'[5]Acreditación Investigación'!$D$83:$E$91,2,0),0)</f>
        <v>7</v>
      </c>
      <c r="F4" s="166">
        <f t="shared" ref="F4:F11" si="2">C4*100</f>
        <v>100</v>
      </c>
      <c r="G4" s="166">
        <f t="shared" ref="G4:G11" si="3">D4*100</f>
        <v>100</v>
      </c>
      <c r="H4" s="166">
        <f t="shared" ref="H4:H11" si="4">E4/7*100</f>
        <v>100</v>
      </c>
      <c r="I4" s="166">
        <f t="shared" ref="I4:I11" si="5">F4+G4+H4</f>
        <v>300</v>
      </c>
      <c r="J4" s="167">
        <f t="shared" si="0"/>
        <v>0.14685314685314682</v>
      </c>
      <c r="K4" s="168">
        <f t="shared" si="1"/>
        <v>294618.3618881118</v>
      </c>
    </row>
    <row r="5" spans="1:11" x14ac:dyDescent="0.25">
      <c r="A5" s="53" t="s">
        <v>12</v>
      </c>
      <c r="B5" s="53" t="s">
        <v>4</v>
      </c>
      <c r="C5" s="166">
        <f>IFERROR(VLOOKUP(B5,'[5]Acreditación Investigación'!$D$17:$E$23,2,0),0)</f>
        <v>1</v>
      </c>
      <c r="D5" s="166">
        <f>IFERROR(VLOOKUP(B5,'[5]Acreditación Investigación'!$D$49:$J$55,7,0),0)</f>
        <v>1</v>
      </c>
      <c r="E5" s="166">
        <f>IFERROR(VLOOKUP(B5,'[5]Acreditación Investigación'!$D$83:$E$91,2,0),0)</f>
        <v>6</v>
      </c>
      <c r="F5" s="166">
        <f t="shared" si="2"/>
        <v>100</v>
      </c>
      <c r="G5" s="166">
        <f t="shared" si="3"/>
        <v>100</v>
      </c>
      <c r="H5" s="166">
        <f t="shared" si="4"/>
        <v>85.714285714285708</v>
      </c>
      <c r="I5" s="166">
        <f t="shared" si="5"/>
        <v>285.71428571428572</v>
      </c>
      <c r="J5" s="167">
        <f t="shared" si="0"/>
        <v>0.13986013986013984</v>
      </c>
      <c r="K5" s="168">
        <f t="shared" si="1"/>
        <v>280588.91608391603</v>
      </c>
    </row>
    <row r="6" spans="1:11" x14ac:dyDescent="0.25">
      <c r="A6" s="53" t="s">
        <v>13</v>
      </c>
      <c r="B6" s="53" t="s">
        <v>5</v>
      </c>
      <c r="C6" s="166">
        <f>IFERROR(VLOOKUP(B6,'[5]Acreditación Investigación'!$D$17:$E$23,2,0),0)</f>
        <v>1</v>
      </c>
      <c r="D6" s="166">
        <f>IFERROR(VLOOKUP(B6,'[5]Acreditación Investigación'!$D$49:$J$55,7,0),0)</f>
        <v>1</v>
      </c>
      <c r="E6" s="166">
        <f>IFERROR(VLOOKUP(B6,'[5]Acreditación Investigación'!$D$83:$E$91,2,0),0)</f>
        <v>6</v>
      </c>
      <c r="F6" s="166">
        <f t="shared" si="2"/>
        <v>100</v>
      </c>
      <c r="G6" s="166">
        <f t="shared" si="3"/>
        <v>100</v>
      </c>
      <c r="H6" s="166">
        <f t="shared" si="4"/>
        <v>85.714285714285708</v>
      </c>
      <c r="I6" s="166">
        <f t="shared" si="5"/>
        <v>285.71428571428572</v>
      </c>
      <c r="J6" s="167">
        <f t="shared" si="0"/>
        <v>0.13986013986013984</v>
      </c>
      <c r="K6" s="168">
        <f t="shared" si="1"/>
        <v>280588.91608391603</v>
      </c>
    </row>
    <row r="7" spans="1:11" x14ac:dyDescent="0.25">
      <c r="A7" s="53" t="s">
        <v>15</v>
      </c>
      <c r="B7" s="53" t="s">
        <v>7</v>
      </c>
      <c r="C7" s="166">
        <f>IFERROR(VLOOKUP(B7,'[5]Acreditación Investigación'!$D$17:$E$23,2,0),0)</f>
        <v>1</v>
      </c>
      <c r="D7" s="166">
        <f>IFERROR(VLOOKUP(B7,'[5]Acreditación Investigación'!$D$49:$J$55,7,0),0)</f>
        <v>1</v>
      </c>
      <c r="E7" s="166">
        <f>IFERROR(VLOOKUP(B7,'[5]Acreditación Investigación'!$D$83:$E$91,2,0),0)</f>
        <v>6</v>
      </c>
      <c r="F7" s="166">
        <f t="shared" si="2"/>
        <v>100</v>
      </c>
      <c r="G7" s="166">
        <f t="shared" si="3"/>
        <v>100</v>
      </c>
      <c r="H7" s="166">
        <f t="shared" si="4"/>
        <v>85.714285714285708</v>
      </c>
      <c r="I7" s="166">
        <f t="shared" si="5"/>
        <v>285.71428571428572</v>
      </c>
      <c r="J7" s="167">
        <f t="shared" si="0"/>
        <v>0.13986013986013984</v>
      </c>
      <c r="K7" s="168">
        <f t="shared" si="1"/>
        <v>280588.91608391603</v>
      </c>
    </row>
    <row r="8" spans="1:11" x14ac:dyDescent="0.25">
      <c r="A8" s="53" t="s">
        <v>14</v>
      </c>
      <c r="B8" s="53" t="s">
        <v>6</v>
      </c>
      <c r="C8" s="166">
        <f>IFERROR(VLOOKUP(B8,'[5]Acreditación Investigación'!$D$17:$E$23,2,0),0)</f>
        <v>1</v>
      </c>
      <c r="D8" s="166">
        <f>IFERROR(VLOOKUP(B8,'[5]Acreditación Investigación'!$D$49:$J$55,7,0),0)</f>
        <v>1</v>
      </c>
      <c r="E8" s="166">
        <f>IFERROR(VLOOKUP(B8,'[5]Acreditación Investigación'!$D$83:$E$91,2,0),0)</f>
        <v>6</v>
      </c>
      <c r="F8" s="166">
        <f t="shared" si="2"/>
        <v>100</v>
      </c>
      <c r="G8" s="166">
        <f t="shared" si="3"/>
        <v>100</v>
      </c>
      <c r="H8" s="166">
        <f t="shared" si="4"/>
        <v>85.714285714285708</v>
      </c>
      <c r="I8" s="166">
        <f t="shared" si="5"/>
        <v>285.71428571428572</v>
      </c>
      <c r="J8" s="167">
        <f t="shared" si="0"/>
        <v>0.13986013986013984</v>
      </c>
      <c r="K8" s="168">
        <f t="shared" si="1"/>
        <v>280588.91608391603</v>
      </c>
    </row>
    <row r="9" spans="1:11" x14ac:dyDescent="0.25">
      <c r="A9" s="53" t="s">
        <v>16</v>
      </c>
      <c r="B9" s="53" t="s">
        <v>8</v>
      </c>
      <c r="C9" s="166">
        <f>IFERROR(VLOOKUP(B9,'[5]Acreditación Investigación'!$D$17:$E$23,2,0),0)</f>
        <v>1</v>
      </c>
      <c r="D9" s="166">
        <f>IFERROR(VLOOKUP(B9,'[5]Acreditación Investigación'!$D$49:$J$55,7,0),0)</f>
        <v>0</v>
      </c>
      <c r="E9" s="166">
        <f>IFERROR(VLOOKUP(B9,'[5]Acreditación Investigación'!$D$83:$E$91,2,0),0)</f>
        <v>5</v>
      </c>
      <c r="F9" s="166">
        <f t="shared" si="2"/>
        <v>100</v>
      </c>
      <c r="G9" s="166">
        <f t="shared" si="3"/>
        <v>0</v>
      </c>
      <c r="H9" s="166">
        <f t="shared" si="4"/>
        <v>71.428571428571431</v>
      </c>
      <c r="I9" s="166">
        <f t="shared" si="5"/>
        <v>171.42857142857144</v>
      </c>
      <c r="J9" s="167">
        <f t="shared" si="0"/>
        <v>8.3916083916083919E-2</v>
      </c>
      <c r="K9" s="168">
        <f t="shared" si="1"/>
        <v>168353.34965034964</v>
      </c>
    </row>
    <row r="10" spans="1:11" x14ac:dyDescent="0.25">
      <c r="A10" s="53" t="s">
        <v>21</v>
      </c>
      <c r="B10" s="53" t="s">
        <v>20</v>
      </c>
      <c r="C10" s="166">
        <f>IFERROR(VLOOKUP(B10,'[5]Acreditación Investigación'!$D$17:$E$23,2,0),0)</f>
        <v>0</v>
      </c>
      <c r="D10" s="166">
        <f>IFERROR(VLOOKUP(B10,'[5]Acreditación Investigación'!$D$49:$J$55,7,0),0)</f>
        <v>0</v>
      </c>
      <c r="E10" s="166">
        <f>IFERROR(VLOOKUP(B10,'[5]Acreditación Investigación'!$D$83:$E$91,2,0),0)</f>
        <v>4</v>
      </c>
      <c r="F10" s="166">
        <f t="shared" si="2"/>
        <v>0</v>
      </c>
      <c r="G10" s="166">
        <f t="shared" si="3"/>
        <v>0</v>
      </c>
      <c r="H10" s="166">
        <f t="shared" si="4"/>
        <v>57.142857142857139</v>
      </c>
      <c r="I10" s="166">
        <f t="shared" si="5"/>
        <v>57.142857142857139</v>
      </c>
      <c r="J10" s="167">
        <f t="shared" si="0"/>
        <v>2.7972027972027965E-2</v>
      </c>
      <c r="K10" s="168">
        <f t="shared" si="1"/>
        <v>56117.783216783202</v>
      </c>
    </row>
    <row r="11" spans="1:11" x14ac:dyDescent="0.25">
      <c r="A11" s="53" t="s">
        <v>22</v>
      </c>
      <c r="B11" s="53" t="s">
        <v>19</v>
      </c>
      <c r="C11" s="166">
        <f>IFERROR(VLOOKUP(B11,'[5]Acreditación Investigación'!$D$17:$E$23,2,0),0)</f>
        <v>0</v>
      </c>
      <c r="D11" s="166">
        <f>IFERROR(VLOOKUP(B11,'[5]Acreditación Investigación'!$D$49:$J$55,7,0),0)</f>
        <v>0</v>
      </c>
      <c r="E11" s="166">
        <f>IFERROR(VLOOKUP(B11,'[5]Acreditación Investigación'!$D$83:$E$91,2,0),0)</f>
        <v>5</v>
      </c>
      <c r="F11" s="166">
        <f t="shared" si="2"/>
        <v>0</v>
      </c>
      <c r="G11" s="166">
        <f t="shared" si="3"/>
        <v>0</v>
      </c>
      <c r="H11" s="166">
        <f t="shared" si="4"/>
        <v>71.428571428571431</v>
      </c>
      <c r="I11" s="166">
        <f t="shared" si="5"/>
        <v>71.428571428571431</v>
      </c>
      <c r="J11" s="167">
        <f t="shared" si="0"/>
        <v>3.4965034965034961E-2</v>
      </c>
      <c r="K11" s="168">
        <f t="shared" si="1"/>
        <v>70147.229020979008</v>
      </c>
    </row>
    <row r="12" spans="1:11" x14ac:dyDescent="0.25">
      <c r="C12" s="64">
        <f t="shared" ref="C12:K12" si="6">SUM(C3:C11)</f>
        <v>7</v>
      </c>
      <c r="D12" s="64">
        <f t="shared" si="6"/>
        <v>6</v>
      </c>
      <c r="E12" s="64">
        <f t="shared" si="6"/>
        <v>52</v>
      </c>
      <c r="F12" s="64">
        <f t="shared" si="6"/>
        <v>700</v>
      </c>
      <c r="G12" s="64">
        <f t="shared" si="6"/>
        <v>600</v>
      </c>
      <c r="H12" s="64">
        <f t="shared" si="6"/>
        <v>742.85714285714289</v>
      </c>
      <c r="I12" s="64">
        <f t="shared" si="6"/>
        <v>2042.8571428571431</v>
      </c>
      <c r="J12" s="64">
        <f t="shared" si="6"/>
        <v>0.99999999999999978</v>
      </c>
      <c r="K12" s="64">
        <f t="shared" si="6"/>
        <v>2006210.75</v>
      </c>
    </row>
    <row r="15" spans="1:11" x14ac:dyDescent="0.25">
      <c r="A15" t="s">
        <v>108</v>
      </c>
      <c r="B15" s="6">
        <f>'Montos BD 2020'!B28/6</f>
        <v>2006210.75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559A-3A8B-4F61-8795-8F172962E6FA}">
  <sheetPr>
    <tabColor theme="6" tint="-0.249977111117893"/>
  </sheetPr>
  <dimension ref="A2:E15"/>
  <sheetViews>
    <sheetView workbookViewId="0">
      <selection activeCell="C3" sqref="C3:C11"/>
    </sheetView>
  </sheetViews>
  <sheetFormatPr baseColWidth="10" defaultRowHeight="15" x14ac:dyDescent="0.25"/>
  <cols>
    <col min="1" max="1" width="50" bestFit="1" customWidth="1"/>
    <col min="5" max="5" width="12.140625" bestFit="1" customWidth="1"/>
  </cols>
  <sheetData>
    <row r="2" spans="1:5" ht="25.5" x14ac:dyDescent="0.25">
      <c r="A2" s="56" t="s">
        <v>9</v>
      </c>
      <c r="B2" s="57" t="s">
        <v>1</v>
      </c>
      <c r="C2" s="57" t="s">
        <v>162</v>
      </c>
      <c r="D2" s="57" t="s">
        <v>107</v>
      </c>
      <c r="E2" s="57" t="s">
        <v>106</v>
      </c>
    </row>
    <row r="3" spans="1:5" x14ac:dyDescent="0.25">
      <c r="A3" s="53" t="s">
        <v>111</v>
      </c>
      <c r="B3" s="53" t="s">
        <v>2</v>
      </c>
      <c r="C3" s="168">
        <f>IFERROR(VLOOKUP(B3,'[3]Indicador b.1)'!$C$2:$I$60,6,0),0)</f>
        <v>948</v>
      </c>
      <c r="D3" s="58">
        <f t="shared" ref="D3:D11" si="0">C3/$C$12</f>
        <v>0.27000854457419537</v>
      </c>
      <c r="E3" s="65">
        <f t="shared" ref="E3:E11" si="1">D3*$B$15</f>
        <v>541694.04471660499</v>
      </c>
    </row>
    <row r="4" spans="1:5" x14ac:dyDescent="0.25">
      <c r="A4" s="53" t="s">
        <v>112</v>
      </c>
      <c r="B4" s="53" t="s">
        <v>3</v>
      </c>
      <c r="C4" s="168">
        <f>IFERROR(VLOOKUP(B4,'[3]Indicador b.1)'!$C$2:$I$60,6,0),0)</f>
        <v>758</v>
      </c>
      <c r="D4" s="58">
        <f t="shared" si="0"/>
        <v>0.21589290800341782</v>
      </c>
      <c r="E4" s="65">
        <f t="shared" si="1"/>
        <v>433126.67288521788</v>
      </c>
    </row>
    <row r="5" spans="1:5" x14ac:dyDescent="0.25">
      <c r="A5" s="53" t="s">
        <v>113</v>
      </c>
      <c r="B5" s="53" t="s">
        <v>4</v>
      </c>
      <c r="C5" s="168">
        <f>IFERROR(VLOOKUP(B5,'[3]Indicador b.1)'!$C$2:$I$60,6,0),0)</f>
        <v>404</v>
      </c>
      <c r="D5" s="58">
        <f t="shared" si="0"/>
        <v>0.11506693249786386</v>
      </c>
      <c r="E5" s="65">
        <f t="shared" si="1"/>
        <v>230848.51694673882</v>
      </c>
    </row>
    <row r="6" spans="1:5" x14ac:dyDescent="0.25">
      <c r="A6" s="53" t="s">
        <v>13</v>
      </c>
      <c r="B6" s="53" t="s">
        <v>5</v>
      </c>
      <c r="C6" s="168">
        <f>IFERROR(VLOOKUP(B6,'[3]Indicador b.1)'!$C$2:$I$60,6,0),0)</f>
        <v>426</v>
      </c>
      <c r="D6" s="58">
        <f t="shared" si="0"/>
        <v>0.12133295357448021</v>
      </c>
      <c r="E6" s="65">
        <f t="shared" si="1"/>
        <v>243419.47579037311</v>
      </c>
    </row>
    <row r="7" spans="1:5" x14ac:dyDescent="0.25">
      <c r="A7" s="53" t="s">
        <v>114</v>
      </c>
      <c r="B7" s="53" t="s">
        <v>7</v>
      </c>
      <c r="C7" s="168">
        <f>IFERROR(VLOOKUP(B7,'[3]Indicador b.1)'!$C$2:$I$60,6,0),0)</f>
        <v>215</v>
      </c>
      <c r="D7" s="58">
        <f t="shared" si="0"/>
        <v>6.1236115066932495E-2</v>
      </c>
      <c r="E7" s="65">
        <f t="shared" si="1"/>
        <v>122852.55233551694</v>
      </c>
    </row>
    <row r="8" spans="1:5" x14ac:dyDescent="0.25">
      <c r="A8" s="53" t="s">
        <v>115</v>
      </c>
      <c r="B8" s="53" t="s">
        <v>6</v>
      </c>
      <c r="C8" s="168">
        <f>IFERROR(VLOOKUP(B8,'[3]Indicador b.1)'!$C$2:$I$60,6,0),0)</f>
        <v>289</v>
      </c>
      <c r="D8" s="58">
        <f t="shared" si="0"/>
        <v>8.2312731415551121E-2</v>
      </c>
      <c r="E8" s="65">
        <f t="shared" si="1"/>
        <v>165136.68662774138</v>
      </c>
    </row>
    <row r="9" spans="1:5" x14ac:dyDescent="0.25">
      <c r="A9" s="53" t="s">
        <v>116</v>
      </c>
      <c r="B9" s="53" t="s">
        <v>8</v>
      </c>
      <c r="C9" s="168">
        <f>IFERROR(VLOOKUP(B9,'[3]Indicador b.1)'!$C$2:$I$60,6,0),0)</f>
        <v>161</v>
      </c>
      <c r="D9" s="58">
        <f t="shared" si="0"/>
        <v>4.5855881515237826E-2</v>
      </c>
      <c r="E9" s="65">
        <f t="shared" si="1"/>
        <v>91996.562446596421</v>
      </c>
    </row>
    <row r="10" spans="1:5" x14ac:dyDescent="0.25">
      <c r="A10" s="53" t="s">
        <v>117</v>
      </c>
      <c r="B10" s="53" t="s">
        <v>20</v>
      </c>
      <c r="C10" s="168">
        <f>IFERROR(VLOOKUP(B10,'[3]Indicador b.1)'!$C$2:$I$60,6,0),0)</f>
        <v>161</v>
      </c>
      <c r="D10" s="58">
        <f t="shared" si="0"/>
        <v>4.5855881515237826E-2</v>
      </c>
      <c r="E10" s="65">
        <f t="shared" si="1"/>
        <v>91996.562446596421</v>
      </c>
    </row>
    <row r="11" spans="1:5" x14ac:dyDescent="0.25">
      <c r="A11" s="53" t="s">
        <v>118</v>
      </c>
      <c r="B11" s="53" t="s">
        <v>19</v>
      </c>
      <c r="C11" s="168">
        <f>IFERROR(VLOOKUP(B11,'[3]Indicador b.1)'!$C$2:$I$60,6,0),0)</f>
        <v>149</v>
      </c>
      <c r="D11" s="58">
        <f t="shared" si="0"/>
        <v>4.2438051837083449E-2</v>
      </c>
      <c r="E11" s="65">
        <f t="shared" si="1"/>
        <v>85139.67580461406</v>
      </c>
    </row>
    <row r="12" spans="1:5" x14ac:dyDescent="0.25">
      <c r="C12" s="66">
        <f>SUM(C3:C11)</f>
        <v>3511</v>
      </c>
      <c r="D12" s="67">
        <f>SUM(D3:D11)</f>
        <v>1</v>
      </c>
      <c r="E12" s="68">
        <f>SUM(E3:E11)</f>
        <v>2006210.75</v>
      </c>
    </row>
    <row r="15" spans="1:5" x14ac:dyDescent="0.25">
      <c r="A15" t="s">
        <v>109</v>
      </c>
      <c r="B15" s="6">
        <f>'Montos BD 2020'!B28/6</f>
        <v>2006210.75</v>
      </c>
    </row>
  </sheetData>
  <autoFilter ref="A2:C11" xr:uid="{8ABAA2A2-4EA5-4CA7-A3F1-190DB176F36F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B12F-9721-4CA1-B8BD-0B9F5ECF5FC5}">
  <sheetPr>
    <tabColor theme="6" tint="-0.249977111117893"/>
  </sheetPr>
  <dimension ref="A2:E15"/>
  <sheetViews>
    <sheetView workbookViewId="0">
      <selection activeCell="C3" sqref="C3:C11"/>
    </sheetView>
  </sheetViews>
  <sheetFormatPr baseColWidth="10" defaultRowHeight="15" x14ac:dyDescent="0.25"/>
  <cols>
    <col min="1" max="1" width="50" bestFit="1" customWidth="1"/>
    <col min="5" max="5" width="13.140625" bestFit="1" customWidth="1"/>
  </cols>
  <sheetData>
    <row r="2" spans="1:5" ht="38.25" x14ac:dyDescent="0.25">
      <c r="A2" s="56" t="s">
        <v>9</v>
      </c>
      <c r="B2" s="57" t="s">
        <v>1</v>
      </c>
      <c r="C2" s="57" t="s">
        <v>110</v>
      </c>
      <c r="D2" s="57" t="s">
        <v>107</v>
      </c>
      <c r="E2" s="57" t="s">
        <v>106</v>
      </c>
    </row>
    <row r="3" spans="1:5" x14ac:dyDescent="0.25">
      <c r="A3" s="53" t="s">
        <v>10</v>
      </c>
      <c r="B3" s="69" t="s">
        <v>2</v>
      </c>
      <c r="C3" s="166">
        <f>IFERROR(VLOOKUP(B3,Categorías!$B$4:$U$12,20,0),0)</f>
        <v>35</v>
      </c>
      <c r="D3" s="58">
        <f t="shared" ref="D3:D11" si="0">C3/$C$12</f>
        <v>0.34653465346534651</v>
      </c>
      <c r="E3" s="65">
        <f t="shared" ref="E3:E11" si="1">D3*$B$15</f>
        <v>695221.54702970292</v>
      </c>
    </row>
    <row r="4" spans="1:5" x14ac:dyDescent="0.25">
      <c r="A4" s="53" t="s">
        <v>11</v>
      </c>
      <c r="B4" s="69" t="s">
        <v>3</v>
      </c>
      <c r="C4" s="166">
        <f>IFERROR(VLOOKUP(B4,Categorías!$B$4:$U$12,20,0),0)</f>
        <v>28</v>
      </c>
      <c r="D4" s="58">
        <f t="shared" si="0"/>
        <v>0.27722772277227725</v>
      </c>
      <c r="E4" s="65">
        <f t="shared" si="1"/>
        <v>556177.23762376246</v>
      </c>
    </row>
    <row r="5" spans="1:5" x14ac:dyDescent="0.25">
      <c r="A5" s="53" t="s">
        <v>12</v>
      </c>
      <c r="B5" s="69" t="s">
        <v>4</v>
      </c>
      <c r="C5" s="166">
        <f>IFERROR(VLOOKUP(B5,Categorías!$B$4:$U$12,20,0),0)</f>
        <v>13</v>
      </c>
      <c r="D5" s="58">
        <f t="shared" si="0"/>
        <v>0.12871287128712872</v>
      </c>
      <c r="E5" s="65">
        <f t="shared" si="1"/>
        <v>258225.14603960398</v>
      </c>
    </row>
    <row r="6" spans="1:5" x14ac:dyDescent="0.25">
      <c r="A6" s="53" t="s">
        <v>13</v>
      </c>
      <c r="B6" s="69" t="s">
        <v>5</v>
      </c>
      <c r="C6" s="166">
        <f>IFERROR(VLOOKUP(B6,Categorías!$B$4:$U$12,20,0),0)</f>
        <v>10</v>
      </c>
      <c r="D6" s="58">
        <f t="shared" si="0"/>
        <v>9.9009900990099015E-2</v>
      </c>
      <c r="E6" s="65">
        <f t="shared" si="1"/>
        <v>198634.72772277228</v>
      </c>
    </row>
    <row r="7" spans="1:5" x14ac:dyDescent="0.25">
      <c r="A7" s="53" t="s">
        <v>15</v>
      </c>
      <c r="B7" s="69" t="s">
        <v>7</v>
      </c>
      <c r="C7" s="166">
        <f>IFERROR(VLOOKUP(B7,Categorías!$B$4:$U$12,20,0),0)</f>
        <v>6</v>
      </c>
      <c r="D7" s="58">
        <f t="shared" si="0"/>
        <v>5.9405940594059403E-2</v>
      </c>
      <c r="E7" s="65">
        <f t="shared" si="1"/>
        <v>119180.83663366336</v>
      </c>
    </row>
    <row r="8" spans="1:5" x14ac:dyDescent="0.25">
      <c r="A8" s="53" t="s">
        <v>14</v>
      </c>
      <c r="B8" s="69" t="s">
        <v>6</v>
      </c>
      <c r="C8" s="166">
        <f>IFERROR(VLOOKUP(B8,Categorías!$B$4:$U$12,20,0),0)</f>
        <v>4</v>
      </c>
      <c r="D8" s="58">
        <f t="shared" si="0"/>
        <v>3.9603960396039604E-2</v>
      </c>
      <c r="E8" s="65">
        <f t="shared" si="1"/>
        <v>79453.891089108918</v>
      </c>
    </row>
    <row r="9" spans="1:5" x14ac:dyDescent="0.25">
      <c r="A9" s="53" t="s">
        <v>16</v>
      </c>
      <c r="B9" s="69" t="s">
        <v>8</v>
      </c>
      <c r="C9" s="166">
        <f>IFERROR(VLOOKUP(B9,Categorías!$B$4:$U$12,20,0),0)</f>
        <v>2</v>
      </c>
      <c r="D9" s="58">
        <f t="shared" si="0"/>
        <v>1.9801980198019802E-2</v>
      </c>
      <c r="E9" s="65">
        <f t="shared" si="1"/>
        <v>39726.945544554459</v>
      </c>
    </row>
    <row r="10" spans="1:5" x14ac:dyDescent="0.25">
      <c r="A10" s="53" t="s">
        <v>21</v>
      </c>
      <c r="B10" s="69" t="s">
        <v>20</v>
      </c>
      <c r="C10" s="166">
        <f>IFERROR(VLOOKUP(B10,Categorías!$B$4:$U$12,20,0),0)</f>
        <v>1</v>
      </c>
      <c r="D10" s="58">
        <f t="shared" si="0"/>
        <v>9.9009900990099011E-3</v>
      </c>
      <c r="E10" s="65">
        <f t="shared" si="1"/>
        <v>19863.47277227723</v>
      </c>
    </row>
    <row r="11" spans="1:5" x14ac:dyDescent="0.25">
      <c r="A11" s="53" t="s">
        <v>22</v>
      </c>
      <c r="B11" s="69" t="s">
        <v>19</v>
      </c>
      <c r="C11" s="166">
        <f>IFERROR(VLOOKUP(B11,Categorías!$B$4:$U$12,20,0),0)</f>
        <v>2</v>
      </c>
      <c r="D11" s="58">
        <f t="shared" si="0"/>
        <v>1.9801980198019802E-2</v>
      </c>
      <c r="E11" s="65">
        <f t="shared" si="1"/>
        <v>39726.945544554459</v>
      </c>
    </row>
    <row r="12" spans="1:5" x14ac:dyDescent="0.25">
      <c r="C12" s="70">
        <f>SUM(C3:C11)</f>
        <v>101</v>
      </c>
      <c r="D12" s="71">
        <f>SUM(D3:D11)</f>
        <v>1</v>
      </c>
      <c r="E12" s="68">
        <f>SUM(E3:E11)</f>
        <v>2006210.7499999998</v>
      </c>
    </row>
    <row r="15" spans="1:5" x14ac:dyDescent="0.25">
      <c r="A15" t="s">
        <v>121</v>
      </c>
      <c r="B15" s="6">
        <f>'Montos BD 2020'!B28/6</f>
        <v>2006210.75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EE5E-24A6-4BFE-AB11-397F663DB8B0}">
  <sheetPr>
    <tabColor theme="6" tint="-0.249977111117893"/>
  </sheetPr>
  <dimension ref="A2:E15"/>
  <sheetViews>
    <sheetView workbookViewId="0">
      <selection activeCell="B19" sqref="B19"/>
    </sheetView>
  </sheetViews>
  <sheetFormatPr baseColWidth="10" defaultRowHeight="15" x14ac:dyDescent="0.25"/>
  <cols>
    <col min="1" max="1" width="50" bestFit="1" customWidth="1"/>
    <col min="5" max="5" width="12" bestFit="1" customWidth="1"/>
  </cols>
  <sheetData>
    <row r="2" spans="1:5" ht="25.5" x14ac:dyDescent="0.25">
      <c r="A2" s="56" t="s">
        <v>9</v>
      </c>
      <c r="B2" s="57" t="s">
        <v>1</v>
      </c>
      <c r="C2" s="57" t="s">
        <v>163</v>
      </c>
      <c r="D2" s="57" t="s">
        <v>107</v>
      </c>
      <c r="E2" s="57" t="s">
        <v>106</v>
      </c>
    </row>
    <row r="3" spans="1:5" x14ac:dyDescent="0.25">
      <c r="A3" s="53" t="s">
        <v>111</v>
      </c>
      <c r="B3" s="69" t="s">
        <v>2</v>
      </c>
      <c r="C3" s="168">
        <f>IFERROR(VLOOKUP(B3,'[3]Indicador b.1)'!$C$2:$I$60,7,0),0)</f>
        <v>1572</v>
      </c>
      <c r="D3" s="58">
        <f t="shared" ref="D3:D11" si="0">C3/$C$12</f>
        <v>0.26239359038557836</v>
      </c>
      <c r="E3" s="65">
        <f t="shared" ref="E3:E11" si="1">D3*$B$15</f>
        <v>526416.84176264389</v>
      </c>
    </row>
    <row r="4" spans="1:5" x14ac:dyDescent="0.25">
      <c r="A4" s="53" t="s">
        <v>112</v>
      </c>
      <c r="B4" s="69" t="s">
        <v>3</v>
      </c>
      <c r="C4" s="168">
        <f>IFERROR(VLOOKUP(B4,'[3]Indicador b.1)'!$C$2:$I$60,7,0),0)</f>
        <v>1171</v>
      </c>
      <c r="D4" s="58">
        <f t="shared" si="0"/>
        <v>0.19545985645134367</v>
      </c>
      <c r="E4" s="65">
        <f t="shared" si="1"/>
        <v>392133.66520614253</v>
      </c>
    </row>
    <row r="5" spans="1:5" x14ac:dyDescent="0.25">
      <c r="A5" s="53" t="s">
        <v>113</v>
      </c>
      <c r="B5" s="69" t="s">
        <v>4</v>
      </c>
      <c r="C5" s="168">
        <f>IFERROR(VLOOKUP(B5,'[3]Indicador b.1)'!$C$2:$I$60,7,0),0)</f>
        <v>523</v>
      </c>
      <c r="D5" s="58">
        <f t="shared" si="0"/>
        <v>8.7297613086296105E-2</v>
      </c>
      <c r="E5" s="65">
        <f t="shared" si="1"/>
        <v>175137.40982306792</v>
      </c>
    </row>
    <row r="6" spans="1:5" x14ac:dyDescent="0.25">
      <c r="A6" s="53" t="s">
        <v>13</v>
      </c>
      <c r="B6" s="69" t="s">
        <v>5</v>
      </c>
      <c r="C6" s="168">
        <f>IFERROR(VLOOKUP(B6,'[3]Indicador b.1)'!$C$2:$I$60,7,0),0)</f>
        <v>765</v>
      </c>
      <c r="D6" s="58">
        <f t="shared" si="0"/>
        <v>0.12769153730595895</v>
      </c>
      <c r="E6" s="65">
        <f t="shared" si="1"/>
        <v>256176.13482724086</v>
      </c>
    </row>
    <row r="7" spans="1:5" x14ac:dyDescent="0.25">
      <c r="A7" s="53" t="s">
        <v>114</v>
      </c>
      <c r="B7" s="69" t="s">
        <v>7</v>
      </c>
      <c r="C7" s="168">
        <f>IFERROR(VLOOKUP(B7,'[3]Indicador b.1)'!$C$2:$I$60,7,0),0)</f>
        <v>453</v>
      </c>
      <c r="D7" s="58">
        <f t="shared" si="0"/>
        <v>7.56134201301953E-2</v>
      </c>
      <c r="E7" s="65">
        <f t="shared" si="1"/>
        <v>151696.45630946421</v>
      </c>
    </row>
    <row r="8" spans="1:5" x14ac:dyDescent="0.25">
      <c r="A8" s="53" t="s">
        <v>115</v>
      </c>
      <c r="B8" s="69" t="s">
        <v>6</v>
      </c>
      <c r="C8" s="168">
        <f>IFERROR(VLOOKUP(B8,'[3]Indicador b.1)'!$C$2:$I$60,7,0),0)</f>
        <v>524</v>
      </c>
      <c r="D8" s="58">
        <f t="shared" si="0"/>
        <v>8.7464530128526119E-2</v>
      </c>
      <c r="E8" s="65">
        <f t="shared" si="1"/>
        <v>175472.28058754798</v>
      </c>
    </row>
    <row r="9" spans="1:5" x14ac:dyDescent="0.25">
      <c r="A9" s="53" t="s">
        <v>116</v>
      </c>
      <c r="B9" s="69" t="s">
        <v>8</v>
      </c>
      <c r="C9" s="168">
        <f>IFERROR(VLOOKUP(B9,'[3]Indicador b.1)'!$C$2:$I$60,7,0),0)</f>
        <v>346</v>
      </c>
      <c r="D9" s="58">
        <f t="shared" si="0"/>
        <v>5.7753296611584043E-2</v>
      </c>
      <c r="E9" s="65">
        <f t="shared" si="1"/>
        <v>115865.28451009849</v>
      </c>
    </row>
    <row r="10" spans="1:5" x14ac:dyDescent="0.25">
      <c r="A10" s="53" t="s">
        <v>117</v>
      </c>
      <c r="B10" s="69" t="s">
        <v>20</v>
      </c>
      <c r="C10" s="168">
        <f>IFERROR(VLOOKUP(B10,'[3]Indicador b.1)'!$C$2:$I$60,7,0),0)</f>
        <v>331</v>
      </c>
      <c r="D10" s="58">
        <f t="shared" si="0"/>
        <v>5.5249540978133865E-2</v>
      </c>
      <c r="E10" s="65">
        <f t="shared" si="1"/>
        <v>110842.22304289768</v>
      </c>
    </row>
    <row r="11" spans="1:5" x14ac:dyDescent="0.25">
      <c r="A11" s="53" t="s">
        <v>118</v>
      </c>
      <c r="B11" s="69" t="s">
        <v>19</v>
      </c>
      <c r="C11" s="168">
        <f>IFERROR(VLOOKUP(B11,'[3]Indicador b.1)'!$C$2:$I$60,7,0),0)</f>
        <v>306</v>
      </c>
      <c r="D11" s="58">
        <f t="shared" si="0"/>
        <v>5.1076614922383579E-2</v>
      </c>
      <c r="E11" s="65">
        <f t="shared" si="1"/>
        <v>102470.45393089636</v>
      </c>
    </row>
    <row r="12" spans="1:5" x14ac:dyDescent="0.25">
      <c r="C12" s="66">
        <f>SUM(C3:C11)</f>
        <v>5991</v>
      </c>
      <c r="D12" s="71">
        <f>SUM(D3:D11)</f>
        <v>1</v>
      </c>
      <c r="E12" s="66">
        <f>SUM(E3:E11)</f>
        <v>2006210.75</v>
      </c>
    </row>
    <row r="15" spans="1:5" x14ac:dyDescent="0.25">
      <c r="A15" t="s">
        <v>120</v>
      </c>
      <c r="B15" s="6">
        <f>'Montos BD 2020'!B28/6</f>
        <v>2006210.75</v>
      </c>
    </row>
  </sheetData>
  <autoFilter ref="A2:C11" xr:uid="{F104A81B-AC08-48F4-A852-4A21590014B4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C5B1-E8B6-4875-B61D-F7AD45B4FE41}">
  <sheetPr>
    <tabColor theme="6" tint="-0.249977111117893"/>
  </sheetPr>
  <dimension ref="A2:E15"/>
  <sheetViews>
    <sheetView workbookViewId="0">
      <selection activeCell="E16" sqref="E16"/>
    </sheetView>
  </sheetViews>
  <sheetFormatPr baseColWidth="10" defaultRowHeight="15" x14ac:dyDescent="0.25"/>
  <cols>
    <col min="1" max="1" width="50" bestFit="1" customWidth="1"/>
  </cols>
  <sheetData>
    <row r="2" spans="1:5" ht="51" x14ac:dyDescent="0.25">
      <c r="A2" s="56" t="s">
        <v>9</v>
      </c>
      <c r="B2" s="57" t="s">
        <v>1</v>
      </c>
      <c r="C2" s="57" t="s">
        <v>164</v>
      </c>
      <c r="D2" s="57" t="s">
        <v>107</v>
      </c>
      <c r="E2" s="57" t="s">
        <v>106</v>
      </c>
    </row>
    <row r="3" spans="1:5" x14ac:dyDescent="0.25">
      <c r="A3" s="53" t="s">
        <v>111</v>
      </c>
      <c r="B3" s="69" t="s">
        <v>2</v>
      </c>
      <c r="C3" s="168">
        <f>VLOOKUP(B3,'[6]Matrícula Total'!$C$26:$D$34,2,0)</f>
        <v>27801</v>
      </c>
      <c r="D3" s="58">
        <f t="shared" ref="D3:D11" si="0">C3/$C$12</f>
        <v>0.19285357529343211</v>
      </c>
      <c r="E3" s="59">
        <f t="shared" ref="E3:E11" si="1">D3*$B$15</f>
        <v>386904.91592961788</v>
      </c>
    </row>
    <row r="4" spans="1:5" x14ac:dyDescent="0.25">
      <c r="A4" s="53" t="s">
        <v>113</v>
      </c>
      <c r="B4" s="69" t="s">
        <v>4</v>
      </c>
      <c r="C4" s="168">
        <f>VLOOKUP(B4,'[6]Matrícula Total'!$C$26:$D$34,2,0)</f>
        <v>16090</v>
      </c>
      <c r="D4" s="58">
        <f t="shared" si="0"/>
        <v>0.11161519465024002</v>
      </c>
      <c r="E4" s="59">
        <f t="shared" si="1"/>
        <v>223923.60337065402</v>
      </c>
    </row>
    <row r="5" spans="1:5" x14ac:dyDescent="0.25">
      <c r="A5" s="53" t="s">
        <v>13</v>
      </c>
      <c r="B5" s="69" t="s">
        <v>5</v>
      </c>
      <c r="C5" s="168">
        <f>VLOOKUP(B5,'[6]Matrícula Total'!$C$26:$D$34,2,0)</f>
        <v>15855</v>
      </c>
      <c r="D5" s="58">
        <f t="shared" si="0"/>
        <v>0.10998501623241488</v>
      </c>
      <c r="E5" s="59">
        <f t="shared" si="1"/>
        <v>220653.12190439523</v>
      </c>
    </row>
    <row r="6" spans="1:5" x14ac:dyDescent="0.25">
      <c r="A6" s="53" t="s">
        <v>117</v>
      </c>
      <c r="B6" s="69" t="s">
        <v>20</v>
      </c>
      <c r="C6" s="168">
        <f>VLOOKUP(B6,'[6]Matrícula Total'!$C$26:$D$34,2,0)</f>
        <v>12699</v>
      </c>
      <c r="D6" s="58">
        <f t="shared" si="0"/>
        <v>8.8092066927495216E-2</v>
      </c>
      <c r="E6" s="59">
        <f t="shared" si="1"/>
        <v>176731.25165966037</v>
      </c>
    </row>
    <row r="7" spans="1:5" x14ac:dyDescent="0.25">
      <c r="A7" s="53" t="s">
        <v>116</v>
      </c>
      <c r="B7" s="69" t="s">
        <v>8</v>
      </c>
      <c r="C7" s="168">
        <f>VLOOKUP(B7,'[6]Matrícula Total'!$C$26:$D$34,2,0)</f>
        <v>11248</v>
      </c>
      <c r="D7" s="58">
        <f t="shared" si="0"/>
        <v>7.8026582313604709E-2</v>
      </c>
      <c r="E7" s="59">
        <f t="shared" si="1"/>
        <v>156537.76822331364</v>
      </c>
    </row>
    <row r="8" spans="1:5" x14ac:dyDescent="0.25">
      <c r="A8" s="53" t="s">
        <v>118</v>
      </c>
      <c r="B8" s="69" t="s">
        <v>19</v>
      </c>
      <c r="C8" s="168">
        <f>VLOOKUP(B8,'[6]Matrícula Total'!$C$26:$D$34,2,0)</f>
        <v>8924</v>
      </c>
      <c r="D8" s="58">
        <f t="shared" si="0"/>
        <v>6.1905158300729762E-2</v>
      </c>
      <c r="E8" s="59">
        <f t="shared" si="1"/>
        <v>124194.79406337578</v>
      </c>
    </row>
    <row r="9" spans="1:5" x14ac:dyDescent="0.25">
      <c r="A9" s="53" t="s">
        <v>114</v>
      </c>
      <c r="B9" s="69" t="s">
        <v>7</v>
      </c>
      <c r="C9" s="168">
        <f>VLOOKUP(B9,'[6]Matrícula Total'!$C$26:$D$34,2,0)</f>
        <v>11115</v>
      </c>
      <c r="D9" s="58">
        <f t="shared" si="0"/>
        <v>7.710397069841006E-2</v>
      </c>
      <c r="E9" s="59">
        <f t="shared" si="1"/>
        <v>154686.81488283526</v>
      </c>
    </row>
    <row r="10" spans="1:5" x14ac:dyDescent="0.25">
      <c r="A10" s="53" t="s">
        <v>112</v>
      </c>
      <c r="B10" s="69" t="s">
        <v>3</v>
      </c>
      <c r="C10" s="168">
        <f>VLOOKUP(B10,'[6]Matrícula Total'!$C$26:$D$34,2,0)</f>
        <v>24933</v>
      </c>
      <c r="D10" s="58">
        <f t="shared" si="0"/>
        <v>0.17295846166652792</v>
      </c>
      <c r="E10" s="59">
        <f t="shared" si="1"/>
        <v>346991.12509885122</v>
      </c>
    </row>
    <row r="11" spans="1:5" x14ac:dyDescent="0.25">
      <c r="A11" s="53" t="s">
        <v>115</v>
      </c>
      <c r="B11" s="69" t="s">
        <v>6</v>
      </c>
      <c r="C11" s="168">
        <f>VLOOKUP(B11,'[6]Matrícula Total'!$C$26:$D$34,2,0)</f>
        <v>15491</v>
      </c>
      <c r="D11" s="58">
        <f t="shared" si="0"/>
        <v>0.10745997391714532</v>
      </c>
      <c r="E11" s="59">
        <f t="shared" si="1"/>
        <v>215587.35486729656</v>
      </c>
    </row>
    <row r="12" spans="1:5" x14ac:dyDescent="0.25">
      <c r="C12" s="66">
        <f>SUM(C3:C11)</f>
        <v>144156</v>
      </c>
      <c r="D12" s="66">
        <f>SUM(D3:D11)</f>
        <v>1</v>
      </c>
      <c r="E12" s="66">
        <f>SUM(E3:E11)</f>
        <v>2006210.75</v>
      </c>
    </row>
    <row r="15" spans="1:5" x14ac:dyDescent="0.25">
      <c r="A15" t="s">
        <v>119</v>
      </c>
      <c r="B15" s="6">
        <f>'Montos BD 2020'!B28/6</f>
        <v>2006210.75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Montos BD 2020</vt:lpstr>
      <vt:lpstr>Montos BD 2020 Anticipo y Saldo</vt:lpstr>
      <vt:lpstr>Categorías</vt:lpstr>
      <vt:lpstr>Valores</vt:lpstr>
      <vt:lpstr>Indicadores</vt:lpstr>
      <vt:lpstr>Publicaciones BD</vt:lpstr>
      <vt:lpstr>Acreditación BD</vt:lpstr>
      <vt:lpstr>Doctorado JC BD</vt:lpstr>
      <vt:lpstr>Programas Doct. Acreditados BD</vt:lpstr>
      <vt:lpstr>Académicos JC BD</vt:lpstr>
      <vt:lpstr>Matrícula Regular Pre BD</vt:lpstr>
      <vt:lpstr>'Montos BD 2020'!Títulos_a_imprimir</vt:lpstr>
      <vt:lpstr>'Montos BD 2020 Anticipo y Saldo'!Títulos_a_imprimir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2019-06-13T19:52:08Z</cp:lastPrinted>
  <dcterms:created xsi:type="dcterms:W3CDTF">2016-05-30T15:19:10Z</dcterms:created>
  <dcterms:modified xsi:type="dcterms:W3CDTF">2020-10-07T16:00:15Z</dcterms:modified>
</cp:coreProperties>
</file>