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20/FI/"/>
    </mc:Choice>
  </mc:AlternateContent>
  <bookViews>
    <workbookView xWindow="0" yWindow="460" windowWidth="27500" windowHeight="19220" tabRatio="824" activeTab="8"/>
  </bookViews>
  <sheets>
    <sheet name="PPTO" sheetId="2" r:id="rId1"/>
    <sheet name="1 Acred" sheetId="5" r:id="rId2"/>
    <sheet name="2 Doct ACR" sheetId="3" r:id="rId3"/>
    <sheet name="3 Planta Académica" sheetId="6" r:id="rId4"/>
    <sheet name="4 Publicaciones x Acad" sheetId="7" r:id="rId5"/>
    <sheet name="5 Citas" sheetId="1" r:id="rId6"/>
    <sheet name="6 Proyectos" sheetId="9" r:id="rId7"/>
    <sheet name="7 Publicaciones" sheetId="12" r:id="rId8"/>
    <sheet name="FI2020 Distribución" sheetId="11" r:id="rId9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9" l="1"/>
  <c r="O13" i="9"/>
  <c r="N13" i="9"/>
  <c r="M13" i="9"/>
  <c r="L13" i="9"/>
  <c r="K13" i="9"/>
  <c r="J13" i="9"/>
  <c r="I13" i="9"/>
  <c r="H13" i="9"/>
  <c r="G13" i="9"/>
  <c r="H16" i="11"/>
  <c r="H15" i="11"/>
  <c r="H14" i="11"/>
  <c r="H13" i="11"/>
  <c r="H12" i="11"/>
  <c r="H11" i="11"/>
  <c r="Y12" i="6"/>
  <c r="Y11" i="6"/>
  <c r="Y10" i="6"/>
  <c r="Y9" i="6"/>
  <c r="Y8" i="6"/>
  <c r="Y7" i="6"/>
  <c r="X12" i="6"/>
  <c r="X11" i="6"/>
  <c r="X10" i="6"/>
  <c r="X9" i="6"/>
  <c r="X8" i="6"/>
  <c r="X7" i="6"/>
  <c r="U7" i="6"/>
  <c r="L13" i="6"/>
  <c r="Q11" i="3"/>
  <c r="Q10" i="3"/>
  <c r="Q9" i="3"/>
  <c r="Q8" i="3"/>
  <c r="Q7" i="3"/>
  <c r="Q6" i="3"/>
  <c r="Q12" i="3"/>
  <c r="J13" i="2"/>
  <c r="J12" i="2"/>
  <c r="J11" i="2"/>
  <c r="J10" i="2"/>
  <c r="J9" i="2"/>
  <c r="J8" i="2"/>
  <c r="J7" i="2"/>
  <c r="R10" i="3"/>
  <c r="R9" i="3"/>
  <c r="R8" i="3"/>
  <c r="R11" i="3"/>
  <c r="R7" i="3"/>
  <c r="R6" i="3"/>
  <c r="I10" i="11"/>
  <c r="I7" i="2"/>
  <c r="I8" i="2"/>
  <c r="I9" i="2"/>
  <c r="I10" i="2"/>
  <c r="I11" i="2"/>
  <c r="I12" i="2"/>
  <c r="I13" i="2"/>
  <c r="L10" i="11"/>
  <c r="P11" i="12"/>
  <c r="P10" i="12"/>
  <c r="P9" i="12"/>
  <c r="P8" i="12"/>
  <c r="P7" i="12"/>
  <c r="P6" i="12"/>
  <c r="O12" i="12"/>
  <c r="J11" i="12"/>
  <c r="I11" i="12"/>
  <c r="H11" i="12"/>
  <c r="G11" i="12"/>
  <c r="J10" i="12"/>
  <c r="I10" i="12"/>
  <c r="H10" i="12"/>
  <c r="G10" i="12"/>
  <c r="J9" i="12"/>
  <c r="I9" i="12"/>
  <c r="H9" i="12"/>
  <c r="G9" i="12"/>
  <c r="J8" i="12"/>
  <c r="I8" i="12"/>
  <c r="H8" i="12"/>
  <c r="G8" i="12"/>
  <c r="J7" i="12"/>
  <c r="I7" i="12"/>
  <c r="H7" i="12"/>
  <c r="G7" i="12"/>
  <c r="J6" i="12"/>
  <c r="I6" i="12"/>
  <c r="H6" i="12"/>
  <c r="G6" i="12"/>
  <c r="K6" i="12"/>
  <c r="K7" i="12"/>
  <c r="K8" i="12"/>
  <c r="K9" i="12"/>
  <c r="K10" i="12"/>
  <c r="O10" i="12"/>
  <c r="K11" i="12"/>
  <c r="N10" i="12"/>
  <c r="N11" i="12"/>
  <c r="N7" i="12"/>
  <c r="N9" i="12"/>
  <c r="N8" i="12"/>
  <c r="N6" i="12"/>
  <c r="O9" i="12"/>
  <c r="O8" i="12"/>
  <c r="O6" i="12"/>
  <c r="O11" i="12"/>
  <c r="O7" i="12"/>
  <c r="K12" i="12"/>
  <c r="L7" i="12"/>
  <c r="L8" i="12"/>
  <c r="L6" i="12"/>
  <c r="L10" i="12"/>
  <c r="L9" i="12"/>
  <c r="L11" i="12"/>
  <c r="T12" i="1"/>
  <c r="T11" i="1"/>
  <c r="T10" i="1"/>
  <c r="T9" i="1"/>
  <c r="T8" i="1"/>
  <c r="T7" i="1"/>
  <c r="S13" i="1"/>
  <c r="R12" i="1"/>
  <c r="L12" i="1"/>
  <c r="R11" i="1"/>
  <c r="L11" i="1"/>
  <c r="R10" i="1"/>
  <c r="L10" i="1"/>
  <c r="R9" i="1"/>
  <c r="L9" i="1"/>
  <c r="R8" i="1"/>
  <c r="L8" i="1"/>
  <c r="Q12" i="7"/>
  <c r="P12" i="7"/>
  <c r="O12" i="7"/>
  <c r="N12" i="7"/>
  <c r="M12" i="7"/>
  <c r="Q11" i="7"/>
  <c r="P11" i="7"/>
  <c r="O11" i="7"/>
  <c r="N11" i="7"/>
  <c r="M11" i="7"/>
  <c r="Q10" i="7"/>
  <c r="P10" i="7"/>
  <c r="O10" i="7"/>
  <c r="N10" i="7"/>
  <c r="M10" i="7"/>
  <c r="Q9" i="7"/>
  <c r="P9" i="7"/>
  <c r="O9" i="7"/>
  <c r="N9" i="7"/>
  <c r="M9" i="7"/>
  <c r="Q8" i="7"/>
  <c r="P8" i="7"/>
  <c r="O8" i="7"/>
  <c r="N8" i="7"/>
  <c r="M8" i="7"/>
  <c r="Q7" i="7"/>
  <c r="P7" i="7"/>
  <c r="O7" i="7"/>
  <c r="N7" i="7"/>
  <c r="M7" i="7"/>
  <c r="R8" i="7"/>
  <c r="S12" i="6"/>
  <c r="S11" i="6"/>
  <c r="S10" i="6"/>
  <c r="S9" i="6"/>
  <c r="S8" i="6"/>
  <c r="S7" i="6"/>
  <c r="L12" i="6"/>
  <c r="L11" i="6"/>
  <c r="L10" i="6"/>
  <c r="L9" i="6"/>
  <c r="L8" i="6"/>
  <c r="L7" i="6"/>
  <c r="K12" i="6"/>
  <c r="K11" i="6"/>
  <c r="K10" i="6"/>
  <c r="K9" i="6"/>
  <c r="K8" i="6"/>
  <c r="K7" i="6"/>
  <c r="K13" i="6"/>
  <c r="S13" i="6"/>
  <c r="M11" i="5"/>
  <c r="M10" i="5"/>
  <c r="M9" i="5"/>
  <c r="M7" i="5"/>
  <c r="M6" i="5"/>
  <c r="L11" i="5"/>
  <c r="L10" i="5"/>
  <c r="L9" i="5"/>
  <c r="L8" i="5"/>
  <c r="L7" i="5"/>
  <c r="L6" i="5"/>
  <c r="J11" i="5"/>
  <c r="J10" i="5"/>
  <c r="J9" i="5"/>
  <c r="J8" i="5"/>
  <c r="J7" i="5"/>
  <c r="J6" i="5"/>
  <c r="H11" i="5"/>
  <c r="H10" i="5"/>
  <c r="H9" i="5"/>
  <c r="H8" i="5"/>
  <c r="M8" i="5"/>
  <c r="H7" i="5"/>
  <c r="H6" i="5"/>
  <c r="N11" i="5"/>
  <c r="N7" i="5"/>
  <c r="N10" i="5"/>
  <c r="N6" i="5"/>
  <c r="N9" i="5"/>
  <c r="N8" i="5"/>
  <c r="K10" i="11"/>
  <c r="Q12" i="9"/>
  <c r="Q11" i="9"/>
  <c r="Q10" i="9"/>
  <c r="Q9" i="9"/>
  <c r="Q8" i="9"/>
  <c r="Q7" i="9"/>
  <c r="R7" i="1"/>
  <c r="L7" i="1"/>
  <c r="S10" i="1"/>
  <c r="L12" i="7"/>
  <c r="L11" i="7"/>
  <c r="L10" i="7"/>
  <c r="L9" i="7"/>
  <c r="L8" i="7"/>
  <c r="L7" i="7"/>
  <c r="R9" i="7"/>
  <c r="R7" i="7"/>
  <c r="T12" i="6"/>
  <c r="T11" i="6"/>
  <c r="T10" i="6"/>
  <c r="T9" i="6"/>
  <c r="T8" i="6"/>
  <c r="T7" i="6"/>
  <c r="J10" i="11"/>
  <c r="H10" i="11"/>
  <c r="G10" i="11"/>
  <c r="F10" i="11"/>
  <c r="T1" i="9"/>
  <c r="V1" i="1"/>
  <c r="T1" i="3"/>
  <c r="P1" i="5"/>
  <c r="U11" i="6"/>
  <c r="T13" i="6"/>
  <c r="U8" i="6"/>
  <c r="U12" i="6"/>
  <c r="U9" i="6"/>
  <c r="U10" i="6"/>
  <c r="AC1" i="6"/>
  <c r="V1" i="7"/>
  <c r="S1" i="12"/>
  <c r="Q13" i="9"/>
  <c r="R9" i="9"/>
  <c r="T9" i="9"/>
  <c r="R7" i="9"/>
  <c r="T7" i="9"/>
  <c r="R8" i="9"/>
  <c r="T8" i="9"/>
  <c r="R11" i="9"/>
  <c r="R12" i="9"/>
  <c r="R10" i="9"/>
  <c r="T10" i="9"/>
  <c r="Y13" i="6"/>
  <c r="Z7" i="6"/>
  <c r="P7" i="5"/>
  <c r="T10" i="3"/>
  <c r="T6" i="3"/>
  <c r="G11" i="11"/>
  <c r="T9" i="3"/>
  <c r="G14" i="11"/>
  <c r="S7" i="7"/>
  <c r="S7" i="1"/>
  <c r="S11" i="1"/>
  <c r="S8" i="1"/>
  <c r="S12" i="1"/>
  <c r="S9" i="1"/>
  <c r="R11" i="7"/>
  <c r="S11" i="7"/>
  <c r="R10" i="7"/>
  <c r="S10" i="7"/>
  <c r="R12" i="7"/>
  <c r="S12" i="7"/>
  <c r="S9" i="7"/>
  <c r="T11" i="9"/>
  <c r="P9" i="5"/>
  <c r="F14" i="11"/>
  <c r="P6" i="5"/>
  <c r="F11" i="11"/>
  <c r="P11" i="5"/>
  <c r="F16" i="11"/>
  <c r="P10" i="5"/>
  <c r="F15" i="11"/>
  <c r="T11" i="3"/>
  <c r="G16" i="11"/>
  <c r="T7" i="3"/>
  <c r="G12" i="11"/>
  <c r="T8" i="3"/>
  <c r="G13" i="11"/>
  <c r="P8" i="5"/>
  <c r="F13" i="11"/>
  <c r="T12" i="9"/>
  <c r="U10" i="3"/>
  <c r="G15" i="11"/>
  <c r="Q7" i="5"/>
  <c r="F12" i="11"/>
  <c r="Q8" i="12"/>
  <c r="Q11" i="12"/>
  <c r="Q7" i="12"/>
  <c r="Q10" i="12"/>
  <c r="Q6" i="12"/>
  <c r="Q9" i="12"/>
  <c r="M6" i="12"/>
  <c r="M8" i="12"/>
  <c r="M7" i="12"/>
  <c r="M11" i="12"/>
  <c r="S11" i="12"/>
  <c r="M10" i="12"/>
  <c r="M9" i="12"/>
  <c r="AA7" i="6"/>
  <c r="Z10" i="6"/>
  <c r="AA10" i="6"/>
  <c r="U13" i="6"/>
  <c r="V7" i="6"/>
  <c r="W7" i="6"/>
  <c r="Z8" i="6"/>
  <c r="AA8" i="6"/>
  <c r="Z11" i="6"/>
  <c r="AA11" i="6"/>
  <c r="Z9" i="6"/>
  <c r="AA9" i="6"/>
  <c r="Z12" i="6"/>
  <c r="AA12" i="6"/>
  <c r="U9" i="3"/>
  <c r="U6" i="3"/>
  <c r="V7" i="1"/>
  <c r="W7" i="1"/>
  <c r="V11" i="1"/>
  <c r="J15" i="11"/>
  <c r="V10" i="1"/>
  <c r="W10" i="1"/>
  <c r="V12" i="1"/>
  <c r="W12" i="1"/>
  <c r="V9" i="1"/>
  <c r="W9" i="1"/>
  <c r="V8" i="1"/>
  <c r="J12" i="11"/>
  <c r="K11" i="11"/>
  <c r="U7" i="9"/>
  <c r="U8" i="9"/>
  <c r="K12" i="11"/>
  <c r="U9" i="9"/>
  <c r="K13" i="11"/>
  <c r="Q9" i="5"/>
  <c r="U8" i="3"/>
  <c r="Q10" i="5"/>
  <c r="U10" i="9"/>
  <c r="K14" i="11"/>
  <c r="U7" i="3"/>
  <c r="Q11" i="5"/>
  <c r="Q8" i="5"/>
  <c r="U12" i="9"/>
  <c r="K16" i="11"/>
  <c r="U11" i="3"/>
  <c r="Q6" i="5"/>
  <c r="K15" i="11"/>
  <c r="U11" i="9"/>
  <c r="F17" i="11"/>
  <c r="V10" i="6"/>
  <c r="W10" i="6"/>
  <c r="G17" i="11"/>
  <c r="K17" i="11"/>
  <c r="AC10" i="6"/>
  <c r="S9" i="12"/>
  <c r="T9" i="12"/>
  <c r="S8" i="12"/>
  <c r="L13" i="11"/>
  <c r="S6" i="12"/>
  <c r="L11" i="11"/>
  <c r="S10" i="12"/>
  <c r="L16" i="11"/>
  <c r="T11" i="12"/>
  <c r="AC7" i="6"/>
  <c r="S7" i="12"/>
  <c r="J11" i="11"/>
  <c r="W11" i="1"/>
  <c r="J14" i="11"/>
  <c r="V9" i="6"/>
  <c r="W9" i="6"/>
  <c r="AC9" i="6"/>
  <c r="V12" i="6"/>
  <c r="W12" i="6"/>
  <c r="AC12" i="6"/>
  <c r="V8" i="6"/>
  <c r="W8" i="6"/>
  <c r="AC8" i="6"/>
  <c r="V11" i="6"/>
  <c r="W11" i="6"/>
  <c r="AC11" i="6"/>
  <c r="W8" i="1"/>
  <c r="J16" i="11"/>
  <c r="J13" i="11"/>
  <c r="S8" i="7"/>
  <c r="S13" i="7"/>
  <c r="H17" i="11"/>
  <c r="L14" i="11"/>
  <c r="J17" i="11"/>
  <c r="T6" i="12"/>
  <c r="AD7" i="6"/>
  <c r="AD12" i="6"/>
  <c r="AD10" i="6"/>
  <c r="AD9" i="6"/>
  <c r="T8" i="12"/>
  <c r="AD11" i="6"/>
  <c r="L12" i="11"/>
  <c r="T7" i="12"/>
  <c r="L15" i="11"/>
  <c r="T10" i="12"/>
  <c r="AD8" i="6"/>
  <c r="T9" i="7"/>
  <c r="V9" i="7"/>
  <c r="T7" i="7"/>
  <c r="V7" i="7"/>
  <c r="T11" i="7"/>
  <c r="V11" i="7"/>
  <c r="T12" i="7"/>
  <c r="V12" i="7"/>
  <c r="T10" i="7"/>
  <c r="V10" i="7"/>
  <c r="T8" i="7"/>
  <c r="V8" i="7"/>
  <c r="L17" i="11"/>
  <c r="I12" i="11"/>
  <c r="W8" i="7"/>
  <c r="I16" i="11"/>
  <c r="W12" i="7"/>
  <c r="I15" i="11"/>
  <c r="W11" i="7"/>
  <c r="W7" i="7"/>
  <c r="I11" i="11"/>
  <c r="I14" i="11"/>
  <c r="W10" i="7"/>
  <c r="I13" i="11"/>
  <c r="W9" i="7"/>
  <c r="M13" i="11"/>
  <c r="M16" i="11"/>
  <c r="N16" i="11"/>
  <c r="M14" i="11"/>
  <c r="M15" i="11"/>
  <c r="N15" i="11"/>
  <c r="M12" i="11"/>
  <c r="N12" i="11"/>
  <c r="I17" i="11"/>
  <c r="M11" i="11"/>
  <c r="N13" i="11"/>
  <c r="N14" i="11"/>
  <c r="N11" i="11"/>
  <c r="N17" i="11"/>
  <c r="M17" i="11"/>
</calcChain>
</file>

<file path=xl/sharedStrings.xml><?xml version="1.0" encoding="utf-8"?>
<sst xmlns="http://schemas.openxmlformats.org/spreadsheetml/2006/main" count="570" uniqueCount="152">
  <si>
    <t>COD_SIES</t>
  </si>
  <si>
    <t>COD_DFI</t>
  </si>
  <si>
    <t>INSTITUCIÓN</t>
  </si>
  <si>
    <t>Tipo IES</t>
  </si>
  <si>
    <t>%</t>
  </si>
  <si>
    <t>con decimales</t>
  </si>
  <si>
    <t>sin decimales</t>
  </si>
  <si>
    <t>I</t>
  </si>
  <si>
    <t>II</t>
  </si>
  <si>
    <t>III</t>
  </si>
  <si>
    <t>RM</t>
  </si>
  <si>
    <t>IV</t>
  </si>
  <si>
    <t>VI</t>
  </si>
  <si>
    <t>V</t>
  </si>
  <si>
    <t>VII</t>
  </si>
  <si>
    <t>PRESUPUESTO</t>
  </si>
  <si>
    <t>Part</t>
  </si>
  <si>
    <t>Cap</t>
  </si>
  <si>
    <t>Prog</t>
  </si>
  <si>
    <t>Subtit</t>
  </si>
  <si>
    <t>ítem</t>
  </si>
  <si>
    <t>Asign</t>
  </si>
  <si>
    <t>Glosa</t>
  </si>
  <si>
    <t>Presupuesto</t>
  </si>
  <si>
    <t>Transf. Corrientes</t>
  </si>
  <si>
    <t>09</t>
  </si>
  <si>
    <t>01</t>
  </si>
  <si>
    <t>24</t>
  </si>
  <si>
    <t>03</t>
  </si>
  <si>
    <t>No</t>
  </si>
  <si>
    <t>Sí</t>
  </si>
  <si>
    <t>Región</t>
  </si>
  <si>
    <t>redondeado</t>
  </si>
  <si>
    <t>Distribución Recursos por Institución</t>
  </si>
  <si>
    <t>AHC</t>
  </si>
  <si>
    <t>Universidad Academia de Humanismo Cristiano</t>
  </si>
  <si>
    <t>U. Privada</t>
  </si>
  <si>
    <t>UAH</t>
  </si>
  <si>
    <t>Universidad Alberto Hurtado</t>
  </si>
  <si>
    <t>UAU</t>
  </si>
  <si>
    <t>Universidad Autónoma de Chile</t>
  </si>
  <si>
    <t>UCS</t>
  </si>
  <si>
    <t>Universidad Católica Silva Henríquez</t>
  </si>
  <si>
    <t>UDP</t>
  </si>
  <si>
    <t>Universidad Diego Portales</t>
  </si>
  <si>
    <t>UFT</t>
  </si>
  <si>
    <t>Universidad Finis Terrae</t>
  </si>
  <si>
    <t>30</t>
  </si>
  <si>
    <t>853</t>
  </si>
  <si>
    <t>Doctorados Acreditados</t>
  </si>
  <si>
    <t>Acreditación Investigación</t>
  </si>
  <si>
    <t>Planta Académica</t>
  </si>
  <si>
    <t>Publicaciones</t>
  </si>
  <si>
    <t>Citas</t>
  </si>
  <si>
    <t>Proyectos</t>
  </si>
  <si>
    <t>APORTE PARA FOMENTO DE INVESTIGACIÓN</t>
  </si>
  <si>
    <t>I.  Acreditación en Investigación</t>
  </si>
  <si>
    <t>Monto por IES</t>
  </si>
  <si>
    <t xml:space="preserve">Presupuesto:  </t>
  </si>
  <si>
    <t>II.  Doctorados Acreditados</t>
  </si>
  <si>
    <t>III.  Planta Académica</t>
  </si>
  <si>
    <t>IV.  Publicaciones</t>
  </si>
  <si>
    <t>V.  Citas</t>
  </si>
  <si>
    <t>VI.  Proyectos</t>
  </si>
  <si>
    <t>MONTOS POR INDICADORES</t>
  </si>
  <si>
    <t>MONTOS TOTALES</t>
  </si>
  <si>
    <t>N° Académicos JC</t>
  </si>
  <si>
    <t>N° Publicaciones citables SCOPUS</t>
  </si>
  <si>
    <t>Tasa</t>
  </si>
  <si>
    <t>Publicaciones Citables SCOPUS por Académicos JC</t>
  </si>
  <si>
    <t>N° Citas WOS</t>
  </si>
  <si>
    <t>Citas por Publicaciones WOS</t>
  </si>
  <si>
    <t>N° Publicaciones WOS</t>
  </si>
  <si>
    <t>Post Doct</t>
  </si>
  <si>
    <t>Iniciación Investig</t>
  </si>
  <si>
    <t>FONDAP</t>
  </si>
  <si>
    <t>Milenio</t>
  </si>
  <si>
    <t>Proyectos Astronomía</t>
  </si>
  <si>
    <t>FONIS</t>
  </si>
  <si>
    <t>PIA</t>
  </si>
  <si>
    <t>TOTAL</t>
  </si>
  <si>
    <t>F1</t>
  </si>
  <si>
    <t>F2</t>
  </si>
  <si>
    <t>F3</t>
  </si>
  <si>
    <t>F4</t>
  </si>
  <si>
    <t>F5</t>
  </si>
  <si>
    <t>F6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</si>
  <si>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</si>
  <si>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</si>
  <si>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</si>
  <si>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</si>
  <si>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</si>
  <si>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</si>
  <si>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</si>
  <si>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</si>
  <si>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</si>
  <si>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</si>
  <si>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N° Doctorados Acreditados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</si>
  <si>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</si>
  <si>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</si>
  <si>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</si>
  <si>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</si>
  <si>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</si>
  <si>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</si>
  <si>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</si>
  <si>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</si>
  <si>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</si>
  <si>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</si>
  <si>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</si>
  <si>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</si>
  <si>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</si>
  <si>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FONDEF</t>
  </si>
  <si>
    <t>PIC</t>
  </si>
  <si>
    <t>Montos por IES</t>
  </si>
  <si>
    <t>Total 2016-2018</t>
  </si>
  <si>
    <t>JC con Doctorado</t>
  </si>
  <si>
    <t>JC Total</t>
  </si>
  <si>
    <t>Proyectos CONICYT Adjudicados 2018</t>
  </si>
  <si>
    <t>Acreditación</t>
  </si>
  <si>
    <t>5 Áreas</t>
  </si>
  <si>
    <t>en Investigación</t>
  </si>
  <si>
    <t>Años ACRED Inst</t>
  </si>
  <si>
    <t>PTJE</t>
  </si>
  <si>
    <t>Total 2017-2019</t>
  </si>
  <si>
    <t>N° Académicos JC (+39H)</t>
  </si>
  <si>
    <t>[P2]
JC con Doctorado
var. trienios móv</t>
  </si>
  <si>
    <t>% IES</t>
  </si>
  <si>
    <t>M$ 
70% Ppto</t>
  </si>
  <si>
    <t>M$ 
30% Ppto</t>
  </si>
  <si>
    <t>Total 2013-2018</t>
  </si>
  <si>
    <t>Total 2014-2018</t>
  </si>
  <si>
    <t>Regular</t>
  </si>
  <si>
    <t>FONDECYT</t>
  </si>
  <si>
    <t>Total 2015-2017</t>
  </si>
  <si>
    <t>Variación TRIM mov</t>
  </si>
  <si>
    <t>[P1]
N° Publicaciones
2016-2018</t>
  </si>
  <si>
    <t>[P2]
Variación trienios móviles</t>
  </si>
  <si>
    <t>TIPO IES</t>
  </si>
  <si>
    <t>Publicaciones por Académico</t>
  </si>
  <si>
    <t>IV.  Publicaciones por Académico</t>
  </si>
  <si>
    <t>C24</t>
  </si>
  <si>
    <t>C25</t>
  </si>
  <si>
    <t>C26</t>
  </si>
  <si>
    <t>C27</t>
  </si>
  <si>
    <t>Total</t>
  </si>
  <si>
    <t>[P1]
% JC con Doctorado
2017-2019</t>
  </si>
  <si>
    <t>% JC Doct
2017-2019</t>
  </si>
  <si>
    <t>% JC Doct
2016-2018</t>
  </si>
  <si>
    <t>Variación trienio</t>
  </si>
  <si>
    <t>Ley de presupuestos año 2020</t>
  </si>
  <si>
    <t>Unidad de Análisis e Información, DFI</t>
  </si>
  <si>
    <t>12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</si>
</sst>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"/>
    <numFmt numFmtId="166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3FFB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quotePrefix="1" applyFont="1" applyFill="1" applyAlignment="1">
      <alignment horizontal="center"/>
    </xf>
    <xf numFmtId="3" fontId="5" fillId="4" borderId="14" xfId="0" applyNumberFormat="1" applyFont="1" applyFill="1" applyBorder="1"/>
    <xf numFmtId="0" fontId="5" fillId="2" borderId="0" xfId="0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0" fontId="9" fillId="0" borderId="0" xfId="0" applyFont="1"/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/>
    <xf numFmtId="0" fontId="8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/>
    </xf>
    <xf numFmtId="0" fontId="12" fillId="2" borderId="0" xfId="0" applyFont="1" applyFill="1" applyAlignment="1">
      <alignment vertical="top"/>
    </xf>
    <xf numFmtId="0" fontId="2" fillId="2" borderId="22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8" xfId="0" applyFont="1" applyFill="1" applyBorder="1"/>
    <xf numFmtId="0" fontId="2" fillId="2" borderId="39" xfId="0" applyFont="1" applyFill="1" applyBorder="1" applyAlignment="1">
      <alignment horizontal="center"/>
    </xf>
    <xf numFmtId="3" fontId="2" fillId="4" borderId="6" xfId="0" applyNumberFormat="1" applyFont="1" applyFill="1" applyBorder="1"/>
    <xf numFmtId="165" fontId="7" fillId="4" borderId="10" xfId="0" applyNumberFormat="1" applyFont="1" applyFill="1" applyBorder="1"/>
    <xf numFmtId="165" fontId="7" fillId="4" borderId="8" xfId="0" applyNumberFormat="1" applyFont="1" applyFill="1" applyBorder="1"/>
    <xf numFmtId="165" fontId="7" fillId="4" borderId="36" xfId="0" applyNumberFormat="1" applyFont="1" applyFill="1" applyBorder="1"/>
    <xf numFmtId="165" fontId="7" fillId="4" borderId="32" xfId="0" applyNumberFormat="1" applyFont="1" applyFill="1" applyBorder="1"/>
    <xf numFmtId="0" fontId="7" fillId="2" borderId="45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/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165" fontId="7" fillId="4" borderId="49" xfId="0" applyNumberFormat="1" applyFont="1" applyFill="1" applyBorder="1"/>
    <xf numFmtId="165" fontId="7" fillId="4" borderId="50" xfId="0" applyNumberFormat="1" applyFont="1" applyFill="1" applyBorder="1"/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3" fontId="2" fillId="4" borderId="16" xfId="0" applyNumberFormat="1" applyFont="1" applyFill="1" applyBorder="1" applyAlignment="1">
      <alignment vertical="center"/>
    </xf>
    <xf numFmtId="3" fontId="2" fillId="4" borderId="17" xfId="0" applyNumberFormat="1" applyFont="1" applyFill="1" applyBorder="1" applyAlignment="1">
      <alignment vertical="center"/>
    </xf>
    <xf numFmtId="3" fontId="2" fillId="4" borderId="18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right"/>
    </xf>
    <xf numFmtId="0" fontId="15" fillId="2" borderId="0" xfId="0" applyFont="1" applyFill="1" applyAlignment="1">
      <alignment horizontal="left" vertical="top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165" fontId="7" fillId="4" borderId="55" xfId="0" applyNumberFormat="1" applyFont="1" applyFill="1" applyBorder="1"/>
    <xf numFmtId="165" fontId="7" fillId="4" borderId="11" xfId="0" applyNumberFormat="1" applyFont="1" applyFill="1" applyBorder="1"/>
    <xf numFmtId="165" fontId="7" fillId="4" borderId="34" xfId="0" applyNumberFormat="1" applyFont="1" applyFill="1" applyBorder="1"/>
    <xf numFmtId="0" fontId="7" fillId="2" borderId="25" xfId="0" applyFont="1" applyFill="1" applyBorder="1" applyAlignment="1">
      <alignment horizontal="center" vertical="center" wrapText="1"/>
    </xf>
    <xf numFmtId="165" fontId="7" fillId="4" borderId="56" xfId="0" applyNumberFormat="1" applyFont="1" applyFill="1" applyBorder="1"/>
    <xf numFmtId="165" fontId="7" fillId="4" borderId="9" xfId="0" applyNumberFormat="1" applyFont="1" applyFill="1" applyBorder="1"/>
    <xf numFmtId="165" fontId="7" fillId="4" borderId="33" xfId="0" applyNumberFormat="1" applyFont="1" applyFill="1" applyBorder="1"/>
    <xf numFmtId="0" fontId="4" fillId="2" borderId="29" xfId="0" applyFont="1" applyFill="1" applyBorder="1" applyAlignment="1">
      <alignment horizontal="center" vertical="center" wrapText="1"/>
    </xf>
    <xf numFmtId="165" fontId="4" fillId="5" borderId="60" xfId="0" applyNumberFormat="1" applyFont="1" applyFill="1" applyBorder="1"/>
    <xf numFmtId="165" fontId="4" fillId="5" borderId="13" xfId="0" applyNumberFormat="1" applyFont="1" applyFill="1" applyBorder="1"/>
    <xf numFmtId="165" fontId="4" fillId="5" borderId="35" xfId="0" applyNumberFormat="1" applyFont="1" applyFill="1" applyBorder="1"/>
    <xf numFmtId="0" fontId="4" fillId="2" borderId="59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/>
    <xf numFmtId="3" fontId="2" fillId="3" borderId="51" xfId="0" applyNumberFormat="1" applyFont="1" applyFill="1" applyBorder="1"/>
    <xf numFmtId="3" fontId="2" fillId="3" borderId="51" xfId="0" applyNumberFormat="1" applyFont="1" applyFill="1" applyBorder="1" applyAlignment="1">
      <alignment horizontal="center"/>
    </xf>
    <xf numFmtId="3" fontId="2" fillId="3" borderId="7" xfId="0" applyNumberFormat="1" applyFont="1" applyFill="1" applyBorder="1"/>
    <xf numFmtId="3" fontId="2" fillId="3" borderId="10" xfId="0" applyNumberFormat="1" applyFont="1" applyFill="1" applyBorder="1"/>
    <xf numFmtId="3" fontId="2" fillId="3" borderId="61" xfId="0" applyNumberFormat="1" applyFont="1" applyFill="1" applyBorder="1"/>
    <xf numFmtId="3" fontId="2" fillId="3" borderId="54" xfId="0" applyNumberFormat="1" applyFont="1" applyFill="1" applyBorder="1"/>
    <xf numFmtId="3" fontId="2" fillId="3" borderId="53" xfId="0" applyNumberFormat="1" applyFont="1" applyFill="1" applyBorder="1"/>
    <xf numFmtId="3" fontId="2" fillId="3" borderId="12" xfId="0" applyNumberFormat="1" applyFont="1" applyFill="1" applyBorder="1"/>
    <xf numFmtId="3" fontId="2" fillId="4" borderId="54" xfId="0" applyNumberFormat="1" applyFont="1" applyFill="1" applyBorder="1"/>
    <xf numFmtId="3" fontId="2" fillId="4" borderId="12" xfId="0" applyNumberFormat="1" applyFont="1" applyFill="1" applyBorder="1"/>
    <xf numFmtId="3" fontId="2" fillId="4" borderId="51" xfId="0" applyNumberFormat="1" applyFont="1" applyFill="1" applyBorder="1"/>
    <xf numFmtId="3" fontId="2" fillId="4" borderId="37" xfId="0" applyNumberFormat="1" applyFont="1" applyFill="1" applyBorder="1"/>
    <xf numFmtId="3" fontId="2" fillId="4" borderId="9" xfId="0" applyNumberFormat="1" applyFont="1" applyFill="1" applyBorder="1"/>
    <xf numFmtId="166" fontId="4" fillId="4" borderId="6" xfId="0" applyNumberFormat="1" applyFont="1" applyFill="1" applyBorder="1"/>
    <xf numFmtId="166" fontId="4" fillId="4" borderId="51" xfId="0" applyNumberFormat="1" applyFont="1" applyFill="1" applyBorder="1"/>
    <xf numFmtId="3" fontId="8" fillId="2" borderId="0" xfId="0" applyNumberFormat="1" applyFont="1" applyFill="1"/>
    <xf numFmtId="0" fontId="16" fillId="2" borderId="0" xfId="0" applyFont="1" applyFill="1" applyAlignment="1">
      <alignment horizontal="center"/>
    </xf>
    <xf numFmtId="3" fontId="2" fillId="3" borderId="6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vertical="top"/>
    </xf>
    <xf numFmtId="0" fontId="17" fillId="2" borderId="0" xfId="0" applyFont="1" applyFill="1" applyAlignment="1">
      <alignment horizontal="center"/>
    </xf>
    <xf numFmtId="0" fontId="4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/>
    </xf>
    <xf numFmtId="164" fontId="4" fillId="4" borderId="13" xfId="1" applyNumberFormat="1" applyFont="1" applyFill="1" applyBorder="1"/>
    <xf numFmtId="0" fontId="2" fillId="2" borderId="71" xfId="0" applyFont="1" applyFill="1" applyBorder="1" applyAlignment="1">
      <alignment horizontal="center"/>
    </xf>
    <xf numFmtId="3" fontId="2" fillId="3" borderId="72" xfId="0" applyNumberFormat="1" applyFont="1" applyFill="1" applyBorder="1" applyAlignment="1">
      <alignment horizontal="center"/>
    </xf>
    <xf numFmtId="164" fontId="4" fillId="4" borderId="35" xfId="1" applyNumberFormat="1" applyFont="1" applyFill="1" applyBorder="1"/>
    <xf numFmtId="0" fontId="4" fillId="2" borderId="74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/>
    </xf>
    <xf numFmtId="165" fontId="4" fillId="4" borderId="76" xfId="0" applyNumberFormat="1" applyFont="1" applyFill="1" applyBorder="1"/>
    <xf numFmtId="165" fontId="5" fillId="4" borderId="70" xfId="0" applyNumberFormat="1" applyFont="1" applyFill="1" applyBorder="1"/>
    <xf numFmtId="165" fontId="4" fillId="4" borderId="8" xfId="0" applyNumberFormat="1" applyFont="1" applyFill="1" applyBorder="1"/>
    <xf numFmtId="165" fontId="5" fillId="4" borderId="13" xfId="0" applyNumberFormat="1" applyFont="1" applyFill="1" applyBorder="1"/>
    <xf numFmtId="165" fontId="4" fillId="4" borderId="36" xfId="0" applyNumberFormat="1" applyFont="1" applyFill="1" applyBorder="1"/>
    <xf numFmtId="165" fontId="5" fillId="4" borderId="35" xfId="0" applyNumberFormat="1" applyFont="1" applyFill="1" applyBorder="1"/>
    <xf numFmtId="0" fontId="2" fillId="2" borderId="81" xfId="0" applyFont="1" applyFill="1" applyBorder="1" applyAlignment="1">
      <alignment horizontal="center"/>
    </xf>
    <xf numFmtId="0" fontId="2" fillId="2" borderId="82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3" fontId="2" fillId="3" borderId="84" xfId="0" applyNumberFormat="1" applyFont="1" applyFill="1" applyBorder="1"/>
    <xf numFmtId="164" fontId="4" fillId="4" borderId="85" xfId="1" applyNumberFormat="1" applyFont="1" applyFill="1" applyBorder="1"/>
    <xf numFmtId="3" fontId="2" fillId="3" borderId="8" xfId="0" applyNumberFormat="1" applyFont="1" applyFill="1" applyBorder="1"/>
    <xf numFmtId="3" fontId="2" fillId="3" borderId="36" xfId="0" applyNumberFormat="1" applyFont="1" applyFill="1" applyBorder="1"/>
    <xf numFmtId="0" fontId="2" fillId="2" borderId="86" xfId="0" applyFont="1" applyFill="1" applyBorder="1" applyAlignment="1">
      <alignment horizontal="center" vertical="center" wrapText="1"/>
    </xf>
    <xf numFmtId="3" fontId="2" fillId="3" borderId="88" xfId="0" applyNumberFormat="1" applyFont="1" applyFill="1" applyBorder="1"/>
    <xf numFmtId="3" fontId="2" fillId="3" borderId="89" xfId="0" applyNumberFormat="1" applyFont="1" applyFill="1" applyBorder="1"/>
    <xf numFmtId="3" fontId="2" fillId="3" borderId="90" xfId="0" applyNumberFormat="1" applyFont="1" applyFill="1" applyBorder="1"/>
    <xf numFmtId="3" fontId="2" fillId="3" borderId="72" xfId="0" applyNumberFormat="1" applyFont="1" applyFill="1" applyBorder="1"/>
    <xf numFmtId="3" fontId="2" fillId="4" borderId="33" xfId="0" applyNumberFormat="1" applyFont="1" applyFill="1" applyBorder="1"/>
    <xf numFmtId="3" fontId="2" fillId="3" borderId="71" xfId="0" applyNumberFormat="1" applyFont="1" applyFill="1" applyBorder="1"/>
    <xf numFmtId="3" fontId="2" fillId="4" borderId="91" xfId="0" applyNumberFormat="1" applyFont="1" applyFill="1" applyBorder="1"/>
    <xf numFmtId="3" fontId="2" fillId="4" borderId="72" xfId="0" applyNumberFormat="1" applyFont="1" applyFill="1" applyBorder="1"/>
    <xf numFmtId="166" fontId="4" fillId="4" borderId="72" xfId="0" applyNumberFormat="1" applyFont="1" applyFill="1" applyBorder="1"/>
    <xf numFmtId="165" fontId="4" fillId="4" borderId="84" xfId="0" applyNumberFormat="1" applyFont="1" applyFill="1" applyBorder="1"/>
    <xf numFmtId="165" fontId="5" fillId="4" borderId="85" xfId="0" applyNumberFormat="1" applyFont="1" applyFill="1" applyBorder="1"/>
    <xf numFmtId="3" fontId="2" fillId="3" borderId="32" xfId="0" applyNumberFormat="1" applyFont="1" applyFill="1" applyBorder="1"/>
    <xf numFmtId="3" fontId="2" fillId="3" borderId="91" xfId="0" applyNumberFormat="1" applyFont="1" applyFill="1" applyBorder="1"/>
    <xf numFmtId="3" fontId="8" fillId="4" borderId="14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4" borderId="61" xfId="0" applyNumberFormat="1" applyFont="1" applyFill="1" applyBorder="1"/>
    <xf numFmtId="3" fontId="7" fillId="4" borderId="6" xfId="0" applyNumberFormat="1" applyFont="1" applyFill="1" applyBorder="1"/>
    <xf numFmtId="3" fontId="7" fillId="4" borderId="53" xfId="0" applyNumberFormat="1" applyFont="1" applyFill="1" applyBorder="1"/>
    <xf numFmtId="3" fontId="7" fillId="4" borderId="51" xfId="0" applyNumberFormat="1" applyFont="1" applyFill="1" applyBorder="1"/>
    <xf numFmtId="3" fontId="7" fillId="4" borderId="71" xfId="0" applyNumberFormat="1" applyFont="1" applyFill="1" applyBorder="1"/>
    <xf numFmtId="3" fontId="7" fillId="4" borderId="72" xfId="0" applyNumberFormat="1" applyFont="1" applyFill="1" applyBorder="1"/>
    <xf numFmtId="3" fontId="2" fillId="3" borderId="62" xfId="0" applyNumberFormat="1" applyFont="1" applyFill="1" applyBorder="1"/>
    <xf numFmtId="0" fontId="18" fillId="2" borderId="0" xfId="0" applyFont="1" applyFill="1"/>
    <xf numFmtId="0" fontId="4" fillId="2" borderId="7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/>
    </xf>
    <xf numFmtId="164" fontId="4" fillId="4" borderId="101" xfId="1" applyNumberFormat="1" applyFont="1" applyFill="1" applyBorder="1"/>
    <xf numFmtId="164" fontId="4" fillId="4" borderId="102" xfId="1" applyNumberFormat="1" applyFont="1" applyFill="1" applyBorder="1"/>
    <xf numFmtId="164" fontId="4" fillId="4" borderId="103" xfId="1" applyNumberFormat="1" applyFont="1" applyFill="1" applyBorder="1"/>
    <xf numFmtId="3" fontId="2" fillId="4" borderId="24" xfId="0" applyNumberFormat="1" applyFont="1" applyFill="1" applyBorder="1"/>
    <xf numFmtId="3" fontId="2" fillId="4" borderId="62" xfId="0" applyNumberFormat="1" applyFont="1" applyFill="1" applyBorder="1" applyAlignment="1">
      <alignment horizontal="center"/>
    </xf>
    <xf numFmtId="3" fontId="2" fillId="4" borderId="51" xfId="0" applyNumberFormat="1" applyFont="1" applyFill="1" applyBorder="1" applyAlignment="1">
      <alignment horizontal="center"/>
    </xf>
    <xf numFmtId="3" fontId="2" fillId="4" borderId="72" xfId="0" applyNumberFormat="1" applyFont="1" applyFill="1" applyBorder="1" applyAlignment="1">
      <alignment horizontal="center"/>
    </xf>
    <xf numFmtId="3" fontId="2" fillId="3" borderId="100" xfId="0" applyNumberFormat="1" applyFont="1" applyFill="1" applyBorder="1" applyAlignment="1">
      <alignment horizontal="center"/>
    </xf>
    <xf numFmtId="3" fontId="2" fillId="4" borderId="105" xfId="0" applyNumberFormat="1" applyFont="1" applyFill="1" applyBorder="1" applyAlignment="1">
      <alignment horizontal="center"/>
    </xf>
    <xf numFmtId="3" fontId="2" fillId="3" borderId="89" xfId="0" applyNumberFormat="1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3" fontId="2" fillId="3" borderId="90" xfId="0" applyNumberFormat="1" applyFont="1" applyFill="1" applyBorder="1" applyAlignment="1">
      <alignment horizontal="center"/>
    </xf>
    <xf numFmtId="3" fontId="2" fillId="4" borderId="34" xfId="0" applyNumberFormat="1" applyFont="1" applyFill="1" applyBorder="1" applyAlignment="1">
      <alignment horizontal="center"/>
    </xf>
    <xf numFmtId="164" fontId="4" fillId="4" borderId="106" xfId="1" applyNumberFormat="1" applyFont="1" applyFill="1" applyBorder="1"/>
    <xf numFmtId="0" fontId="2" fillId="2" borderId="23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/>
    </xf>
    <xf numFmtId="3" fontId="2" fillId="4" borderId="17" xfId="0" applyNumberFormat="1" applyFont="1" applyFill="1" applyBorder="1" applyAlignment="1">
      <alignment horizontal="center"/>
    </xf>
    <xf numFmtId="3" fontId="2" fillId="4" borderId="38" xfId="0" applyNumberFormat="1" applyFont="1" applyFill="1" applyBorder="1" applyAlignment="1">
      <alignment horizontal="center"/>
    </xf>
    <xf numFmtId="164" fontId="4" fillId="4" borderId="24" xfId="1" applyNumberFormat="1" applyFont="1" applyFill="1" applyBorder="1"/>
    <xf numFmtId="164" fontId="4" fillId="4" borderId="12" xfId="1" applyNumberFormat="1" applyFont="1" applyFill="1" applyBorder="1"/>
    <xf numFmtId="164" fontId="4" fillId="4" borderId="91" xfId="1" applyNumberFormat="1" applyFont="1" applyFill="1" applyBorder="1"/>
    <xf numFmtId="164" fontId="4" fillId="4" borderId="51" xfId="1" applyNumberFormat="1" applyFont="1" applyFill="1" applyBorder="1"/>
    <xf numFmtId="164" fontId="4" fillId="4" borderId="72" xfId="1" applyNumberFormat="1" applyFont="1" applyFill="1" applyBorder="1"/>
    <xf numFmtId="0" fontId="4" fillId="2" borderId="113" xfId="0" applyFont="1" applyFill="1" applyBorder="1" applyAlignment="1">
      <alignment horizontal="center" vertical="center" wrapText="1"/>
    </xf>
    <xf numFmtId="0" fontId="4" fillId="2" borderId="99" xfId="0" applyFont="1" applyFill="1" applyBorder="1" applyAlignment="1">
      <alignment horizontal="center" vertical="center" wrapText="1"/>
    </xf>
    <xf numFmtId="10" fontId="4" fillId="4" borderId="114" xfId="1" applyNumberFormat="1" applyFont="1" applyFill="1" applyBorder="1"/>
    <xf numFmtId="10" fontId="4" fillId="4" borderId="115" xfId="1" applyNumberFormat="1" applyFont="1" applyFill="1" applyBorder="1"/>
    <xf numFmtId="10" fontId="4" fillId="4" borderId="116" xfId="1" applyNumberFormat="1" applyFont="1" applyFill="1" applyBorder="1"/>
    <xf numFmtId="0" fontId="4" fillId="2" borderId="25" xfId="0" applyFont="1" applyFill="1" applyBorder="1" applyAlignment="1">
      <alignment horizontal="center" vertical="center" wrapText="1"/>
    </xf>
    <xf numFmtId="164" fontId="4" fillId="4" borderId="117" xfId="1" applyNumberFormat="1" applyFont="1" applyFill="1" applyBorder="1"/>
    <xf numFmtId="164" fontId="4" fillId="4" borderId="9" xfId="1" applyNumberFormat="1" applyFont="1" applyFill="1" applyBorder="1"/>
    <xf numFmtId="164" fontId="4" fillId="4" borderId="33" xfId="1" applyNumberFormat="1" applyFont="1" applyFill="1" applyBorder="1"/>
    <xf numFmtId="0" fontId="5" fillId="2" borderId="23" xfId="0" applyFont="1" applyFill="1" applyBorder="1" applyAlignment="1">
      <alignment horizontal="center" vertical="center" wrapText="1"/>
    </xf>
    <xf numFmtId="165" fontId="5" fillId="4" borderId="16" xfId="1" applyNumberFormat="1" applyFont="1" applyFill="1" applyBorder="1"/>
    <xf numFmtId="165" fontId="5" fillId="4" borderId="17" xfId="1" applyNumberFormat="1" applyFont="1" applyFill="1" applyBorder="1"/>
    <xf numFmtId="165" fontId="5" fillId="4" borderId="38" xfId="1" applyNumberFormat="1" applyFont="1" applyFill="1" applyBorder="1"/>
    <xf numFmtId="10" fontId="4" fillId="4" borderId="118" xfId="0" applyNumberFormat="1" applyFont="1" applyFill="1" applyBorder="1"/>
    <xf numFmtId="0" fontId="2" fillId="2" borderId="119" xfId="0" applyFont="1" applyFill="1" applyBorder="1"/>
    <xf numFmtId="0" fontId="2" fillId="2" borderId="120" xfId="0" applyFont="1" applyFill="1" applyBorder="1"/>
    <xf numFmtId="166" fontId="4" fillId="4" borderId="121" xfId="0" applyNumberFormat="1" applyFont="1" applyFill="1" applyBorder="1"/>
    <xf numFmtId="166" fontId="4" fillId="4" borderId="108" xfId="0" applyNumberFormat="1" applyFont="1" applyFill="1" applyBorder="1"/>
    <xf numFmtId="0" fontId="2" fillId="2" borderId="122" xfId="0" applyFont="1" applyFill="1" applyBorder="1" applyAlignment="1">
      <alignment horizontal="center" vertical="center" wrapText="1"/>
    </xf>
    <xf numFmtId="0" fontId="2" fillId="2" borderId="123" xfId="0" applyFont="1" applyFill="1" applyBorder="1" applyAlignment="1">
      <alignment horizontal="center" vertical="center" wrapText="1"/>
    </xf>
    <xf numFmtId="3" fontId="2" fillId="4" borderId="108" xfId="0" applyNumberFormat="1" applyFont="1" applyFill="1" applyBorder="1"/>
    <xf numFmtId="164" fontId="4" fillId="4" borderId="6" xfId="1" applyNumberFormat="1" applyFont="1" applyFill="1" applyBorder="1"/>
    <xf numFmtId="0" fontId="2" fillId="2" borderId="14" xfId="0" applyFont="1" applyFill="1" applyBorder="1" applyAlignment="1">
      <alignment horizontal="center" vertical="center" wrapText="1"/>
    </xf>
    <xf numFmtId="3" fontId="2" fillId="4" borderId="125" xfId="0" applyNumberFormat="1" applyFont="1" applyFill="1" applyBorder="1"/>
    <xf numFmtId="3" fontId="2" fillId="4" borderId="17" xfId="0" applyNumberFormat="1" applyFont="1" applyFill="1" applyBorder="1"/>
    <xf numFmtId="3" fontId="2" fillId="4" borderId="38" xfId="0" applyNumberFormat="1" applyFont="1" applyFill="1" applyBorder="1"/>
    <xf numFmtId="0" fontId="5" fillId="2" borderId="40" xfId="0" applyFont="1" applyFill="1" applyBorder="1" applyAlignment="1">
      <alignment horizontal="center" vertical="center" wrapText="1"/>
    </xf>
    <xf numFmtId="3" fontId="4" fillId="4" borderId="114" xfId="0" applyNumberFormat="1" applyFont="1" applyFill="1" applyBorder="1"/>
    <xf numFmtId="3" fontId="4" fillId="4" borderId="115" xfId="0" applyNumberFormat="1" applyFont="1" applyFill="1" applyBorder="1"/>
    <xf numFmtId="3" fontId="4" fillId="4" borderId="116" xfId="0" applyNumberFormat="1" applyFont="1" applyFill="1" applyBorder="1"/>
    <xf numFmtId="165" fontId="5" fillId="4" borderId="16" xfId="0" applyNumberFormat="1" applyFont="1" applyFill="1" applyBorder="1"/>
    <xf numFmtId="165" fontId="5" fillId="4" borderId="17" xfId="0" applyNumberFormat="1" applyFont="1" applyFill="1" applyBorder="1"/>
    <xf numFmtId="165" fontId="5" fillId="4" borderId="38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3" fontId="4" fillId="4" borderId="121" xfId="0" applyNumberFormat="1" applyFont="1" applyFill="1" applyBorder="1"/>
    <xf numFmtId="10" fontId="3" fillId="3" borderId="16" xfId="0" applyNumberFormat="1" applyFont="1" applyFill="1" applyBorder="1" applyAlignment="1">
      <alignment horizontal="center" vertical="center"/>
    </xf>
    <xf numFmtId="10" fontId="3" fillId="3" borderId="17" xfId="0" applyNumberFormat="1" applyFont="1" applyFill="1" applyBorder="1" applyAlignment="1">
      <alignment horizontal="center" vertical="center"/>
    </xf>
    <xf numFmtId="10" fontId="3" fillId="3" borderId="18" xfId="0" applyNumberFormat="1" applyFont="1" applyFill="1" applyBorder="1" applyAlignment="1">
      <alignment horizontal="center" vertical="center"/>
    </xf>
    <xf numFmtId="165" fontId="6" fillId="4" borderId="109" xfId="0" applyNumberFormat="1" applyFont="1" applyFill="1" applyBorder="1"/>
    <xf numFmtId="165" fontId="6" fillId="4" borderId="126" xfId="0" applyNumberFormat="1" applyFont="1" applyFill="1" applyBorder="1"/>
    <xf numFmtId="165" fontId="5" fillId="5" borderId="127" xfId="0" applyNumberFormat="1" applyFont="1" applyFill="1" applyBorder="1"/>
    <xf numFmtId="165" fontId="6" fillId="4" borderId="127" xfId="0" applyNumberFormat="1" applyFont="1" applyFill="1" applyBorder="1"/>
    <xf numFmtId="165" fontId="5" fillId="4" borderId="81" xfId="0" applyNumberFormat="1" applyFont="1" applyFill="1" applyBorder="1"/>
    <xf numFmtId="165" fontId="5" fillId="4" borderId="22" xfId="0" applyNumberFormat="1" applyFont="1" applyFill="1" applyBorder="1"/>
    <xf numFmtId="165" fontId="5" fillId="4" borderId="39" xfId="0" applyNumberFormat="1" applyFont="1" applyFill="1" applyBorder="1"/>
    <xf numFmtId="0" fontId="2" fillId="2" borderId="19" xfId="0" applyFont="1" applyFill="1" applyBorder="1" applyAlignment="1">
      <alignment horizontal="center" vertical="center" wrapText="1"/>
    </xf>
    <xf numFmtId="3" fontId="2" fillId="3" borderId="76" xfId="0" applyNumberFormat="1" applyFont="1" applyFill="1" applyBorder="1"/>
    <xf numFmtId="3" fontId="2" fillId="3" borderId="64" xfId="0" applyNumberFormat="1" applyFont="1" applyFill="1" applyBorder="1"/>
    <xf numFmtId="3" fontId="7" fillId="4" borderId="108" xfId="0" applyNumberFormat="1" applyFont="1" applyFill="1" applyBorder="1"/>
    <xf numFmtId="3" fontId="2" fillId="4" borderId="129" xfId="0" applyNumberFormat="1" applyFont="1" applyFill="1" applyBorder="1"/>
    <xf numFmtId="3" fontId="2" fillId="4" borderId="127" xfId="0" applyNumberFormat="1" applyFont="1" applyFill="1" applyBorder="1"/>
    <xf numFmtId="0" fontId="2" fillId="2" borderId="66" xfId="0" applyFont="1" applyFill="1" applyBorder="1"/>
    <xf numFmtId="0" fontId="5" fillId="2" borderId="113" xfId="0" applyFont="1" applyFill="1" applyBorder="1" applyAlignment="1">
      <alignment horizontal="center" vertical="center" wrapText="1"/>
    </xf>
    <xf numFmtId="10" fontId="5" fillId="4" borderId="114" xfId="1" applyNumberFormat="1" applyFont="1" applyFill="1" applyBorder="1"/>
    <xf numFmtId="10" fontId="5" fillId="4" borderId="115" xfId="1" applyNumberFormat="1" applyFont="1" applyFill="1" applyBorder="1"/>
    <xf numFmtId="10" fontId="5" fillId="4" borderId="116" xfId="1" applyNumberFormat="1" applyFont="1" applyFill="1" applyBorder="1"/>
    <xf numFmtId="10" fontId="5" fillId="4" borderId="118" xfId="0" applyNumberFormat="1" applyFont="1" applyFill="1" applyBorder="1"/>
    <xf numFmtId="0" fontId="2" fillId="4" borderId="126" xfId="0" applyFont="1" applyFill="1" applyBorder="1"/>
    <xf numFmtId="0" fontId="2" fillId="4" borderId="127" xfId="0" applyFont="1" applyFill="1" applyBorder="1"/>
    <xf numFmtId="3" fontId="2" fillId="4" borderId="109" xfId="0" applyNumberFormat="1" applyFont="1" applyFill="1" applyBorder="1"/>
    <xf numFmtId="165" fontId="4" fillId="6" borderId="49" xfId="0" applyNumberFormat="1" applyFont="1" applyFill="1" applyBorder="1"/>
    <xf numFmtId="165" fontId="4" fillId="6" borderId="8" xfId="0" applyNumberFormat="1" applyFont="1" applyFill="1" applyBorder="1"/>
    <xf numFmtId="165" fontId="4" fillId="6" borderId="36" xfId="0" applyNumberFormat="1" applyFont="1" applyFill="1" applyBorder="1"/>
    <xf numFmtId="165" fontId="5" fillId="6" borderId="109" xfId="0" applyNumberFormat="1" applyFont="1" applyFill="1" applyBorder="1"/>
    <xf numFmtId="0" fontId="7" fillId="2" borderId="0" xfId="0" applyFont="1" applyFill="1" applyAlignment="1">
      <alignment horizontal="left" vertical="top"/>
    </xf>
    <xf numFmtId="0" fontId="4" fillId="2" borderId="2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04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10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2" fillId="2" borderId="111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4" fillId="2" borderId="10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87" xfId="0" applyFont="1" applyFill="1" applyBorder="1" applyAlignment="1">
      <alignment horizontal="center" vertical="center" wrapText="1"/>
    </xf>
    <xf numFmtId="0" fontId="2" fillId="2" borderId="94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2" fillId="2" borderId="98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2" fillId="2" borderId="123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1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3FFB3"/>
      <color rgb="FF9BFF9B"/>
      <color rgb="FFFFFFCC"/>
      <color rgb="FF0000FF"/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26877</xdr:colOff>
      <xdr:row>0</xdr:row>
      <xdr:rowOff>1</xdr:rowOff>
    </xdr:from>
    <xdr:to>
      <xdr:col>13</xdr:col>
      <xdr:colOff>935942</xdr:colOff>
      <xdr:row>4</xdr:row>
      <xdr:rowOff>107514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5290" y="1"/>
          <a:ext cx="909065" cy="860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K31"/>
  <sheetViews>
    <sheetView workbookViewId="0">
      <selection activeCell="J11" sqref="J11"/>
    </sheetView>
  </sheetViews>
  <sheetFormatPr baseColWidth="10" defaultColWidth="0" defaultRowHeight="12" zeroHeight="1" x14ac:dyDescent="0.15"/>
  <cols>
    <col min="1" max="1" width="14.6640625" style="2" customWidth="1"/>
    <col min="2" max="4" width="5.6640625" style="2" customWidth="1"/>
    <col min="5" max="8" width="6.6640625" style="2" customWidth="1"/>
    <col min="9" max="9" width="12.6640625" style="2" customWidth="1"/>
    <col min="10" max="10" width="14.1640625" style="2" customWidth="1"/>
    <col min="11" max="11" width="1.6640625" style="2" customWidth="1"/>
    <col min="12" max="16384" width="11.5" style="2" hidden="1"/>
  </cols>
  <sheetData>
    <row r="1" spans="1:11" x14ac:dyDescent="0.15">
      <c r="A1" s="7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7" t="s">
        <v>55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15">
      <c r="A4" s="1"/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10" t="s">
        <v>23</v>
      </c>
      <c r="J4" s="1"/>
      <c r="K4" s="1"/>
    </row>
    <row r="5" spans="1:11" x14ac:dyDescent="0.15">
      <c r="A5" s="1" t="s">
        <v>24</v>
      </c>
      <c r="B5" s="8" t="s">
        <v>25</v>
      </c>
      <c r="C5" s="8" t="s">
        <v>26</v>
      </c>
      <c r="D5" s="8" t="s">
        <v>47</v>
      </c>
      <c r="E5" s="8" t="s">
        <v>27</v>
      </c>
      <c r="F5" s="8" t="s">
        <v>28</v>
      </c>
      <c r="G5" s="8" t="s">
        <v>48</v>
      </c>
      <c r="H5" s="8"/>
      <c r="I5" s="9">
        <v>7988405</v>
      </c>
      <c r="J5" s="1"/>
      <c r="K5" s="1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s="4" customFormat="1" ht="15" customHeight="1" x14ac:dyDescent="0.2">
      <c r="A7" s="3"/>
      <c r="B7" s="3"/>
      <c r="C7" s="3"/>
      <c r="D7" s="43" t="s">
        <v>7</v>
      </c>
      <c r="E7" s="44" t="s">
        <v>50</v>
      </c>
      <c r="F7" s="44"/>
      <c r="G7" s="44"/>
      <c r="H7" s="45"/>
      <c r="I7" s="46">
        <f t="shared" ref="I7:I13" si="0">+$I$5*J7</f>
        <v>1141200.7142857143</v>
      </c>
      <c r="J7" s="203">
        <f>1/7</f>
        <v>0.14285714285714285</v>
      </c>
      <c r="K7" s="3"/>
    </row>
    <row r="8" spans="1:11" s="4" customFormat="1" ht="15" customHeight="1" x14ac:dyDescent="0.2">
      <c r="A8" s="3"/>
      <c r="B8" s="3"/>
      <c r="C8" s="3"/>
      <c r="D8" s="43" t="s">
        <v>8</v>
      </c>
      <c r="E8" s="44" t="s">
        <v>49</v>
      </c>
      <c r="F8" s="44"/>
      <c r="G8" s="44"/>
      <c r="H8" s="45"/>
      <c r="I8" s="47">
        <f t="shared" si="0"/>
        <v>1141200.7142857143</v>
      </c>
      <c r="J8" s="204">
        <f t="shared" ref="J8:J13" si="1">1/7</f>
        <v>0.14285714285714285</v>
      </c>
      <c r="K8" s="3"/>
    </row>
    <row r="9" spans="1:11" s="4" customFormat="1" ht="15" customHeight="1" x14ac:dyDescent="0.2">
      <c r="A9" s="3"/>
      <c r="B9" s="3"/>
      <c r="C9" s="3"/>
      <c r="D9" s="43" t="s">
        <v>9</v>
      </c>
      <c r="E9" s="44" t="s">
        <v>51</v>
      </c>
      <c r="F9" s="44"/>
      <c r="G9" s="44"/>
      <c r="H9" s="45"/>
      <c r="I9" s="47">
        <f t="shared" si="0"/>
        <v>1141200.7142857143</v>
      </c>
      <c r="J9" s="204">
        <f t="shared" si="1"/>
        <v>0.14285714285714285</v>
      </c>
      <c r="K9" s="3"/>
    </row>
    <row r="10" spans="1:11" s="4" customFormat="1" ht="15" customHeight="1" x14ac:dyDescent="0.2">
      <c r="A10" s="3"/>
      <c r="B10" s="3"/>
      <c r="C10" s="3"/>
      <c r="D10" s="43" t="s">
        <v>11</v>
      </c>
      <c r="E10" s="44" t="s">
        <v>138</v>
      </c>
      <c r="F10" s="45"/>
      <c r="G10" s="44"/>
      <c r="H10" s="45"/>
      <c r="I10" s="47">
        <f t="shared" si="0"/>
        <v>1141200.7142857143</v>
      </c>
      <c r="J10" s="204">
        <f t="shared" si="1"/>
        <v>0.14285714285714285</v>
      </c>
      <c r="K10" s="3"/>
    </row>
    <row r="11" spans="1:11" s="4" customFormat="1" ht="15" customHeight="1" x14ac:dyDescent="0.2">
      <c r="A11" s="3"/>
      <c r="B11" s="3"/>
      <c r="C11" s="3"/>
      <c r="D11" s="43" t="s">
        <v>13</v>
      </c>
      <c r="E11" s="44" t="s">
        <v>53</v>
      </c>
      <c r="F11" s="45"/>
      <c r="G11" s="44"/>
      <c r="H11" s="45"/>
      <c r="I11" s="47">
        <f t="shared" si="0"/>
        <v>1141200.7142857143</v>
      </c>
      <c r="J11" s="204">
        <f t="shared" si="1"/>
        <v>0.14285714285714285</v>
      </c>
      <c r="K11" s="3"/>
    </row>
    <row r="12" spans="1:11" s="4" customFormat="1" ht="15" customHeight="1" x14ac:dyDescent="0.2">
      <c r="A12" s="3"/>
      <c r="B12" s="3"/>
      <c r="C12" s="3"/>
      <c r="D12" s="43" t="s">
        <v>12</v>
      </c>
      <c r="E12" s="44" t="s">
        <v>54</v>
      </c>
      <c r="F12" s="45"/>
      <c r="G12" s="44"/>
      <c r="H12" s="45"/>
      <c r="I12" s="47">
        <f t="shared" si="0"/>
        <v>1141200.7142857143</v>
      </c>
      <c r="J12" s="204">
        <f t="shared" si="1"/>
        <v>0.14285714285714285</v>
      </c>
      <c r="K12" s="3"/>
    </row>
    <row r="13" spans="1:11" s="4" customFormat="1" ht="15" customHeight="1" x14ac:dyDescent="0.2">
      <c r="A13" s="3"/>
      <c r="B13" s="3"/>
      <c r="C13" s="3"/>
      <c r="D13" s="43" t="s">
        <v>14</v>
      </c>
      <c r="E13" s="44" t="s">
        <v>52</v>
      </c>
      <c r="F13" s="45"/>
      <c r="G13" s="44"/>
      <c r="H13" s="45"/>
      <c r="I13" s="48">
        <f t="shared" si="0"/>
        <v>1141200.7142857143</v>
      </c>
      <c r="J13" s="205">
        <f t="shared" si="1"/>
        <v>0.14285714285714285</v>
      </c>
      <c r="K13" s="3"/>
    </row>
    <row r="14" spans="1:11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idden="1" x14ac:dyDescent="0.15"/>
    <row r="16" spans="1:11" hidden="1" x14ac:dyDescent="0.15"/>
    <row r="17" hidden="1" x14ac:dyDescent="0.15"/>
    <row r="18" hidden="1" x14ac:dyDescent="0.15"/>
    <row r="19" hidden="1" x14ac:dyDescent="0.15"/>
    <row r="20" hidden="1" x14ac:dyDescent="0.15"/>
    <row r="21" hidden="1" x14ac:dyDescent="0.15"/>
    <row r="22" hidden="1" x14ac:dyDescent="0.15"/>
    <row r="23" hidden="1" x14ac:dyDescent="0.15"/>
    <row r="24" hidden="1" x14ac:dyDescent="0.15"/>
    <row r="25" hidden="1" x14ac:dyDescent="0.15"/>
    <row r="26" hidden="1" x14ac:dyDescent="0.15"/>
    <row r="27" hidden="1" x14ac:dyDescent="0.15"/>
    <row r="28" hidden="1" x14ac:dyDescent="0.15"/>
    <row r="29" hidden="1" x14ac:dyDescent="0.15"/>
    <row r="30" hidden="1" x14ac:dyDescent="0.15"/>
    <row r="31" hidden="1" x14ac:dyDescent="0.1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AN36"/>
  <sheetViews>
    <sheetView topLeftCell="C1" workbookViewId="0">
      <selection activeCell="P11" sqref="P11"/>
    </sheetView>
  </sheetViews>
  <sheetFormatPr baseColWidth="10" defaultColWidth="0" defaultRowHeight="15" customHeight="1" zeroHeight="1" x14ac:dyDescent="0.15"/>
  <cols>
    <col min="1" max="1" width="5.6640625" style="2" customWidth="1"/>
    <col min="2" max="3" width="10.6640625" style="2" customWidth="1"/>
    <col min="4" max="4" width="39" style="2" bestFit="1" customWidth="1"/>
    <col min="5" max="14" width="10.6640625" style="2" customWidth="1"/>
    <col min="15" max="15" width="1.6640625" style="2" customWidth="1"/>
    <col min="16" max="17" width="15.6640625" style="2" customWidth="1"/>
    <col min="18" max="18" width="1.6640625" style="2" customWidth="1"/>
    <col min="19" max="39" width="11.5" style="2" hidden="1" customWidth="1"/>
    <col min="40" max="40" width="0" style="2" hidden="1" customWidth="1"/>
    <col min="41" max="16384" width="11.5" style="2" hidden="1"/>
  </cols>
  <sheetData>
    <row r="1" spans="1:18" s="13" customFormat="1" ht="15" customHeight="1" x14ac:dyDescent="0.2">
      <c r="A1" s="50" t="s">
        <v>56</v>
      </c>
      <c r="B1" s="18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49"/>
      <c r="O1" s="49" t="s">
        <v>58</v>
      </c>
      <c r="P1" s="131">
        <f>+PPTO!I7</f>
        <v>1141200.7142857143</v>
      </c>
      <c r="Q1" s="12"/>
      <c r="R1" s="12"/>
    </row>
    <row r="2" spans="1:18" s="13" customFormat="1" ht="15" customHeight="1" x14ac:dyDescent="0.2">
      <c r="A2" s="50"/>
      <c r="B2" s="18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49"/>
      <c r="O2" s="82"/>
      <c r="P2" s="12"/>
      <c r="Q2" s="12"/>
      <c r="R2" s="12"/>
    </row>
    <row r="3" spans="1:18" s="92" customFormat="1" ht="25" customHeight="1" thickBot="1" x14ac:dyDescent="0.25">
      <c r="A3" s="91"/>
      <c r="B3" s="89" t="s">
        <v>87</v>
      </c>
      <c r="C3" s="89" t="s">
        <v>88</v>
      </c>
      <c r="D3" s="89" t="s">
        <v>89</v>
      </c>
      <c r="E3" s="89" t="s">
        <v>90</v>
      </c>
      <c r="F3" s="89" t="s">
        <v>91</v>
      </c>
      <c r="G3" s="89" t="s">
        <v>92</v>
      </c>
      <c r="H3" s="89" t="s">
        <v>93</v>
      </c>
      <c r="I3" s="89" t="s">
        <v>94</v>
      </c>
      <c r="J3" s="89" t="s">
        <v>95</v>
      </c>
      <c r="K3" s="89" t="s">
        <v>96</v>
      </c>
      <c r="L3" s="89" t="s">
        <v>98</v>
      </c>
      <c r="M3" s="89" t="s">
        <v>99</v>
      </c>
      <c r="N3" s="89" t="s">
        <v>100</v>
      </c>
      <c r="O3" s="89"/>
      <c r="P3" s="89" t="s">
        <v>101</v>
      </c>
      <c r="Q3" s="89" t="s">
        <v>102</v>
      </c>
      <c r="R3" s="91"/>
    </row>
    <row r="4" spans="1:18" ht="15" customHeight="1" x14ac:dyDescent="0.2">
      <c r="A4" s="1"/>
      <c r="B4" s="240" t="s">
        <v>0</v>
      </c>
      <c r="C4" s="242" t="s">
        <v>1</v>
      </c>
      <c r="D4" s="242" t="s">
        <v>2</v>
      </c>
      <c r="E4" s="242" t="s">
        <v>3</v>
      </c>
      <c r="F4" s="235" t="s">
        <v>31</v>
      </c>
      <c r="G4" s="237" t="s">
        <v>118</v>
      </c>
      <c r="H4" s="238"/>
      <c r="I4" s="238"/>
      <c r="J4" s="238"/>
      <c r="K4" s="238"/>
      <c r="L4" s="238"/>
      <c r="M4" s="238"/>
      <c r="N4" s="239"/>
      <c r="O4" s="12"/>
      <c r="P4" s="233" t="s">
        <v>57</v>
      </c>
      <c r="Q4" s="234"/>
      <c r="R4" s="1"/>
    </row>
    <row r="5" spans="1:18" s="5" customFormat="1" ht="15" customHeight="1" x14ac:dyDescent="0.2">
      <c r="A5" s="43"/>
      <c r="B5" s="241"/>
      <c r="C5" s="243"/>
      <c r="D5" s="243"/>
      <c r="E5" s="243"/>
      <c r="F5" s="236"/>
      <c r="G5" s="246" t="s">
        <v>120</v>
      </c>
      <c r="H5" s="245"/>
      <c r="I5" s="244" t="s">
        <v>119</v>
      </c>
      <c r="J5" s="245"/>
      <c r="K5" s="244" t="s">
        <v>121</v>
      </c>
      <c r="L5" s="244"/>
      <c r="M5" s="159" t="s">
        <v>122</v>
      </c>
      <c r="N5" s="96" t="s">
        <v>4</v>
      </c>
      <c r="O5" s="12"/>
      <c r="P5" s="102" t="s">
        <v>5</v>
      </c>
      <c r="Q5" s="103" t="s">
        <v>6</v>
      </c>
      <c r="R5" s="43"/>
    </row>
    <row r="6" spans="1:18" ht="15" customHeight="1" x14ac:dyDescent="0.2">
      <c r="A6" s="83" t="s">
        <v>81</v>
      </c>
      <c r="B6" s="97">
        <v>11</v>
      </c>
      <c r="C6" s="14" t="s">
        <v>34</v>
      </c>
      <c r="D6" s="15" t="s">
        <v>35</v>
      </c>
      <c r="E6" s="14" t="s">
        <v>36</v>
      </c>
      <c r="F6" s="51" t="s">
        <v>10</v>
      </c>
      <c r="G6" s="152" t="s">
        <v>29</v>
      </c>
      <c r="H6" s="153">
        <f>IF(G6="Sí",100,0)</f>
        <v>0</v>
      </c>
      <c r="I6" s="84" t="s">
        <v>29</v>
      </c>
      <c r="J6" s="153">
        <f t="shared" ref="J6:J11" si="0">IF(I6="Sí",100,0)</f>
        <v>0</v>
      </c>
      <c r="K6" s="84">
        <v>4</v>
      </c>
      <c r="L6" s="149">
        <f>+K6/7*100</f>
        <v>57.142857142857139</v>
      </c>
      <c r="M6" s="160">
        <f>+H6+J6+L6</f>
        <v>57.142857142857139</v>
      </c>
      <c r="N6" s="158">
        <f>+M6/SUM($M$6:$M$11)</f>
        <v>6.666666666666668E-2</v>
      </c>
      <c r="O6" s="12"/>
      <c r="P6" s="104">
        <f>IFERROR($P$1*N6,0)</f>
        <v>76080.047619047633</v>
      </c>
      <c r="Q6" s="105">
        <f>ROUND(P6,0)</f>
        <v>76080</v>
      </c>
      <c r="R6" s="1"/>
    </row>
    <row r="7" spans="1:18" ht="15" customHeight="1" x14ac:dyDescent="0.2">
      <c r="A7" s="83" t="s">
        <v>82</v>
      </c>
      <c r="B7" s="23">
        <v>69</v>
      </c>
      <c r="C7" s="16" t="s">
        <v>37</v>
      </c>
      <c r="D7" s="17" t="s">
        <v>38</v>
      </c>
      <c r="E7" s="16" t="s">
        <v>36</v>
      </c>
      <c r="F7" s="52" t="s">
        <v>10</v>
      </c>
      <c r="G7" s="154" t="s">
        <v>30</v>
      </c>
      <c r="H7" s="155">
        <f t="shared" ref="H7:H11" si="1">IF(G7="Sí",100,0)</f>
        <v>100</v>
      </c>
      <c r="I7" s="68" t="s">
        <v>30</v>
      </c>
      <c r="J7" s="155">
        <f t="shared" si="0"/>
        <v>100</v>
      </c>
      <c r="K7" s="68">
        <v>4</v>
      </c>
      <c r="L7" s="150">
        <f t="shared" ref="L7:L11" si="2">+K7/7*100</f>
        <v>57.142857142857139</v>
      </c>
      <c r="M7" s="161">
        <f t="shared" ref="M7:M11" si="3">+H7+J7+L7</f>
        <v>257.14285714285711</v>
      </c>
      <c r="N7" s="146">
        <f t="shared" ref="N7:N11" si="4">+M7/SUM($M$6:$M$11)</f>
        <v>0.3</v>
      </c>
      <c r="O7" s="12"/>
      <c r="P7" s="106">
        <f t="shared" ref="P7:P11" si="5">IFERROR($P$1*N7,0)</f>
        <v>342360.21428571426</v>
      </c>
      <c r="Q7" s="107">
        <f t="shared" ref="Q7:Q11" si="6">ROUND(P7,0)</f>
        <v>342360</v>
      </c>
      <c r="R7" s="1"/>
    </row>
    <row r="8" spans="1:18" ht="15" customHeight="1" x14ac:dyDescent="0.2">
      <c r="A8" s="83" t="s">
        <v>83</v>
      </c>
      <c r="B8" s="23">
        <v>31</v>
      </c>
      <c r="C8" s="16" t="s">
        <v>39</v>
      </c>
      <c r="D8" s="17" t="s">
        <v>40</v>
      </c>
      <c r="E8" s="16" t="s">
        <v>36</v>
      </c>
      <c r="F8" s="52" t="s">
        <v>10</v>
      </c>
      <c r="G8" s="154" t="s">
        <v>30</v>
      </c>
      <c r="H8" s="155">
        <f t="shared" si="1"/>
        <v>100</v>
      </c>
      <c r="I8" s="68" t="s">
        <v>29</v>
      </c>
      <c r="J8" s="155">
        <f t="shared" si="0"/>
        <v>0</v>
      </c>
      <c r="K8" s="68">
        <v>4</v>
      </c>
      <c r="L8" s="150">
        <f t="shared" si="2"/>
        <v>57.142857142857139</v>
      </c>
      <c r="M8" s="161">
        <f t="shared" si="3"/>
        <v>157.14285714285714</v>
      </c>
      <c r="N8" s="146">
        <f t="shared" si="4"/>
        <v>0.18333333333333335</v>
      </c>
      <c r="O8" s="12"/>
      <c r="P8" s="106">
        <f t="shared" si="5"/>
        <v>209220.13095238098</v>
      </c>
      <c r="Q8" s="107">
        <f t="shared" si="6"/>
        <v>209220</v>
      </c>
      <c r="R8" s="1"/>
    </row>
    <row r="9" spans="1:18" ht="15" customHeight="1" x14ac:dyDescent="0.2">
      <c r="A9" s="83" t="s">
        <v>84</v>
      </c>
      <c r="B9" s="23">
        <v>42</v>
      </c>
      <c r="C9" s="16" t="s">
        <v>41</v>
      </c>
      <c r="D9" s="17" t="s">
        <v>42</v>
      </c>
      <c r="E9" s="16" t="s">
        <v>36</v>
      </c>
      <c r="F9" s="52" t="s">
        <v>10</v>
      </c>
      <c r="G9" s="154" t="s">
        <v>29</v>
      </c>
      <c r="H9" s="155">
        <f t="shared" si="1"/>
        <v>0</v>
      </c>
      <c r="I9" s="68" t="s">
        <v>29</v>
      </c>
      <c r="J9" s="155">
        <f t="shared" si="0"/>
        <v>0</v>
      </c>
      <c r="K9" s="68">
        <v>4</v>
      </c>
      <c r="L9" s="150">
        <f t="shared" si="2"/>
        <v>57.142857142857139</v>
      </c>
      <c r="M9" s="161">
        <f t="shared" si="3"/>
        <v>57.142857142857139</v>
      </c>
      <c r="N9" s="146">
        <f t="shared" si="4"/>
        <v>6.666666666666668E-2</v>
      </c>
      <c r="O9" s="12"/>
      <c r="P9" s="106">
        <f t="shared" si="5"/>
        <v>76080.047619047633</v>
      </c>
      <c r="Q9" s="107">
        <f t="shared" si="6"/>
        <v>76080</v>
      </c>
      <c r="R9" s="1"/>
    </row>
    <row r="10" spans="1:18" ht="15" customHeight="1" x14ac:dyDescent="0.2">
      <c r="A10" s="83" t="s">
        <v>85</v>
      </c>
      <c r="B10" s="23">
        <v>3</v>
      </c>
      <c r="C10" s="16" t="s">
        <v>43</v>
      </c>
      <c r="D10" s="17" t="s">
        <v>44</v>
      </c>
      <c r="E10" s="16" t="s">
        <v>36</v>
      </c>
      <c r="F10" s="52" t="s">
        <v>10</v>
      </c>
      <c r="G10" s="154" t="s">
        <v>30</v>
      </c>
      <c r="H10" s="155">
        <f t="shared" si="1"/>
        <v>100</v>
      </c>
      <c r="I10" s="68" t="s">
        <v>30</v>
      </c>
      <c r="J10" s="155">
        <f t="shared" si="0"/>
        <v>100</v>
      </c>
      <c r="K10" s="68">
        <v>5</v>
      </c>
      <c r="L10" s="150">
        <f t="shared" si="2"/>
        <v>71.428571428571431</v>
      </c>
      <c r="M10" s="161">
        <f t="shared" si="3"/>
        <v>271.42857142857144</v>
      </c>
      <c r="N10" s="146">
        <f t="shared" si="4"/>
        <v>0.31666666666666676</v>
      </c>
      <c r="O10" s="12"/>
      <c r="P10" s="106">
        <f t="shared" si="5"/>
        <v>361380.22619047633</v>
      </c>
      <c r="Q10" s="107">
        <f t="shared" si="6"/>
        <v>361380</v>
      </c>
      <c r="R10" s="1"/>
    </row>
    <row r="11" spans="1:18" ht="15" customHeight="1" thickBot="1" x14ac:dyDescent="0.25">
      <c r="A11" s="83" t="s">
        <v>86</v>
      </c>
      <c r="B11" s="24">
        <v>2</v>
      </c>
      <c r="C11" s="25" t="s">
        <v>45</v>
      </c>
      <c r="D11" s="26" t="s">
        <v>46</v>
      </c>
      <c r="E11" s="25" t="s">
        <v>36</v>
      </c>
      <c r="F11" s="99" t="s">
        <v>10</v>
      </c>
      <c r="G11" s="156" t="s">
        <v>29</v>
      </c>
      <c r="H11" s="157">
        <f t="shared" si="1"/>
        <v>0</v>
      </c>
      <c r="I11" s="100" t="s">
        <v>29</v>
      </c>
      <c r="J11" s="157">
        <f t="shared" si="0"/>
        <v>0</v>
      </c>
      <c r="K11" s="100">
        <v>4</v>
      </c>
      <c r="L11" s="151">
        <f t="shared" si="2"/>
        <v>57.142857142857139</v>
      </c>
      <c r="M11" s="162">
        <f t="shared" si="3"/>
        <v>57.142857142857139</v>
      </c>
      <c r="N11" s="147">
        <f t="shared" si="4"/>
        <v>6.666666666666668E-2</v>
      </c>
      <c r="O11" s="12"/>
      <c r="P11" s="108">
        <f t="shared" si="5"/>
        <v>76080.047619047633</v>
      </c>
      <c r="Q11" s="109">
        <f t="shared" si="6"/>
        <v>76080</v>
      </c>
      <c r="R11" s="1"/>
    </row>
    <row r="12" spans="1:18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hidden="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hidden="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hidden="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" hidden="1" customHeight="1" x14ac:dyDescent="0.15"/>
    <row r="17" ht="15" hidden="1" customHeight="1" x14ac:dyDescent="0.15"/>
    <row r="18" ht="15" hidden="1" customHeight="1" x14ac:dyDescent="0.15"/>
    <row r="19" ht="15" hidden="1" customHeight="1" x14ac:dyDescent="0.15"/>
    <row r="20" ht="15" hidden="1" customHeight="1" x14ac:dyDescent="0.15"/>
    <row r="21" ht="15" hidden="1" customHeight="1" x14ac:dyDescent="0.15"/>
    <row r="22" ht="15" hidden="1" customHeight="1" x14ac:dyDescent="0.15"/>
    <row r="23" ht="15" hidden="1" customHeight="1" x14ac:dyDescent="0.15"/>
    <row r="24" ht="15" hidden="1" customHeight="1" x14ac:dyDescent="0.15"/>
    <row r="25" ht="15" hidden="1" customHeight="1" x14ac:dyDescent="0.15"/>
    <row r="26" ht="15" hidden="1" customHeight="1" x14ac:dyDescent="0.15"/>
    <row r="27" ht="15" hidden="1" customHeight="1" x14ac:dyDescent="0.15"/>
    <row r="28" ht="15" hidden="1" customHeight="1" x14ac:dyDescent="0.15"/>
    <row r="29" ht="15" hidden="1" customHeight="1" x14ac:dyDescent="0.15"/>
    <row r="30" ht="15" hidden="1" customHeight="1" x14ac:dyDescent="0.15"/>
    <row r="31" ht="15" hidden="1" customHeight="1" x14ac:dyDescent="0.15"/>
    <row r="32" ht="15" hidden="1" customHeight="1" x14ac:dyDescent="0.15"/>
    <row r="33" ht="15" hidden="1" customHeight="1" x14ac:dyDescent="0.15"/>
    <row r="34" ht="15" hidden="1" customHeight="1" x14ac:dyDescent="0.15"/>
    <row r="35" ht="15" hidden="1" customHeight="1" x14ac:dyDescent="0.15"/>
    <row r="36" ht="15" hidden="1" customHeight="1" x14ac:dyDescent="0.15"/>
  </sheetData>
  <mergeCells count="10">
    <mergeCell ref="P4:Q4"/>
    <mergeCell ref="F4:F5"/>
    <mergeCell ref="G4:N4"/>
    <mergeCell ref="B4:B5"/>
    <mergeCell ref="C4:C5"/>
    <mergeCell ref="D4:D5"/>
    <mergeCell ref="E4:E5"/>
    <mergeCell ref="K5:L5"/>
    <mergeCell ref="I5:J5"/>
    <mergeCell ref="G5:H5"/>
  </mergeCells>
  <phoneticPr fontId="19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AS47"/>
  <sheetViews>
    <sheetView workbookViewId="0">
      <selection activeCell="T10" sqref="T10"/>
    </sheetView>
  </sheetViews>
  <sheetFormatPr baseColWidth="10" defaultColWidth="0" defaultRowHeight="15" customHeight="1" zeroHeight="1" x14ac:dyDescent="0.15"/>
  <cols>
    <col min="1" max="1" width="5.6640625" style="2" customWidth="1"/>
    <col min="2" max="3" width="10.6640625" style="2" customWidth="1"/>
    <col min="4" max="4" width="45.5" style="2" bestFit="1" customWidth="1"/>
    <col min="5" max="6" width="10.6640625" style="2" customWidth="1"/>
    <col min="7" max="16" width="7.5" style="2" customWidth="1"/>
    <col min="17" max="18" width="10.6640625" style="2" customWidth="1"/>
    <col min="19" max="19" width="1.6640625" style="2" customWidth="1"/>
    <col min="20" max="21" width="15.6640625" style="2" customWidth="1"/>
    <col min="22" max="22" width="1.6640625" style="2" customWidth="1"/>
    <col min="23" max="44" width="11.5" style="2" hidden="1" customWidth="1"/>
    <col min="45" max="45" width="0" style="2" hidden="1" customWidth="1"/>
    <col min="46" max="16384" width="11.5" style="2" hidden="1"/>
  </cols>
  <sheetData>
    <row r="1" spans="1:22" s="13" customFormat="1" ht="15" customHeight="1" x14ac:dyDescent="0.2">
      <c r="A1" s="12"/>
      <c r="B1" s="50" t="s">
        <v>59</v>
      </c>
      <c r="C1" s="18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49" t="s">
        <v>58</v>
      </c>
      <c r="T1" s="131">
        <f>+PPTO!I8</f>
        <v>1141200.7142857143</v>
      </c>
      <c r="U1" s="12"/>
      <c r="V1" s="12"/>
    </row>
    <row r="2" spans="1:22" s="13" customFormat="1" ht="15" customHeight="1" x14ac:dyDescent="0.2">
      <c r="A2" s="12"/>
      <c r="B2" s="20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s="90" customFormat="1" ht="25" customHeight="1" thickBot="1" x14ac:dyDescent="0.25">
      <c r="A3" s="88"/>
      <c r="B3" s="89" t="s">
        <v>87</v>
      </c>
      <c r="C3" s="89" t="s">
        <v>88</v>
      </c>
      <c r="D3" s="89" t="s">
        <v>89</v>
      </c>
      <c r="E3" s="89" t="s">
        <v>90</v>
      </c>
      <c r="F3" s="89" t="s">
        <v>91</v>
      </c>
      <c r="G3" s="89" t="s">
        <v>92</v>
      </c>
      <c r="H3" s="89"/>
      <c r="I3" s="89"/>
      <c r="J3" s="89"/>
      <c r="K3" s="89"/>
      <c r="L3" s="89"/>
      <c r="M3" s="89"/>
      <c r="N3" s="89"/>
      <c r="O3" s="89"/>
      <c r="P3" s="89" t="s">
        <v>93</v>
      </c>
      <c r="Q3" s="89" t="s">
        <v>94</v>
      </c>
      <c r="R3" s="89" t="s">
        <v>95</v>
      </c>
      <c r="S3" s="89"/>
      <c r="T3" s="89" t="s">
        <v>96</v>
      </c>
      <c r="U3" s="89" t="s">
        <v>98</v>
      </c>
      <c r="V3" s="88"/>
    </row>
    <row r="4" spans="1:22" ht="15" customHeight="1" x14ac:dyDescent="0.2">
      <c r="A4" s="1"/>
      <c r="B4" s="240" t="s">
        <v>0</v>
      </c>
      <c r="C4" s="242" t="s">
        <v>1</v>
      </c>
      <c r="D4" s="242" t="s">
        <v>2</v>
      </c>
      <c r="E4" s="242" t="s">
        <v>3</v>
      </c>
      <c r="F4" s="249" t="s">
        <v>31</v>
      </c>
      <c r="G4" s="237" t="s">
        <v>97</v>
      </c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9"/>
      <c r="S4" s="12"/>
      <c r="T4" s="233" t="s">
        <v>57</v>
      </c>
      <c r="U4" s="234"/>
      <c r="V4" s="1"/>
    </row>
    <row r="5" spans="1:22" s="5" customFormat="1" ht="15" customHeight="1" x14ac:dyDescent="0.2">
      <c r="A5" s="43"/>
      <c r="B5" s="247"/>
      <c r="C5" s="248"/>
      <c r="D5" s="248"/>
      <c r="E5" s="248"/>
      <c r="F5" s="250"/>
      <c r="G5" s="111">
        <v>1</v>
      </c>
      <c r="H5" s="213">
        <v>2</v>
      </c>
      <c r="I5" s="213">
        <v>3</v>
      </c>
      <c r="J5" s="213">
        <v>4</v>
      </c>
      <c r="K5" s="213">
        <v>5</v>
      </c>
      <c r="L5" s="213">
        <v>6</v>
      </c>
      <c r="M5" s="213">
        <v>7</v>
      </c>
      <c r="N5" s="213">
        <v>8</v>
      </c>
      <c r="O5" s="213">
        <v>9</v>
      </c>
      <c r="P5" s="87">
        <v>10</v>
      </c>
      <c r="Q5" s="87" t="s">
        <v>144</v>
      </c>
      <c r="R5" s="112" t="s">
        <v>4</v>
      </c>
      <c r="S5" s="12"/>
      <c r="T5" s="102" t="s">
        <v>5</v>
      </c>
      <c r="U5" s="103" t="s">
        <v>6</v>
      </c>
      <c r="V5" s="43"/>
    </row>
    <row r="6" spans="1:22" ht="15" customHeight="1" x14ac:dyDescent="0.2">
      <c r="A6" s="83" t="s">
        <v>81</v>
      </c>
      <c r="B6" s="97">
        <v>11</v>
      </c>
      <c r="C6" s="14" t="s">
        <v>34</v>
      </c>
      <c r="D6" s="15" t="s">
        <v>35</v>
      </c>
      <c r="E6" s="14" t="s">
        <v>36</v>
      </c>
      <c r="F6" s="110" t="s">
        <v>10</v>
      </c>
      <c r="G6" s="214">
        <v>0</v>
      </c>
      <c r="H6" s="215">
        <v>0</v>
      </c>
      <c r="I6" s="215">
        <v>0</v>
      </c>
      <c r="J6" s="215">
        <v>0</v>
      </c>
      <c r="K6" s="215">
        <v>0</v>
      </c>
      <c r="L6" s="215">
        <v>0</v>
      </c>
      <c r="M6" s="215">
        <v>0</v>
      </c>
      <c r="N6" s="215">
        <v>0</v>
      </c>
      <c r="O6" s="215">
        <v>0</v>
      </c>
      <c r="P6" s="215">
        <v>0</v>
      </c>
      <c r="Q6" s="148">
        <f>+G6*$G$5+H6*$H$5+I6*$I$5+J6*$J$5+K6*$K$5+L6*$L$5+M6*$M$5+N6*$N$5+O6*$O$5+P6*$P$5</f>
        <v>0</v>
      </c>
      <c r="R6" s="145">
        <f>+Q6/$Q$12</f>
        <v>0</v>
      </c>
      <c r="S6" s="12"/>
      <c r="T6" s="106">
        <f>+$T$1*R6</f>
        <v>0</v>
      </c>
      <c r="U6" s="107">
        <f>ROUND(T6,0)</f>
        <v>0</v>
      </c>
      <c r="V6" s="1"/>
    </row>
    <row r="7" spans="1:22" ht="15" customHeight="1" x14ac:dyDescent="0.2">
      <c r="A7" s="83" t="s">
        <v>82</v>
      </c>
      <c r="B7" s="23">
        <v>69</v>
      </c>
      <c r="C7" s="16" t="s">
        <v>37</v>
      </c>
      <c r="D7" s="17" t="s">
        <v>38</v>
      </c>
      <c r="E7" s="16" t="s">
        <v>36</v>
      </c>
      <c r="F7" s="22" t="s">
        <v>10</v>
      </c>
      <c r="G7" s="115">
        <v>0</v>
      </c>
      <c r="H7" s="70">
        <v>0</v>
      </c>
      <c r="I7" s="70">
        <v>1</v>
      </c>
      <c r="J7" s="70">
        <v>1</v>
      </c>
      <c r="K7" s="70">
        <v>1</v>
      </c>
      <c r="L7" s="70">
        <v>1</v>
      </c>
      <c r="M7" s="70">
        <v>0</v>
      </c>
      <c r="N7" s="70">
        <v>0</v>
      </c>
      <c r="O7" s="70">
        <v>0</v>
      </c>
      <c r="P7" s="70">
        <v>0</v>
      </c>
      <c r="Q7" s="76">
        <f t="shared" ref="Q7:Q11" si="0">+G7*$G$5+H7*$H$5+I7*$I$5+J7*$J$5+K7*$K$5+L7*$L$5+M7*$M$5+N7*$N$5+O7*$O$5+P7*$P$5</f>
        <v>18</v>
      </c>
      <c r="R7" s="146">
        <f t="shared" ref="R7:R11" si="1">+Q7/$Q$12</f>
        <v>0.51428571428571423</v>
      </c>
      <c r="S7" s="12"/>
      <c r="T7" s="106">
        <f t="shared" ref="T7:T11" si="2">+$T$1*R7</f>
        <v>586903.22448979586</v>
      </c>
      <c r="U7" s="107">
        <f t="shared" ref="U7:U11" si="3">ROUND(T7,0)</f>
        <v>586903</v>
      </c>
      <c r="V7" s="1"/>
    </row>
    <row r="8" spans="1:22" ht="15" customHeight="1" x14ac:dyDescent="0.2">
      <c r="A8" s="83" t="s">
        <v>83</v>
      </c>
      <c r="B8" s="23">
        <v>31</v>
      </c>
      <c r="C8" s="16" t="s">
        <v>39</v>
      </c>
      <c r="D8" s="17" t="s">
        <v>40</v>
      </c>
      <c r="E8" s="16" t="s">
        <v>36</v>
      </c>
      <c r="F8" s="22" t="s">
        <v>10</v>
      </c>
      <c r="G8" s="115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6">
        <f t="shared" si="0"/>
        <v>0</v>
      </c>
      <c r="R8" s="146">
        <f t="shared" si="1"/>
        <v>0</v>
      </c>
      <c r="S8" s="12"/>
      <c r="T8" s="106">
        <f t="shared" si="2"/>
        <v>0</v>
      </c>
      <c r="U8" s="107">
        <f t="shared" si="3"/>
        <v>0</v>
      </c>
      <c r="V8" s="1"/>
    </row>
    <row r="9" spans="1:22" ht="15" customHeight="1" x14ac:dyDescent="0.2">
      <c r="A9" s="83" t="s">
        <v>84</v>
      </c>
      <c r="B9" s="23">
        <v>42</v>
      </c>
      <c r="C9" s="16" t="s">
        <v>41</v>
      </c>
      <c r="D9" s="17" t="s">
        <v>42</v>
      </c>
      <c r="E9" s="16" t="s">
        <v>36</v>
      </c>
      <c r="F9" s="22" t="s">
        <v>10</v>
      </c>
      <c r="G9" s="115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6">
        <f t="shared" si="0"/>
        <v>0</v>
      </c>
      <c r="R9" s="146">
        <f t="shared" si="1"/>
        <v>0</v>
      </c>
      <c r="S9" s="12"/>
      <c r="T9" s="106">
        <f t="shared" si="2"/>
        <v>0</v>
      </c>
      <c r="U9" s="107">
        <f t="shared" si="3"/>
        <v>0</v>
      </c>
      <c r="V9" s="1"/>
    </row>
    <row r="10" spans="1:22" ht="15" customHeight="1" x14ac:dyDescent="0.2">
      <c r="A10" s="83" t="s">
        <v>85</v>
      </c>
      <c r="B10" s="23">
        <v>3</v>
      </c>
      <c r="C10" s="16" t="s">
        <v>43</v>
      </c>
      <c r="D10" s="17" t="s">
        <v>44</v>
      </c>
      <c r="E10" s="16" t="s">
        <v>36</v>
      </c>
      <c r="F10" s="22" t="s">
        <v>10</v>
      </c>
      <c r="G10" s="115">
        <v>0</v>
      </c>
      <c r="H10" s="70">
        <v>1</v>
      </c>
      <c r="I10" s="70">
        <v>2</v>
      </c>
      <c r="J10" s="70">
        <v>1</v>
      </c>
      <c r="K10" s="70">
        <v>1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6">
        <f t="shared" si="0"/>
        <v>17</v>
      </c>
      <c r="R10" s="146">
        <f t="shared" si="1"/>
        <v>0.48571428571428571</v>
      </c>
      <c r="S10" s="12"/>
      <c r="T10" s="106">
        <f t="shared" si="2"/>
        <v>554297.48979591834</v>
      </c>
      <c r="U10" s="107">
        <f t="shared" si="3"/>
        <v>554297</v>
      </c>
      <c r="V10" s="1"/>
    </row>
    <row r="11" spans="1:22" ht="15" customHeight="1" thickBot="1" x14ac:dyDescent="0.25">
      <c r="A11" s="83" t="s">
        <v>86</v>
      </c>
      <c r="B11" s="24">
        <v>2</v>
      </c>
      <c r="C11" s="25" t="s">
        <v>45</v>
      </c>
      <c r="D11" s="26" t="s">
        <v>46</v>
      </c>
      <c r="E11" s="25" t="s">
        <v>36</v>
      </c>
      <c r="F11" s="27" t="s">
        <v>10</v>
      </c>
      <c r="G11" s="116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4">
        <f t="shared" si="0"/>
        <v>0</v>
      </c>
      <c r="R11" s="147">
        <f t="shared" si="1"/>
        <v>0</v>
      </c>
      <c r="S11" s="12"/>
      <c r="T11" s="108">
        <f t="shared" si="2"/>
        <v>0</v>
      </c>
      <c r="U11" s="109">
        <f t="shared" si="3"/>
        <v>0</v>
      </c>
      <c r="V11" s="1"/>
    </row>
    <row r="12" spans="1:22" ht="15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16">
        <f>SUM(Q6:Q11)</f>
        <v>35</v>
      </c>
      <c r="R12" s="1"/>
      <c r="S12" s="1"/>
      <c r="T12" s="1"/>
      <c r="U12" s="1"/>
      <c r="V12" s="1"/>
    </row>
    <row r="13" spans="1:22" ht="1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hidden="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t="15" hidden="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2" ht="15" hidden="1" customHeight="1" x14ac:dyDescent="0.15"/>
    <row r="17" ht="15" hidden="1" customHeight="1" x14ac:dyDescent="0.15"/>
    <row r="18" ht="15" hidden="1" customHeight="1" x14ac:dyDescent="0.15"/>
    <row r="19" ht="15" hidden="1" customHeight="1" x14ac:dyDescent="0.15"/>
    <row r="20" ht="15" hidden="1" customHeight="1" x14ac:dyDescent="0.15"/>
    <row r="21" ht="15" hidden="1" customHeight="1" x14ac:dyDescent="0.15"/>
    <row r="22" ht="15" hidden="1" customHeight="1" x14ac:dyDescent="0.15"/>
    <row r="23" ht="15" hidden="1" customHeight="1" x14ac:dyDescent="0.15"/>
    <row r="24" ht="15" hidden="1" customHeight="1" x14ac:dyDescent="0.15"/>
    <row r="25" ht="15" hidden="1" customHeight="1" x14ac:dyDescent="0.15"/>
    <row r="26" ht="15" hidden="1" customHeight="1" x14ac:dyDescent="0.15"/>
    <row r="27" ht="15" hidden="1" customHeight="1" x14ac:dyDescent="0.15"/>
    <row r="28" ht="15" hidden="1" customHeight="1" x14ac:dyDescent="0.15"/>
    <row r="29" ht="15" hidden="1" customHeight="1" x14ac:dyDescent="0.15"/>
    <row r="30" ht="15" hidden="1" customHeight="1" x14ac:dyDescent="0.15"/>
    <row r="31" ht="15" hidden="1" customHeight="1" x14ac:dyDescent="0.15"/>
    <row r="32" ht="15" hidden="1" customHeight="1" x14ac:dyDescent="0.15"/>
    <row r="33" ht="15" hidden="1" customHeight="1" x14ac:dyDescent="0.15"/>
    <row r="34" ht="15" hidden="1" customHeight="1" x14ac:dyDescent="0.15"/>
    <row r="35" ht="15" hidden="1" customHeight="1" x14ac:dyDescent="0.15"/>
    <row r="36" ht="15" hidden="1" customHeight="1" x14ac:dyDescent="0.15"/>
    <row r="37" ht="15" hidden="1" customHeight="1" x14ac:dyDescent="0.15"/>
    <row r="38" ht="15" hidden="1" customHeight="1" x14ac:dyDescent="0.15"/>
    <row r="39" ht="15" hidden="1" customHeight="1" x14ac:dyDescent="0.15"/>
    <row r="40" ht="15" hidden="1" customHeight="1" x14ac:dyDescent="0.15"/>
    <row r="41" ht="15" hidden="1" customHeight="1" x14ac:dyDescent="0.15"/>
    <row r="42" ht="15" hidden="1" customHeight="1" x14ac:dyDescent="0.15"/>
    <row r="43" ht="15" hidden="1" customHeight="1" x14ac:dyDescent="0.15"/>
    <row r="44" ht="15" hidden="1" customHeight="1" x14ac:dyDescent="0.15"/>
    <row r="45" ht="15" hidden="1" customHeight="1" x14ac:dyDescent="0.15"/>
    <row r="46" ht="15" hidden="1" customHeight="1" x14ac:dyDescent="0.15"/>
    <row r="47" ht="15" hidden="1" customHeight="1" x14ac:dyDescent="0.15"/>
  </sheetData>
  <mergeCells count="7">
    <mergeCell ref="G4:R4"/>
    <mergeCell ref="T4:U4"/>
    <mergeCell ref="B4:B5"/>
    <mergeCell ref="C4:C5"/>
    <mergeCell ref="D4:D5"/>
    <mergeCell ref="E4:E5"/>
    <mergeCell ref="F4:F5"/>
  </mergeCells>
  <phoneticPr fontId="19" type="noConversion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AK19"/>
  <sheetViews>
    <sheetView workbookViewId="0">
      <pane xSplit="6" topLeftCell="I1" activePane="topRight" state="frozen"/>
      <selection pane="topRight" activeCell="AA9" sqref="AA9"/>
    </sheetView>
  </sheetViews>
  <sheetFormatPr baseColWidth="10" defaultColWidth="0" defaultRowHeight="0" customHeight="1" zeroHeight="1" x14ac:dyDescent="0.15"/>
  <cols>
    <col min="1" max="1" width="5.6640625" style="2" customWidth="1"/>
    <col min="2" max="3" width="10.6640625" style="2" customWidth="1"/>
    <col min="4" max="4" width="39" style="2" bestFit="1" customWidth="1"/>
    <col min="5" max="5" width="10.6640625" style="2" customWidth="1"/>
    <col min="6" max="6" width="9.6640625" style="2" customWidth="1"/>
    <col min="7" max="20" width="7.6640625" style="2" customWidth="1"/>
    <col min="21" max="22" width="8.6640625" style="2" customWidth="1"/>
    <col min="23" max="23" width="10.6640625" style="2" customWidth="1"/>
    <col min="24" max="25" width="8.6640625" style="2" customWidth="1"/>
    <col min="26" max="26" width="7.6640625" style="2" customWidth="1"/>
    <col min="27" max="27" width="10.6640625" style="2" customWidth="1"/>
    <col min="28" max="28" width="1.6640625" style="2" customWidth="1"/>
    <col min="29" max="30" width="10.6640625" style="2" customWidth="1"/>
    <col min="31" max="31" width="1.6640625" style="2" customWidth="1"/>
    <col min="32" max="37" width="0" style="2" hidden="1" customWidth="1"/>
    <col min="38" max="16384" width="11.5" style="2" hidden="1"/>
  </cols>
  <sheetData>
    <row r="1" spans="1:31" s="13" customFormat="1" ht="15" customHeight="1" x14ac:dyDescent="0.2">
      <c r="A1" s="50" t="s">
        <v>60</v>
      </c>
      <c r="B1" s="18"/>
      <c r="C1" s="12"/>
      <c r="D1" s="14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9" t="s">
        <v>58</v>
      </c>
      <c r="AC1" s="131">
        <f>+PPTO!I9</f>
        <v>1141200.7142857143</v>
      </c>
      <c r="AD1" s="12"/>
      <c r="AE1" s="12"/>
    </row>
    <row r="2" spans="1:31" s="13" customFormat="1" ht="15" customHeight="1" x14ac:dyDescent="0.2">
      <c r="A2" s="12"/>
      <c r="B2" s="20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25" customHeight="1" thickBot="1" x14ac:dyDescent="0.2">
      <c r="A3" s="1"/>
      <c r="B3" s="93" t="s">
        <v>87</v>
      </c>
      <c r="C3" s="93" t="s">
        <v>88</v>
      </c>
      <c r="D3" s="93" t="s">
        <v>89</v>
      </c>
      <c r="E3" s="93" t="s">
        <v>90</v>
      </c>
      <c r="F3" s="93" t="s">
        <v>91</v>
      </c>
      <c r="G3" s="93" t="s">
        <v>92</v>
      </c>
      <c r="H3" s="93" t="s">
        <v>93</v>
      </c>
      <c r="I3" s="93" t="s">
        <v>94</v>
      </c>
      <c r="J3" s="93" t="s">
        <v>95</v>
      </c>
      <c r="K3" s="93" t="s">
        <v>96</v>
      </c>
      <c r="L3" s="93" t="s">
        <v>98</v>
      </c>
      <c r="M3" s="93" t="s">
        <v>99</v>
      </c>
      <c r="N3" s="93" t="s">
        <v>100</v>
      </c>
      <c r="O3" s="93" t="s">
        <v>101</v>
      </c>
      <c r="P3" s="93" t="s">
        <v>102</v>
      </c>
      <c r="Q3" s="93" t="s">
        <v>103</v>
      </c>
      <c r="R3" s="93" t="s">
        <v>104</v>
      </c>
      <c r="S3" s="93" t="s">
        <v>105</v>
      </c>
      <c r="T3" s="93" t="s">
        <v>106</v>
      </c>
      <c r="U3" s="93" t="s">
        <v>107</v>
      </c>
      <c r="V3" s="93" t="s">
        <v>108</v>
      </c>
      <c r="W3" s="93" t="s">
        <v>109</v>
      </c>
      <c r="X3" s="93"/>
      <c r="Y3" s="93" t="s">
        <v>110</v>
      </c>
      <c r="Z3" s="93" t="s">
        <v>140</v>
      </c>
      <c r="AA3" s="93" t="s">
        <v>141</v>
      </c>
      <c r="AB3" s="93"/>
      <c r="AC3" s="93" t="s">
        <v>142</v>
      </c>
      <c r="AD3" s="93" t="s">
        <v>143</v>
      </c>
      <c r="AE3" s="1"/>
    </row>
    <row r="4" spans="1:31" ht="15" customHeight="1" x14ac:dyDescent="0.2">
      <c r="A4" s="1"/>
      <c r="B4" s="240" t="s">
        <v>0</v>
      </c>
      <c r="C4" s="242" t="s">
        <v>1</v>
      </c>
      <c r="D4" s="242" t="s">
        <v>2</v>
      </c>
      <c r="E4" s="242" t="s">
        <v>3</v>
      </c>
      <c r="F4" s="249" t="s">
        <v>31</v>
      </c>
      <c r="G4" s="264" t="s">
        <v>124</v>
      </c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6"/>
      <c r="AB4" s="12"/>
      <c r="AC4" s="252" t="s">
        <v>57</v>
      </c>
      <c r="AD4" s="253"/>
      <c r="AE4" s="1"/>
    </row>
    <row r="5" spans="1:31" ht="40" customHeight="1" x14ac:dyDescent="0.2">
      <c r="A5" s="1"/>
      <c r="B5" s="247"/>
      <c r="C5" s="248"/>
      <c r="D5" s="248"/>
      <c r="E5" s="248"/>
      <c r="F5" s="250"/>
      <c r="G5" s="254" t="s">
        <v>115</v>
      </c>
      <c r="H5" s="254"/>
      <c r="I5" s="254"/>
      <c r="J5" s="254"/>
      <c r="K5" s="255" t="s">
        <v>114</v>
      </c>
      <c r="L5" s="255" t="s">
        <v>123</v>
      </c>
      <c r="M5" s="260" t="s">
        <v>116</v>
      </c>
      <c r="N5" s="254"/>
      <c r="O5" s="254"/>
      <c r="P5" s="254"/>
      <c r="Q5" s="254"/>
      <c r="R5" s="254"/>
      <c r="S5" s="255" t="s">
        <v>114</v>
      </c>
      <c r="T5" s="257" t="s">
        <v>123</v>
      </c>
      <c r="U5" s="261" t="s">
        <v>145</v>
      </c>
      <c r="V5" s="262"/>
      <c r="W5" s="263"/>
      <c r="X5" s="261" t="s">
        <v>125</v>
      </c>
      <c r="Y5" s="262"/>
      <c r="Z5" s="262"/>
      <c r="AA5" s="263"/>
      <c r="AB5" s="12"/>
      <c r="AC5" s="251" t="s">
        <v>5</v>
      </c>
      <c r="AD5" s="259" t="s">
        <v>6</v>
      </c>
      <c r="AE5" s="1"/>
    </row>
    <row r="6" spans="1:31" s="5" customFormat="1" ht="25" customHeight="1" x14ac:dyDescent="0.2">
      <c r="A6" s="43"/>
      <c r="B6" s="247"/>
      <c r="C6" s="248"/>
      <c r="D6" s="248"/>
      <c r="E6" s="248"/>
      <c r="F6" s="250"/>
      <c r="G6" s="86">
        <v>2016</v>
      </c>
      <c r="H6" s="143">
        <v>2017</v>
      </c>
      <c r="I6" s="86">
        <v>2018</v>
      </c>
      <c r="J6" s="86">
        <v>2019</v>
      </c>
      <c r="K6" s="256"/>
      <c r="L6" s="256"/>
      <c r="M6" s="85">
        <v>2014</v>
      </c>
      <c r="N6" s="86">
        <v>2015</v>
      </c>
      <c r="O6" s="86">
        <v>2016</v>
      </c>
      <c r="P6" s="86">
        <v>2017</v>
      </c>
      <c r="Q6" s="86">
        <v>2018</v>
      </c>
      <c r="R6" s="86">
        <v>2019</v>
      </c>
      <c r="S6" s="256"/>
      <c r="T6" s="258"/>
      <c r="U6" s="168" t="s">
        <v>146</v>
      </c>
      <c r="V6" s="173" t="s">
        <v>126</v>
      </c>
      <c r="W6" s="177" t="s">
        <v>127</v>
      </c>
      <c r="X6" s="168" t="s">
        <v>147</v>
      </c>
      <c r="Y6" s="220" t="s">
        <v>148</v>
      </c>
      <c r="Z6" s="173" t="s">
        <v>126</v>
      </c>
      <c r="AA6" s="177" t="s">
        <v>128</v>
      </c>
      <c r="AB6" s="12"/>
      <c r="AC6" s="251"/>
      <c r="AD6" s="259"/>
      <c r="AE6" s="43"/>
    </row>
    <row r="7" spans="1:31" ht="15" customHeight="1" x14ac:dyDescent="0.2">
      <c r="A7" s="83" t="s">
        <v>81</v>
      </c>
      <c r="B7" s="97">
        <v>11</v>
      </c>
      <c r="C7" s="14" t="s">
        <v>34</v>
      </c>
      <c r="D7" s="15" t="s">
        <v>35</v>
      </c>
      <c r="E7" s="14" t="s">
        <v>36</v>
      </c>
      <c r="F7" s="110" t="s">
        <v>10</v>
      </c>
      <c r="G7" s="66">
        <v>10</v>
      </c>
      <c r="H7" s="66">
        <v>9</v>
      </c>
      <c r="I7" s="66">
        <v>21</v>
      </c>
      <c r="J7" s="66">
        <v>34</v>
      </c>
      <c r="K7" s="78">
        <f>SUM(G7:I7)</f>
        <v>40</v>
      </c>
      <c r="L7" s="78">
        <f>SUM(H7:J7)</f>
        <v>64</v>
      </c>
      <c r="M7" s="71">
        <v>47</v>
      </c>
      <c r="N7" s="66">
        <v>46</v>
      </c>
      <c r="O7" s="66">
        <v>39</v>
      </c>
      <c r="P7" s="140">
        <v>53</v>
      </c>
      <c r="Q7" s="66">
        <v>52</v>
      </c>
      <c r="R7" s="66">
        <v>82</v>
      </c>
      <c r="S7" s="78">
        <f>SUM(O7:Q7)</f>
        <v>144</v>
      </c>
      <c r="T7" s="148">
        <f>SUM(P7:R7)</f>
        <v>187</v>
      </c>
      <c r="U7" s="170">
        <f>IFERROR(L7/T7,0)</f>
        <v>0.34224598930481281</v>
      </c>
      <c r="V7" s="174">
        <f>+U7/+$U$13</f>
        <v>0.14639636088559219</v>
      </c>
      <c r="W7" s="178">
        <f>+$AC$1*0.7*V7</f>
        <v>116947.34212802691</v>
      </c>
      <c r="X7" s="170">
        <f>+K7/S7</f>
        <v>0.27777777777777779</v>
      </c>
      <c r="Y7" s="221">
        <f>IF((U7/X7)-1,(U7/X7)-1,0)</f>
        <v>0.23208556149732606</v>
      </c>
      <c r="Z7" s="174">
        <f>+Y7/$Y$13</f>
        <v>0.30982322607741647</v>
      </c>
      <c r="AA7" s="178">
        <f>+$AC$1*0.3*Z7</f>
        <v>106071.14607055559</v>
      </c>
      <c r="AB7" s="12"/>
      <c r="AC7" s="104">
        <f>+W7+AA7</f>
        <v>223018.48819858249</v>
      </c>
      <c r="AD7" s="105">
        <f>ROUND(AC7,0)</f>
        <v>223018</v>
      </c>
      <c r="AE7" s="1"/>
    </row>
    <row r="8" spans="1:31" ht="15" customHeight="1" x14ac:dyDescent="0.2">
      <c r="A8" s="83" t="s">
        <v>82</v>
      </c>
      <c r="B8" s="23">
        <v>69</v>
      </c>
      <c r="C8" s="16" t="s">
        <v>37</v>
      </c>
      <c r="D8" s="17" t="s">
        <v>38</v>
      </c>
      <c r="E8" s="16" t="s">
        <v>36</v>
      </c>
      <c r="F8" s="22" t="s">
        <v>10</v>
      </c>
      <c r="G8" s="67">
        <v>91</v>
      </c>
      <c r="H8" s="67">
        <v>102</v>
      </c>
      <c r="I8" s="67">
        <v>128</v>
      </c>
      <c r="J8" s="67">
        <v>130</v>
      </c>
      <c r="K8" s="79">
        <f t="shared" ref="K8:K12" si="0">SUM(G8:I8)</f>
        <v>321</v>
      </c>
      <c r="L8" s="79">
        <f t="shared" ref="L8:L12" si="1">SUM(H8:J8)</f>
        <v>360</v>
      </c>
      <c r="M8" s="73">
        <v>136</v>
      </c>
      <c r="N8" s="67">
        <v>136</v>
      </c>
      <c r="O8" s="67">
        <v>134</v>
      </c>
      <c r="P8" s="67">
        <v>152</v>
      </c>
      <c r="Q8" s="67">
        <v>167</v>
      </c>
      <c r="R8" s="67">
        <v>172</v>
      </c>
      <c r="S8" s="79">
        <f t="shared" ref="S8:T12" si="2">SUM(O8:Q8)</f>
        <v>453</v>
      </c>
      <c r="T8" s="76">
        <f t="shared" si="2"/>
        <v>491</v>
      </c>
      <c r="U8" s="171">
        <f t="shared" ref="U8:U12" si="3">IFERROR(L8/T8,0)</f>
        <v>0.73319755600814662</v>
      </c>
      <c r="V8" s="175">
        <f t="shared" ref="V8:V12" si="4">+U8/+$U$13</f>
        <v>0.31362662343489267</v>
      </c>
      <c r="W8" s="179">
        <f t="shared" ref="W8:W12" si="5">+$AC$1*0.7*V8</f>
        <v>250537.64867804138</v>
      </c>
      <c r="X8" s="171">
        <f t="shared" ref="X8:X12" si="6">+K8/S8</f>
        <v>0.70860927152317876</v>
      </c>
      <c r="Y8" s="222">
        <f t="shared" ref="Y8:Y12" si="7">IF((U8/X8)-1,(U8/X8)-1,0)</f>
        <v>3.4699354740468591E-2</v>
      </c>
      <c r="Z8" s="175">
        <f t="shared" ref="Z8:Z12" si="8">+Y8/$Y$13</f>
        <v>4.6321994178084767E-2</v>
      </c>
      <c r="AA8" s="179">
        <f t="shared" ref="AA8:AA12" si="9">+$AC$1*0.3*Z8</f>
        <v>15858.807852950709</v>
      </c>
      <c r="AB8" s="12"/>
      <c r="AC8" s="106">
        <f t="shared" ref="AC8:AC12" si="10">+W8+AA8</f>
        <v>266396.45653099212</v>
      </c>
      <c r="AD8" s="107">
        <f t="shared" ref="AD8:AD12" si="11">ROUND(AC8,0)</f>
        <v>266396</v>
      </c>
      <c r="AE8" s="1"/>
    </row>
    <row r="9" spans="1:31" ht="15" customHeight="1" x14ac:dyDescent="0.2">
      <c r="A9" s="83" t="s">
        <v>83</v>
      </c>
      <c r="B9" s="23">
        <v>31</v>
      </c>
      <c r="C9" s="16" t="s">
        <v>39</v>
      </c>
      <c r="D9" s="17" t="s">
        <v>40</v>
      </c>
      <c r="E9" s="16" t="s">
        <v>36</v>
      </c>
      <c r="F9" s="22" t="s">
        <v>10</v>
      </c>
      <c r="G9" s="67">
        <v>82</v>
      </c>
      <c r="H9" s="67">
        <v>84</v>
      </c>
      <c r="I9" s="67">
        <v>128</v>
      </c>
      <c r="J9" s="67">
        <v>186</v>
      </c>
      <c r="K9" s="79">
        <f t="shared" si="0"/>
        <v>294</v>
      </c>
      <c r="L9" s="79">
        <f t="shared" si="1"/>
        <v>398</v>
      </c>
      <c r="M9" s="73">
        <v>444</v>
      </c>
      <c r="N9" s="67">
        <v>459</v>
      </c>
      <c r="O9" s="67">
        <v>435</v>
      </c>
      <c r="P9" s="67">
        <v>453</v>
      </c>
      <c r="Q9" s="67">
        <v>569</v>
      </c>
      <c r="R9" s="67">
        <v>668</v>
      </c>
      <c r="S9" s="79">
        <f t="shared" si="2"/>
        <v>1457</v>
      </c>
      <c r="T9" s="76">
        <f t="shared" si="2"/>
        <v>1690</v>
      </c>
      <c r="U9" s="171">
        <f t="shared" si="3"/>
        <v>0.23550295857988165</v>
      </c>
      <c r="V9" s="175">
        <f t="shared" si="4"/>
        <v>0.10073683020775781</v>
      </c>
      <c r="W9" s="179">
        <f t="shared" si="5"/>
        <v>80472.65981158035</v>
      </c>
      <c r="X9" s="171">
        <f t="shared" si="6"/>
        <v>0.20178448867536034</v>
      </c>
      <c r="Y9" s="222">
        <f t="shared" si="7"/>
        <v>0.16710139677172631</v>
      </c>
      <c r="Z9" s="175">
        <f t="shared" si="8"/>
        <v>0.22307244576459836</v>
      </c>
      <c r="AA9" s="179">
        <f t="shared" si="9"/>
        <v>76371.130333206267</v>
      </c>
      <c r="AB9" s="12"/>
      <c r="AC9" s="106">
        <f t="shared" si="10"/>
        <v>156843.79014478662</v>
      </c>
      <c r="AD9" s="107">
        <f t="shared" si="11"/>
        <v>156844</v>
      </c>
      <c r="AE9" s="1"/>
    </row>
    <row r="10" spans="1:31" ht="15" customHeight="1" x14ac:dyDescent="0.2">
      <c r="A10" s="83" t="s">
        <v>84</v>
      </c>
      <c r="B10" s="23">
        <v>42</v>
      </c>
      <c r="C10" s="16" t="s">
        <v>41</v>
      </c>
      <c r="D10" s="17" t="s">
        <v>42</v>
      </c>
      <c r="E10" s="16" t="s">
        <v>36</v>
      </c>
      <c r="F10" s="22" t="s">
        <v>10</v>
      </c>
      <c r="G10" s="67">
        <v>33</v>
      </c>
      <c r="H10" s="67">
        <v>44</v>
      </c>
      <c r="I10" s="67">
        <v>42</v>
      </c>
      <c r="J10" s="67">
        <v>43</v>
      </c>
      <c r="K10" s="79">
        <f t="shared" si="0"/>
        <v>119</v>
      </c>
      <c r="L10" s="79">
        <f t="shared" si="1"/>
        <v>129</v>
      </c>
      <c r="M10" s="73">
        <v>107</v>
      </c>
      <c r="N10" s="67">
        <v>114</v>
      </c>
      <c r="O10" s="67">
        <v>125</v>
      </c>
      <c r="P10" s="67">
        <v>132</v>
      </c>
      <c r="Q10" s="67">
        <v>141</v>
      </c>
      <c r="R10" s="67">
        <v>131</v>
      </c>
      <c r="S10" s="79">
        <f t="shared" si="2"/>
        <v>398</v>
      </c>
      <c r="T10" s="76">
        <f t="shared" si="2"/>
        <v>404</v>
      </c>
      <c r="U10" s="171">
        <f t="shared" si="3"/>
        <v>0.31930693069306931</v>
      </c>
      <c r="V10" s="175">
        <f t="shared" si="4"/>
        <v>0.13658413573805464</v>
      </c>
      <c r="W10" s="179">
        <f t="shared" si="5"/>
        <v>109108.93928505544</v>
      </c>
      <c r="X10" s="171">
        <f t="shared" si="6"/>
        <v>0.29899497487437188</v>
      </c>
      <c r="Y10" s="222">
        <f t="shared" si="7"/>
        <v>6.793410433480318E-2</v>
      </c>
      <c r="Z10" s="175">
        <f t="shared" si="8"/>
        <v>9.0688809893634939E-2</v>
      </c>
      <c r="AA10" s="179">
        <f t="shared" si="9"/>
        <v>31048.240388501261</v>
      </c>
      <c r="AB10" s="12"/>
      <c r="AC10" s="106">
        <f t="shared" si="10"/>
        <v>140157.1796735567</v>
      </c>
      <c r="AD10" s="107">
        <f t="shared" si="11"/>
        <v>140157</v>
      </c>
      <c r="AE10" s="1"/>
    </row>
    <row r="11" spans="1:31" ht="15" customHeight="1" x14ac:dyDescent="0.2">
      <c r="A11" s="83" t="s">
        <v>85</v>
      </c>
      <c r="B11" s="23">
        <v>3</v>
      </c>
      <c r="C11" s="16" t="s">
        <v>43</v>
      </c>
      <c r="D11" s="17" t="s">
        <v>44</v>
      </c>
      <c r="E11" s="16" t="s">
        <v>36</v>
      </c>
      <c r="F11" s="22" t="s">
        <v>10</v>
      </c>
      <c r="G11" s="67">
        <v>152</v>
      </c>
      <c r="H11" s="67">
        <v>160</v>
      </c>
      <c r="I11" s="67">
        <v>155</v>
      </c>
      <c r="J11" s="67">
        <v>156</v>
      </c>
      <c r="K11" s="79">
        <f t="shared" si="0"/>
        <v>467</v>
      </c>
      <c r="L11" s="79">
        <f t="shared" si="1"/>
        <v>471</v>
      </c>
      <c r="M11" s="73">
        <v>309</v>
      </c>
      <c r="N11" s="67">
        <v>327</v>
      </c>
      <c r="O11" s="67">
        <v>317</v>
      </c>
      <c r="P11" s="67">
        <v>381</v>
      </c>
      <c r="Q11" s="67">
        <v>326</v>
      </c>
      <c r="R11" s="67">
        <v>309</v>
      </c>
      <c r="S11" s="79">
        <f t="shared" si="2"/>
        <v>1024</v>
      </c>
      <c r="T11" s="76">
        <f t="shared" si="2"/>
        <v>1016</v>
      </c>
      <c r="U11" s="171">
        <f t="shared" si="3"/>
        <v>0.46358267716535434</v>
      </c>
      <c r="V11" s="175">
        <f t="shared" si="4"/>
        <v>0.19829835564899584</v>
      </c>
      <c r="W11" s="179">
        <f t="shared" si="5"/>
        <v>158408.75757582166</v>
      </c>
      <c r="X11" s="171">
        <f t="shared" si="6"/>
        <v>0.4560546875</v>
      </c>
      <c r="Y11" s="222">
        <f t="shared" si="7"/>
        <v>1.6506769630241669E-2</v>
      </c>
      <c r="Z11" s="175">
        <f t="shared" si="8"/>
        <v>2.203575520150192E-2</v>
      </c>
      <c r="AA11" s="179">
        <f t="shared" si="9"/>
        <v>7544.1658727337399</v>
      </c>
      <c r="AB11" s="12"/>
      <c r="AC11" s="106">
        <f t="shared" si="10"/>
        <v>165952.9234485554</v>
      </c>
      <c r="AD11" s="107">
        <f t="shared" si="11"/>
        <v>165953</v>
      </c>
      <c r="AE11" s="1"/>
    </row>
    <row r="12" spans="1:31" ht="15" customHeight="1" thickBot="1" x14ac:dyDescent="0.25">
      <c r="A12" s="83" t="s">
        <v>86</v>
      </c>
      <c r="B12" s="24">
        <v>2</v>
      </c>
      <c r="C12" s="25" t="s">
        <v>45</v>
      </c>
      <c r="D12" s="26" t="s">
        <v>46</v>
      </c>
      <c r="E12" s="25" t="s">
        <v>36</v>
      </c>
      <c r="F12" s="27" t="s">
        <v>10</v>
      </c>
      <c r="G12" s="121">
        <v>17</v>
      </c>
      <c r="H12" s="121">
        <v>22</v>
      </c>
      <c r="I12" s="121">
        <v>28</v>
      </c>
      <c r="J12" s="121">
        <v>41</v>
      </c>
      <c r="K12" s="122">
        <f t="shared" si="0"/>
        <v>67</v>
      </c>
      <c r="L12" s="122">
        <f t="shared" si="1"/>
        <v>91</v>
      </c>
      <c r="M12" s="123">
        <v>65</v>
      </c>
      <c r="N12" s="121">
        <v>106</v>
      </c>
      <c r="O12" s="121">
        <v>111</v>
      </c>
      <c r="P12" s="121">
        <v>105</v>
      </c>
      <c r="Q12" s="121">
        <v>122</v>
      </c>
      <c r="R12" s="121">
        <v>146</v>
      </c>
      <c r="S12" s="122">
        <f t="shared" si="2"/>
        <v>338</v>
      </c>
      <c r="T12" s="124">
        <f t="shared" si="2"/>
        <v>373</v>
      </c>
      <c r="U12" s="172">
        <f t="shared" si="3"/>
        <v>0.24396782841823056</v>
      </c>
      <c r="V12" s="176">
        <f t="shared" si="4"/>
        <v>0.10435769408470688</v>
      </c>
      <c r="W12" s="180">
        <f t="shared" si="5"/>
        <v>83365.152521474287</v>
      </c>
      <c r="X12" s="172">
        <f t="shared" si="6"/>
        <v>0.19822485207100593</v>
      </c>
      <c r="Y12" s="223">
        <f t="shared" si="7"/>
        <v>0.23076307470689428</v>
      </c>
      <c r="Z12" s="176">
        <f t="shared" si="8"/>
        <v>0.30805776888476355</v>
      </c>
      <c r="AA12" s="180">
        <f t="shared" si="9"/>
        <v>105466.72376776669</v>
      </c>
      <c r="AB12" s="12"/>
      <c r="AC12" s="108">
        <f t="shared" si="10"/>
        <v>188831.87628924096</v>
      </c>
      <c r="AD12" s="109">
        <f t="shared" si="11"/>
        <v>188832</v>
      </c>
      <c r="AE12" s="1"/>
    </row>
    <row r="13" spans="1:31" ht="15" customHeight="1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217">
        <f>SUM(K7:K12)</f>
        <v>1308</v>
      </c>
      <c r="L13" s="218">
        <f>SUM(L7:L12)</f>
        <v>1513</v>
      </c>
      <c r="M13" s="1"/>
      <c r="N13" s="1"/>
      <c r="O13" s="1"/>
      <c r="P13" s="1"/>
      <c r="Q13" s="1"/>
      <c r="R13" s="1"/>
      <c r="S13" s="217">
        <f>SUM(S7:S12)</f>
        <v>3814</v>
      </c>
      <c r="T13" s="218">
        <f>SUM(T7:T12)</f>
        <v>4161</v>
      </c>
      <c r="U13" s="181">
        <f>SUM(U7:U12)</f>
        <v>2.3378039401694952</v>
      </c>
      <c r="V13" s="182"/>
      <c r="W13" s="183"/>
      <c r="X13" s="219"/>
      <c r="Y13" s="224">
        <f>SUM(Y7:Y12)</f>
        <v>0.74909026168146009</v>
      </c>
      <c r="Z13" s="1"/>
      <c r="AA13" s="1"/>
      <c r="AB13" s="1"/>
      <c r="AC13" s="1"/>
      <c r="AD13" s="1"/>
      <c r="AE13" s="1"/>
    </row>
    <row r="14" spans="1:31" ht="15" hidden="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1" ht="15" hidden="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1" ht="15" hidden="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ht="15" hidden="1" customHeight="1" x14ac:dyDescent="0.15"/>
    <row r="18" ht="15" hidden="1" customHeight="1" x14ac:dyDescent="0.15"/>
    <row r="19" ht="15" hidden="1" customHeight="1" x14ac:dyDescent="0.15"/>
  </sheetData>
  <mergeCells count="17">
    <mergeCell ref="B4:B6"/>
    <mergeCell ref="C4:C6"/>
    <mergeCell ref="D4:D6"/>
    <mergeCell ref="E4:E6"/>
    <mergeCell ref="F4:F6"/>
    <mergeCell ref="AC5:AC6"/>
    <mergeCell ref="AC4:AD4"/>
    <mergeCell ref="G5:J5"/>
    <mergeCell ref="L5:L6"/>
    <mergeCell ref="T5:T6"/>
    <mergeCell ref="AD5:AD6"/>
    <mergeCell ref="M5:R5"/>
    <mergeCell ref="K5:K6"/>
    <mergeCell ref="S5:S6"/>
    <mergeCell ref="U5:W5"/>
    <mergeCell ref="G4:AA4"/>
    <mergeCell ref="X5:AA5"/>
  </mergeCells>
  <phoneticPr fontId="19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X17"/>
  <sheetViews>
    <sheetView workbookViewId="0">
      <selection activeCell="T3" sqref="T3"/>
    </sheetView>
  </sheetViews>
  <sheetFormatPr baseColWidth="10" defaultColWidth="0" defaultRowHeight="0" customHeight="1" zeroHeight="1" x14ac:dyDescent="0.15"/>
  <cols>
    <col min="1" max="1" width="5.6640625" style="2" customWidth="1"/>
    <col min="2" max="3" width="10.6640625" style="2" customWidth="1"/>
    <col min="4" max="4" width="45.5" style="2" bestFit="1" customWidth="1"/>
    <col min="5" max="5" width="10.6640625" style="2" customWidth="1"/>
    <col min="6" max="20" width="9.6640625" style="2" customWidth="1"/>
    <col min="21" max="21" width="1.6640625" style="2" customWidth="1"/>
    <col min="22" max="23" width="15.6640625" style="2" customWidth="1"/>
    <col min="24" max="24" width="1.6640625" style="2" customWidth="1"/>
    <col min="25" max="16384" width="11.5" style="2" hidden="1"/>
  </cols>
  <sheetData>
    <row r="1" spans="1:24" s="13" customFormat="1" ht="15" customHeight="1" x14ac:dyDescent="0.2">
      <c r="A1" s="50" t="s">
        <v>139</v>
      </c>
      <c r="B1" s="50"/>
      <c r="C1" s="18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49" t="s">
        <v>58</v>
      </c>
      <c r="V1" s="131">
        <f>+PPTO!I10</f>
        <v>1141200.7142857143</v>
      </c>
      <c r="W1" s="12"/>
      <c r="X1" s="12"/>
    </row>
    <row r="2" spans="1:24" s="13" customFormat="1" ht="15" customHeight="1" x14ac:dyDescent="0.2">
      <c r="A2" s="12"/>
      <c r="B2" s="20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5" customHeight="1" thickBot="1" x14ac:dyDescent="0.2">
      <c r="A3" s="94"/>
      <c r="B3" s="93" t="s">
        <v>87</v>
      </c>
      <c r="C3" s="93" t="s">
        <v>88</v>
      </c>
      <c r="D3" s="93" t="s">
        <v>89</v>
      </c>
      <c r="E3" s="93" t="s">
        <v>90</v>
      </c>
      <c r="F3" s="93" t="s">
        <v>91</v>
      </c>
      <c r="G3" s="93" t="s">
        <v>92</v>
      </c>
      <c r="H3" s="93" t="s">
        <v>93</v>
      </c>
      <c r="I3" s="93" t="s">
        <v>94</v>
      </c>
      <c r="J3" s="93" t="s">
        <v>95</v>
      </c>
      <c r="K3" s="93" t="s">
        <v>96</v>
      </c>
      <c r="L3" s="93" t="s">
        <v>98</v>
      </c>
      <c r="M3" s="93" t="s">
        <v>99</v>
      </c>
      <c r="N3" s="93" t="s">
        <v>100</v>
      </c>
      <c r="O3" s="93" t="s">
        <v>101</v>
      </c>
      <c r="P3" s="93" t="s">
        <v>102</v>
      </c>
      <c r="Q3" s="93" t="s">
        <v>103</v>
      </c>
      <c r="R3" s="93" t="s">
        <v>104</v>
      </c>
      <c r="S3" s="93" t="s">
        <v>105</v>
      </c>
      <c r="T3" s="93" t="s">
        <v>106</v>
      </c>
      <c r="U3" s="94"/>
      <c r="V3" s="89" t="s">
        <v>107</v>
      </c>
      <c r="W3" s="89" t="s">
        <v>108</v>
      </c>
      <c r="X3" s="1"/>
    </row>
    <row r="4" spans="1:24" s="4" customFormat="1" ht="15" customHeight="1" x14ac:dyDescent="0.2">
      <c r="A4" s="3"/>
      <c r="B4" s="280" t="s">
        <v>0</v>
      </c>
      <c r="C4" s="277" t="s">
        <v>1</v>
      </c>
      <c r="D4" s="277" t="s">
        <v>2</v>
      </c>
      <c r="E4" s="277" t="s">
        <v>3</v>
      </c>
      <c r="F4" s="274" t="s">
        <v>31</v>
      </c>
      <c r="G4" s="264" t="s">
        <v>69</v>
      </c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6"/>
      <c r="U4" s="12"/>
      <c r="V4" s="252" t="s">
        <v>57</v>
      </c>
      <c r="W4" s="253"/>
      <c r="X4" s="3"/>
    </row>
    <row r="5" spans="1:24" ht="15" customHeight="1" x14ac:dyDescent="0.2">
      <c r="A5" s="1"/>
      <c r="B5" s="281"/>
      <c r="C5" s="278"/>
      <c r="D5" s="278"/>
      <c r="E5" s="278"/>
      <c r="F5" s="275"/>
      <c r="G5" s="269" t="s">
        <v>67</v>
      </c>
      <c r="H5" s="254"/>
      <c r="I5" s="254"/>
      <c r="J5" s="254"/>
      <c r="K5" s="254"/>
      <c r="L5" s="270" t="s">
        <v>129</v>
      </c>
      <c r="M5" s="260" t="s">
        <v>66</v>
      </c>
      <c r="N5" s="254"/>
      <c r="O5" s="254"/>
      <c r="P5" s="254"/>
      <c r="Q5" s="254"/>
      <c r="R5" s="270" t="s">
        <v>129</v>
      </c>
      <c r="S5" s="267" t="s">
        <v>68</v>
      </c>
      <c r="T5" s="272" t="s">
        <v>126</v>
      </c>
      <c r="U5" s="12"/>
      <c r="V5" s="251" t="s">
        <v>5</v>
      </c>
      <c r="W5" s="259" t="s">
        <v>6</v>
      </c>
      <c r="X5" s="1"/>
    </row>
    <row r="6" spans="1:24" s="5" customFormat="1" ht="15" customHeight="1" x14ac:dyDescent="0.2">
      <c r="A6" s="43"/>
      <c r="B6" s="282"/>
      <c r="C6" s="279"/>
      <c r="D6" s="279"/>
      <c r="E6" s="279"/>
      <c r="F6" s="276"/>
      <c r="G6" s="117">
        <v>2014</v>
      </c>
      <c r="H6" s="86">
        <v>2015</v>
      </c>
      <c r="I6" s="86">
        <v>2016</v>
      </c>
      <c r="J6" s="86">
        <v>2017</v>
      </c>
      <c r="K6" s="86">
        <v>2018</v>
      </c>
      <c r="L6" s="271"/>
      <c r="M6" s="132">
        <v>2014</v>
      </c>
      <c r="N6" s="133">
        <v>2015</v>
      </c>
      <c r="O6" s="133">
        <v>2016</v>
      </c>
      <c r="P6" s="133">
        <v>2017</v>
      </c>
      <c r="Q6" s="143">
        <v>2018</v>
      </c>
      <c r="R6" s="271"/>
      <c r="S6" s="268"/>
      <c r="T6" s="273"/>
      <c r="U6" s="12"/>
      <c r="V6" s="251"/>
      <c r="W6" s="259"/>
      <c r="X6" s="43"/>
    </row>
    <row r="7" spans="1:24" ht="15" customHeight="1" x14ac:dyDescent="0.2">
      <c r="A7" s="95" t="s">
        <v>81</v>
      </c>
      <c r="B7" s="97">
        <v>11</v>
      </c>
      <c r="C7" s="14" t="s">
        <v>34</v>
      </c>
      <c r="D7" s="15" t="s">
        <v>35</v>
      </c>
      <c r="E7" s="14" t="s">
        <v>36</v>
      </c>
      <c r="F7" s="110" t="s">
        <v>10</v>
      </c>
      <c r="G7" s="118">
        <v>7</v>
      </c>
      <c r="H7" s="66">
        <v>14</v>
      </c>
      <c r="I7" s="66">
        <v>29</v>
      </c>
      <c r="J7" s="66">
        <v>20</v>
      </c>
      <c r="K7" s="66">
        <v>41</v>
      </c>
      <c r="L7" s="78">
        <f t="shared" ref="L7:L12" si="0">SUM(G7:K7)</f>
        <v>111</v>
      </c>
      <c r="M7" s="134">
        <f>VLOOKUP($C7,'3 Planta Académica'!$C$7:$R$12,11,FALSE)</f>
        <v>47</v>
      </c>
      <c r="N7" s="135">
        <f>VLOOKUP($C7,'3 Planta Académica'!$C$7:$R$12,12,FALSE)</f>
        <v>46</v>
      </c>
      <c r="O7" s="135">
        <f>VLOOKUP($C7,'3 Planta Académica'!$C$7:$R$12,13,FALSE)</f>
        <v>39</v>
      </c>
      <c r="P7" s="135">
        <f>VLOOKUP($C7,'3 Planta Académica'!$C$7:$R$12,14,FALSE)</f>
        <v>53</v>
      </c>
      <c r="Q7" s="135">
        <f>VLOOKUP($C7,'3 Planta Académica'!$C$7:$R$12,15,FALSE)</f>
        <v>52</v>
      </c>
      <c r="R7" s="75">
        <f>SUM(M7:Q7)</f>
        <v>237</v>
      </c>
      <c r="S7" s="80">
        <f>IFERROR(L7/R7,0)</f>
        <v>0.46835443037974683</v>
      </c>
      <c r="T7" s="114">
        <f>+S7/$S$13</f>
        <v>0.11860995852894618</v>
      </c>
      <c r="U7" s="12"/>
      <c r="V7" s="104">
        <f>+$V$1*T7</f>
        <v>135357.76939463234</v>
      </c>
      <c r="W7" s="105">
        <f>ROUND(V7,0)</f>
        <v>135358</v>
      </c>
      <c r="X7" s="1"/>
    </row>
    <row r="8" spans="1:24" ht="15" customHeight="1" x14ac:dyDescent="0.2">
      <c r="A8" s="95" t="s">
        <v>82</v>
      </c>
      <c r="B8" s="23">
        <v>69</v>
      </c>
      <c r="C8" s="16" t="s">
        <v>37</v>
      </c>
      <c r="D8" s="17" t="s">
        <v>38</v>
      </c>
      <c r="E8" s="16" t="s">
        <v>36</v>
      </c>
      <c r="F8" s="22" t="s">
        <v>10</v>
      </c>
      <c r="G8" s="119">
        <v>78</v>
      </c>
      <c r="H8" s="67">
        <v>76</v>
      </c>
      <c r="I8" s="67">
        <v>102</v>
      </c>
      <c r="J8" s="67">
        <v>128</v>
      </c>
      <c r="K8" s="67">
        <v>125</v>
      </c>
      <c r="L8" s="79">
        <f t="shared" si="0"/>
        <v>509</v>
      </c>
      <c r="M8" s="136">
        <f>VLOOKUP($C8,'3 Planta Académica'!$C$7:$R$12,11,FALSE)</f>
        <v>136</v>
      </c>
      <c r="N8" s="137">
        <f>VLOOKUP($C8,'3 Planta Académica'!$C$7:$R$12,12,FALSE)</f>
        <v>136</v>
      </c>
      <c r="O8" s="137">
        <f>VLOOKUP($C8,'3 Planta Académica'!$C$7:$R$12,13,FALSE)</f>
        <v>134</v>
      </c>
      <c r="P8" s="137">
        <f>VLOOKUP($C8,'3 Planta Académica'!$C$7:$R$12,14,FALSE)</f>
        <v>152</v>
      </c>
      <c r="Q8" s="137">
        <f>VLOOKUP($C8,'3 Planta Académica'!$C$7:$R$12,15,FALSE)</f>
        <v>167</v>
      </c>
      <c r="R8" s="76">
        <f t="shared" ref="R8:R12" si="1">SUM(M8:Q8)</f>
        <v>725</v>
      </c>
      <c r="S8" s="81">
        <f t="shared" ref="S8:S12" si="2">IFERROR(L8/R8,0)</f>
        <v>0.70206896551724141</v>
      </c>
      <c r="T8" s="98">
        <f t="shared" ref="T8:T12" si="3">+S8/$S$13</f>
        <v>0.17779776486141491</v>
      </c>
      <c r="U8" s="12"/>
      <c r="V8" s="106">
        <f t="shared" ref="V8:V12" si="4">+$V$1*T8</f>
        <v>202902.93625825018</v>
      </c>
      <c r="W8" s="107">
        <f t="shared" ref="W8:W12" si="5">ROUND(V8,0)</f>
        <v>202903</v>
      </c>
      <c r="X8" s="1"/>
    </row>
    <row r="9" spans="1:24" ht="15" customHeight="1" x14ac:dyDescent="0.2">
      <c r="A9" s="95" t="s">
        <v>83</v>
      </c>
      <c r="B9" s="23">
        <v>31</v>
      </c>
      <c r="C9" s="16" t="s">
        <v>39</v>
      </c>
      <c r="D9" s="17" t="s">
        <v>40</v>
      </c>
      <c r="E9" s="16" t="s">
        <v>36</v>
      </c>
      <c r="F9" s="22" t="s">
        <v>10</v>
      </c>
      <c r="G9" s="119">
        <v>239</v>
      </c>
      <c r="H9" s="67">
        <v>387</v>
      </c>
      <c r="I9" s="67">
        <v>378</v>
      </c>
      <c r="J9" s="67">
        <v>431</v>
      </c>
      <c r="K9" s="67">
        <v>508</v>
      </c>
      <c r="L9" s="79">
        <f t="shared" si="0"/>
        <v>1943</v>
      </c>
      <c r="M9" s="136">
        <f>VLOOKUP($C9,'3 Planta Académica'!$C$7:$R$12,11,FALSE)</f>
        <v>444</v>
      </c>
      <c r="N9" s="137">
        <f>VLOOKUP($C9,'3 Planta Académica'!$C$7:$R$12,12,FALSE)</f>
        <v>459</v>
      </c>
      <c r="O9" s="137">
        <f>VLOOKUP($C9,'3 Planta Académica'!$C$7:$R$12,13,FALSE)</f>
        <v>435</v>
      </c>
      <c r="P9" s="137">
        <f>VLOOKUP($C9,'3 Planta Académica'!$C$7:$R$12,14,FALSE)</f>
        <v>453</v>
      </c>
      <c r="Q9" s="137">
        <f>VLOOKUP($C9,'3 Planta Académica'!$C$7:$R$12,15,FALSE)</f>
        <v>569</v>
      </c>
      <c r="R9" s="76">
        <f t="shared" si="1"/>
        <v>2360</v>
      </c>
      <c r="S9" s="81">
        <f t="shared" si="2"/>
        <v>0.82330508474576269</v>
      </c>
      <c r="T9" s="98">
        <f t="shared" si="3"/>
        <v>0.20850060472191539</v>
      </c>
      <c r="U9" s="12"/>
      <c r="V9" s="106">
        <f t="shared" si="4"/>
        <v>237941.03903765322</v>
      </c>
      <c r="W9" s="107">
        <f t="shared" si="5"/>
        <v>237941</v>
      </c>
      <c r="X9" s="1"/>
    </row>
    <row r="10" spans="1:24" ht="15" customHeight="1" x14ac:dyDescent="0.2">
      <c r="A10" s="95" t="s">
        <v>84</v>
      </c>
      <c r="B10" s="23">
        <v>42</v>
      </c>
      <c r="C10" s="16" t="s">
        <v>41</v>
      </c>
      <c r="D10" s="17" t="s">
        <v>42</v>
      </c>
      <c r="E10" s="16" t="s">
        <v>36</v>
      </c>
      <c r="F10" s="22" t="s">
        <v>10</v>
      </c>
      <c r="G10" s="119">
        <v>13</v>
      </c>
      <c r="H10" s="67">
        <v>13</v>
      </c>
      <c r="I10" s="67">
        <v>12</v>
      </c>
      <c r="J10" s="67">
        <v>13</v>
      </c>
      <c r="K10" s="67">
        <v>18</v>
      </c>
      <c r="L10" s="79">
        <f t="shared" si="0"/>
        <v>69</v>
      </c>
      <c r="M10" s="136">
        <f>VLOOKUP($C10,'3 Planta Académica'!$C$7:$R$12,11,FALSE)</f>
        <v>107</v>
      </c>
      <c r="N10" s="137">
        <f>VLOOKUP($C10,'3 Planta Académica'!$C$7:$R$12,12,FALSE)</f>
        <v>114</v>
      </c>
      <c r="O10" s="137">
        <f>VLOOKUP($C10,'3 Planta Académica'!$C$7:$R$12,13,FALSE)</f>
        <v>125</v>
      </c>
      <c r="P10" s="137">
        <f>VLOOKUP($C10,'3 Planta Académica'!$C$7:$R$12,14,FALSE)</f>
        <v>132</v>
      </c>
      <c r="Q10" s="137">
        <f>VLOOKUP($C10,'3 Planta Académica'!$C$7:$R$12,15,FALSE)</f>
        <v>141</v>
      </c>
      <c r="R10" s="76">
        <f t="shared" si="1"/>
        <v>619</v>
      </c>
      <c r="S10" s="81">
        <f t="shared" si="2"/>
        <v>0.11147011308562198</v>
      </c>
      <c r="T10" s="98">
        <f t="shared" si="3"/>
        <v>2.8229615506321692E-2</v>
      </c>
      <c r="U10" s="12"/>
      <c r="V10" s="106">
        <f t="shared" si="4"/>
        <v>32215.657379825392</v>
      </c>
      <c r="W10" s="107">
        <f t="shared" si="5"/>
        <v>32216</v>
      </c>
      <c r="X10" s="1"/>
    </row>
    <row r="11" spans="1:24" ht="15" customHeight="1" x14ac:dyDescent="0.2">
      <c r="A11" s="95" t="s">
        <v>85</v>
      </c>
      <c r="B11" s="23">
        <v>3</v>
      </c>
      <c r="C11" s="16" t="s">
        <v>43</v>
      </c>
      <c r="D11" s="17" t="s">
        <v>44</v>
      </c>
      <c r="E11" s="16" t="s">
        <v>36</v>
      </c>
      <c r="F11" s="22" t="s">
        <v>10</v>
      </c>
      <c r="G11" s="119">
        <v>324</v>
      </c>
      <c r="H11" s="67">
        <v>437</v>
      </c>
      <c r="I11" s="67">
        <v>339</v>
      </c>
      <c r="J11" s="67">
        <v>381</v>
      </c>
      <c r="K11" s="67">
        <v>366</v>
      </c>
      <c r="L11" s="79">
        <f t="shared" si="0"/>
        <v>1847</v>
      </c>
      <c r="M11" s="136">
        <f>VLOOKUP($C11,'3 Planta Académica'!$C$7:$R$12,11,FALSE)</f>
        <v>309</v>
      </c>
      <c r="N11" s="137">
        <f>VLOOKUP($C11,'3 Planta Académica'!$C$7:$R$12,12,FALSE)</f>
        <v>327</v>
      </c>
      <c r="O11" s="137">
        <f>VLOOKUP($C11,'3 Planta Académica'!$C$7:$R$12,13,FALSE)</f>
        <v>317</v>
      </c>
      <c r="P11" s="137">
        <f>VLOOKUP($C11,'3 Planta Académica'!$C$7:$R$12,14,FALSE)</f>
        <v>381</v>
      </c>
      <c r="Q11" s="137">
        <f>VLOOKUP($C11,'3 Planta Académica'!$C$7:$R$12,15,FALSE)</f>
        <v>326</v>
      </c>
      <c r="R11" s="76">
        <f t="shared" si="1"/>
        <v>1660</v>
      </c>
      <c r="S11" s="81">
        <f t="shared" si="2"/>
        <v>1.1126506024096385</v>
      </c>
      <c r="T11" s="98">
        <f t="shared" si="3"/>
        <v>0.28177686224086818</v>
      </c>
      <c r="U11" s="12"/>
      <c r="V11" s="106">
        <f t="shared" si="4"/>
        <v>321563.95645846607</v>
      </c>
      <c r="W11" s="107">
        <f t="shared" si="5"/>
        <v>321564</v>
      </c>
      <c r="X11" s="1"/>
    </row>
    <row r="12" spans="1:24" ht="15" customHeight="1" thickBot="1" x14ac:dyDescent="0.25">
      <c r="A12" s="95" t="s">
        <v>86</v>
      </c>
      <c r="B12" s="24">
        <v>2</v>
      </c>
      <c r="C12" s="25" t="s">
        <v>45</v>
      </c>
      <c r="D12" s="26" t="s">
        <v>46</v>
      </c>
      <c r="E12" s="25" t="s">
        <v>36</v>
      </c>
      <c r="F12" s="27" t="s">
        <v>10</v>
      </c>
      <c r="G12" s="120">
        <v>59</v>
      </c>
      <c r="H12" s="121">
        <v>96</v>
      </c>
      <c r="I12" s="121">
        <v>58</v>
      </c>
      <c r="J12" s="121">
        <v>74</v>
      </c>
      <c r="K12" s="121">
        <v>85</v>
      </c>
      <c r="L12" s="122">
        <f t="shared" si="0"/>
        <v>372</v>
      </c>
      <c r="M12" s="138">
        <f>VLOOKUP($C12,'3 Planta Académica'!$C$7:$R$12,11,FALSE)</f>
        <v>65</v>
      </c>
      <c r="N12" s="139">
        <f>VLOOKUP($C12,'3 Planta Académica'!$C$7:$R$12,12,FALSE)</f>
        <v>106</v>
      </c>
      <c r="O12" s="139">
        <f>VLOOKUP($C12,'3 Planta Académica'!$C$7:$R$12,13,FALSE)</f>
        <v>111</v>
      </c>
      <c r="P12" s="139">
        <f>VLOOKUP($C12,'3 Planta Académica'!$C$7:$R$12,14,FALSE)</f>
        <v>105</v>
      </c>
      <c r="Q12" s="139">
        <f>VLOOKUP($C12,'3 Planta Académica'!$C$7:$R$12,15,FALSE)</f>
        <v>122</v>
      </c>
      <c r="R12" s="124">
        <f t="shared" si="1"/>
        <v>509</v>
      </c>
      <c r="S12" s="126">
        <f t="shared" si="2"/>
        <v>0.73084479371316302</v>
      </c>
      <c r="T12" s="101">
        <f t="shared" si="3"/>
        <v>0.18508519414053365</v>
      </c>
      <c r="U12" s="12"/>
      <c r="V12" s="108">
        <f t="shared" si="4"/>
        <v>211219.35575688712</v>
      </c>
      <c r="W12" s="109">
        <f t="shared" si="5"/>
        <v>211219</v>
      </c>
      <c r="X12" s="1"/>
    </row>
    <row r="13" spans="1:24" ht="15" customHeight="1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84">
        <f>SUM(S7:S12)</f>
        <v>3.9486939898511744</v>
      </c>
      <c r="T13" s="1"/>
      <c r="U13" s="1"/>
      <c r="V13" s="1"/>
      <c r="W13" s="1"/>
      <c r="X13" s="1"/>
    </row>
    <row r="14" spans="1:24" ht="15" hidden="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4" ht="15" hidden="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4" ht="15" hidden="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12" hidden="1" x14ac:dyDescent="0.15"/>
  </sheetData>
  <mergeCells count="15">
    <mergeCell ref="F4:F6"/>
    <mergeCell ref="E4:E6"/>
    <mergeCell ref="D4:D6"/>
    <mergeCell ref="C4:C6"/>
    <mergeCell ref="B4:B6"/>
    <mergeCell ref="S5:S6"/>
    <mergeCell ref="G4:T4"/>
    <mergeCell ref="V4:W4"/>
    <mergeCell ref="W5:W6"/>
    <mergeCell ref="V5:V6"/>
    <mergeCell ref="M5:Q5"/>
    <mergeCell ref="G5:K5"/>
    <mergeCell ref="R5:R6"/>
    <mergeCell ref="L5:L6"/>
    <mergeCell ref="T5:T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X35"/>
  <sheetViews>
    <sheetView workbookViewId="0">
      <selection activeCell="T3" sqref="T3"/>
    </sheetView>
  </sheetViews>
  <sheetFormatPr baseColWidth="10" defaultColWidth="0" defaultRowHeight="12" zeroHeight="1" x14ac:dyDescent="0.15"/>
  <cols>
    <col min="1" max="1" width="5.6640625" style="2" customWidth="1"/>
    <col min="2" max="3" width="10.6640625" style="2" customWidth="1"/>
    <col min="4" max="4" width="45.5" style="2" bestFit="1" customWidth="1"/>
    <col min="5" max="5" width="10.6640625" style="2" customWidth="1"/>
    <col min="6" max="20" width="9.6640625" style="2" customWidth="1"/>
    <col min="21" max="21" width="1.6640625" style="2" customWidth="1"/>
    <col min="22" max="23" width="15.6640625" style="2" customWidth="1"/>
    <col min="24" max="24" width="1.6640625" style="2" customWidth="1"/>
    <col min="25" max="16384" width="11.5" style="2" hidden="1"/>
  </cols>
  <sheetData>
    <row r="1" spans="1:24" s="13" customFormat="1" ht="15" customHeight="1" x14ac:dyDescent="0.2">
      <c r="A1" s="12"/>
      <c r="B1" s="50" t="s">
        <v>62</v>
      </c>
      <c r="C1" s="18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49" t="s">
        <v>58</v>
      </c>
      <c r="V1" s="131">
        <f>+PPTO!I11</f>
        <v>1141200.7142857143</v>
      </c>
      <c r="W1" s="12"/>
      <c r="X1" s="12"/>
    </row>
    <row r="2" spans="1:24" s="13" customFormat="1" ht="15" customHeight="1" x14ac:dyDescent="0.2">
      <c r="A2" s="12"/>
      <c r="B2" s="20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5" customHeight="1" thickBot="1" x14ac:dyDescent="0.25">
      <c r="A3" s="1"/>
      <c r="B3" s="93" t="s">
        <v>87</v>
      </c>
      <c r="C3" s="93" t="s">
        <v>88</v>
      </c>
      <c r="D3" s="93" t="s">
        <v>89</v>
      </c>
      <c r="E3" s="93" t="s">
        <v>90</v>
      </c>
      <c r="F3" s="93" t="s">
        <v>91</v>
      </c>
      <c r="G3" s="93" t="s">
        <v>92</v>
      </c>
      <c r="H3" s="93" t="s">
        <v>93</v>
      </c>
      <c r="I3" s="93" t="s">
        <v>94</v>
      </c>
      <c r="J3" s="93" t="s">
        <v>95</v>
      </c>
      <c r="K3" s="93" t="s">
        <v>96</v>
      </c>
      <c r="L3" s="93" t="s">
        <v>98</v>
      </c>
      <c r="M3" s="93" t="s">
        <v>99</v>
      </c>
      <c r="N3" s="93" t="s">
        <v>100</v>
      </c>
      <c r="O3" s="93" t="s">
        <v>101</v>
      </c>
      <c r="P3" s="93" t="s">
        <v>102</v>
      </c>
      <c r="Q3" s="93" t="s">
        <v>103</v>
      </c>
      <c r="R3" s="93" t="s">
        <v>104</v>
      </c>
      <c r="S3" s="93" t="s">
        <v>105</v>
      </c>
      <c r="T3" s="93" t="s">
        <v>106</v>
      </c>
      <c r="U3" s="12"/>
      <c r="V3" s="89" t="s">
        <v>107</v>
      </c>
      <c r="W3" s="89" t="s">
        <v>108</v>
      </c>
      <c r="X3" s="1"/>
    </row>
    <row r="4" spans="1:24" s="4" customFormat="1" ht="15" customHeight="1" x14ac:dyDescent="0.2">
      <c r="A4" s="3"/>
      <c r="B4" s="280" t="s">
        <v>0</v>
      </c>
      <c r="C4" s="277" t="s">
        <v>1</v>
      </c>
      <c r="D4" s="277" t="s">
        <v>2</v>
      </c>
      <c r="E4" s="277" t="s">
        <v>3</v>
      </c>
      <c r="F4" s="274" t="s">
        <v>31</v>
      </c>
      <c r="G4" s="264" t="s">
        <v>71</v>
      </c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6"/>
      <c r="U4" s="12"/>
      <c r="V4" s="252" t="s">
        <v>57</v>
      </c>
      <c r="W4" s="253"/>
      <c r="X4" s="3"/>
    </row>
    <row r="5" spans="1:24" ht="15" customHeight="1" x14ac:dyDescent="0.2">
      <c r="A5" s="1"/>
      <c r="B5" s="281"/>
      <c r="C5" s="278"/>
      <c r="D5" s="278"/>
      <c r="E5" s="278"/>
      <c r="F5" s="275"/>
      <c r="G5" s="269" t="s">
        <v>70</v>
      </c>
      <c r="H5" s="254"/>
      <c r="I5" s="254"/>
      <c r="J5" s="254"/>
      <c r="K5" s="254"/>
      <c r="L5" s="270" t="s">
        <v>130</v>
      </c>
      <c r="M5" s="260" t="s">
        <v>72</v>
      </c>
      <c r="N5" s="254"/>
      <c r="O5" s="254"/>
      <c r="P5" s="254"/>
      <c r="Q5" s="254"/>
      <c r="R5" s="270" t="s">
        <v>130</v>
      </c>
      <c r="S5" s="260" t="s">
        <v>68</v>
      </c>
      <c r="T5" s="272" t="s">
        <v>4</v>
      </c>
      <c r="U5" s="12"/>
      <c r="V5" s="251" t="s">
        <v>5</v>
      </c>
      <c r="W5" s="259" t="s">
        <v>6</v>
      </c>
      <c r="X5" s="1"/>
    </row>
    <row r="6" spans="1:24" s="5" customFormat="1" ht="15" customHeight="1" x14ac:dyDescent="0.2">
      <c r="A6" s="43"/>
      <c r="B6" s="282"/>
      <c r="C6" s="279"/>
      <c r="D6" s="279"/>
      <c r="E6" s="279"/>
      <c r="F6" s="276"/>
      <c r="G6" s="117">
        <v>2014</v>
      </c>
      <c r="H6" s="86">
        <v>2015</v>
      </c>
      <c r="I6" s="86">
        <v>2016</v>
      </c>
      <c r="J6" s="86">
        <v>2017</v>
      </c>
      <c r="K6" s="86">
        <v>2018</v>
      </c>
      <c r="L6" s="271"/>
      <c r="M6" s="85">
        <v>2014</v>
      </c>
      <c r="N6" s="86">
        <v>2015</v>
      </c>
      <c r="O6" s="86">
        <v>2016</v>
      </c>
      <c r="P6" s="86">
        <v>2017</v>
      </c>
      <c r="Q6" s="86">
        <v>2018</v>
      </c>
      <c r="R6" s="271"/>
      <c r="S6" s="285"/>
      <c r="T6" s="273"/>
      <c r="U6" s="12"/>
      <c r="V6" s="284"/>
      <c r="W6" s="283"/>
      <c r="X6" s="43"/>
    </row>
    <row r="7" spans="1:24" ht="15" customHeight="1" x14ac:dyDescent="0.2">
      <c r="A7" s="95" t="s">
        <v>81</v>
      </c>
      <c r="B7" s="97">
        <v>11</v>
      </c>
      <c r="C7" s="14" t="s">
        <v>34</v>
      </c>
      <c r="D7" s="15" t="s">
        <v>35</v>
      </c>
      <c r="E7" s="14" t="s">
        <v>36</v>
      </c>
      <c r="F7" s="110" t="s">
        <v>10</v>
      </c>
      <c r="G7" s="118">
        <v>8</v>
      </c>
      <c r="H7" s="66">
        <v>24</v>
      </c>
      <c r="I7" s="66">
        <v>16</v>
      </c>
      <c r="J7" s="66">
        <v>2</v>
      </c>
      <c r="K7" s="66">
        <v>3</v>
      </c>
      <c r="L7" s="78">
        <f t="shared" ref="L7" si="0">SUM(G7:K7)</f>
        <v>53</v>
      </c>
      <c r="M7" s="71">
        <v>6</v>
      </c>
      <c r="N7" s="66">
        <v>7</v>
      </c>
      <c r="O7" s="66">
        <v>8</v>
      </c>
      <c r="P7" s="66">
        <v>10</v>
      </c>
      <c r="Q7" s="66">
        <v>18</v>
      </c>
      <c r="R7" s="75">
        <f>SUM(M7:Q7)</f>
        <v>49</v>
      </c>
      <c r="S7" s="80">
        <f>IFERROR(L7/R7,0)</f>
        <v>1.0816326530612246</v>
      </c>
      <c r="T7" s="114">
        <f>+S7/$S$13</f>
        <v>3.7943260998223052E-2</v>
      </c>
      <c r="U7" s="12"/>
      <c r="V7" s="127">
        <f>+$V$1*T7</f>
        <v>43300.876553501432</v>
      </c>
      <c r="W7" s="128">
        <f>ROUND(V7,0)</f>
        <v>43301</v>
      </c>
      <c r="X7" s="1"/>
    </row>
    <row r="8" spans="1:24" ht="15" customHeight="1" x14ac:dyDescent="0.2">
      <c r="A8" s="95" t="s">
        <v>82</v>
      </c>
      <c r="B8" s="23">
        <v>69</v>
      </c>
      <c r="C8" s="16" t="s">
        <v>37</v>
      </c>
      <c r="D8" s="17" t="s">
        <v>38</v>
      </c>
      <c r="E8" s="16" t="s">
        <v>36</v>
      </c>
      <c r="F8" s="22" t="s">
        <v>10</v>
      </c>
      <c r="G8" s="119">
        <v>125</v>
      </c>
      <c r="H8" s="67">
        <v>109</v>
      </c>
      <c r="I8" s="67">
        <v>97</v>
      </c>
      <c r="J8" s="67">
        <v>155</v>
      </c>
      <c r="K8" s="67">
        <v>29</v>
      </c>
      <c r="L8" s="79">
        <f t="shared" ref="L8:L12" si="1">SUM(G8:K8)</f>
        <v>515</v>
      </c>
      <c r="M8" s="73">
        <v>57</v>
      </c>
      <c r="N8" s="67">
        <v>35</v>
      </c>
      <c r="O8" s="67">
        <v>55</v>
      </c>
      <c r="P8" s="67">
        <v>77</v>
      </c>
      <c r="Q8" s="67">
        <v>96</v>
      </c>
      <c r="R8" s="76">
        <f t="shared" ref="R8:R12" si="2">SUM(M8:Q8)</f>
        <v>320</v>
      </c>
      <c r="S8" s="81">
        <f t="shared" ref="S8:S12" si="3">IFERROR(L8/R8,0)</f>
        <v>1.609375</v>
      </c>
      <c r="T8" s="98">
        <f t="shared" ref="T8:T12" si="4">+S8/$S$13</f>
        <v>5.6456261278900861E-2</v>
      </c>
      <c r="U8" s="12"/>
      <c r="V8" s="106">
        <f t="shared" ref="V8:V12" si="5">+$V$1*T8</f>
        <v>64427.925697382576</v>
      </c>
      <c r="W8" s="107">
        <f t="shared" ref="W8:W12" si="6">ROUND(V8,0)</f>
        <v>64428</v>
      </c>
      <c r="X8" s="1"/>
    </row>
    <row r="9" spans="1:24" ht="15" customHeight="1" x14ac:dyDescent="0.2">
      <c r="A9" s="95" t="s">
        <v>83</v>
      </c>
      <c r="B9" s="23">
        <v>31</v>
      </c>
      <c r="C9" s="16" t="s">
        <v>39</v>
      </c>
      <c r="D9" s="17" t="s">
        <v>40</v>
      </c>
      <c r="E9" s="16" t="s">
        <v>36</v>
      </c>
      <c r="F9" s="22" t="s">
        <v>10</v>
      </c>
      <c r="G9" s="119">
        <v>1305</v>
      </c>
      <c r="H9" s="67">
        <v>3000</v>
      </c>
      <c r="I9" s="67">
        <v>6259</v>
      </c>
      <c r="J9" s="67">
        <v>2163</v>
      </c>
      <c r="K9" s="67">
        <v>1453</v>
      </c>
      <c r="L9" s="79">
        <f t="shared" si="1"/>
        <v>14180</v>
      </c>
      <c r="M9" s="73">
        <v>163</v>
      </c>
      <c r="N9" s="67">
        <v>330</v>
      </c>
      <c r="O9" s="67">
        <v>313</v>
      </c>
      <c r="P9" s="67">
        <v>360</v>
      </c>
      <c r="Q9" s="67">
        <v>479</v>
      </c>
      <c r="R9" s="76">
        <f t="shared" si="2"/>
        <v>1645</v>
      </c>
      <c r="S9" s="81">
        <f t="shared" si="3"/>
        <v>8.6200607902735555</v>
      </c>
      <c r="T9" s="98">
        <f t="shared" si="4"/>
        <v>0.30238844533790599</v>
      </c>
      <c r="U9" s="12"/>
      <c r="V9" s="106">
        <f t="shared" si="5"/>
        <v>345085.90981136501</v>
      </c>
      <c r="W9" s="107">
        <f t="shared" si="6"/>
        <v>345086</v>
      </c>
      <c r="X9" s="1"/>
    </row>
    <row r="10" spans="1:24" ht="15" customHeight="1" x14ac:dyDescent="0.2">
      <c r="A10" s="95" t="s">
        <v>84</v>
      </c>
      <c r="B10" s="23">
        <v>42</v>
      </c>
      <c r="C10" s="16" t="s">
        <v>41</v>
      </c>
      <c r="D10" s="17" t="s">
        <v>42</v>
      </c>
      <c r="E10" s="16" t="s">
        <v>36</v>
      </c>
      <c r="F10" s="22" t="s">
        <v>10</v>
      </c>
      <c r="G10" s="119">
        <v>16</v>
      </c>
      <c r="H10" s="67">
        <v>5</v>
      </c>
      <c r="I10" s="67">
        <v>10</v>
      </c>
      <c r="J10" s="67">
        <v>10</v>
      </c>
      <c r="K10" s="67">
        <v>5</v>
      </c>
      <c r="L10" s="79">
        <f t="shared" si="1"/>
        <v>46</v>
      </c>
      <c r="M10" s="73">
        <v>14</v>
      </c>
      <c r="N10" s="67">
        <v>5</v>
      </c>
      <c r="O10" s="67">
        <v>6</v>
      </c>
      <c r="P10" s="67">
        <v>2</v>
      </c>
      <c r="Q10" s="67">
        <v>12</v>
      </c>
      <c r="R10" s="76">
        <f t="shared" si="2"/>
        <v>39</v>
      </c>
      <c r="S10" s="81">
        <f t="shared" si="3"/>
        <v>1.1794871794871795</v>
      </c>
      <c r="T10" s="98">
        <f t="shared" si="4"/>
        <v>4.1375960469276607E-2</v>
      </c>
      <c r="U10" s="12"/>
      <c r="V10" s="106">
        <f t="shared" si="5"/>
        <v>47218.275641795946</v>
      </c>
      <c r="W10" s="107">
        <f t="shared" si="6"/>
        <v>47218</v>
      </c>
      <c r="X10" s="1"/>
    </row>
    <row r="11" spans="1:24" ht="15" customHeight="1" x14ac:dyDescent="0.2">
      <c r="A11" s="95" t="s">
        <v>85</v>
      </c>
      <c r="B11" s="23">
        <v>3</v>
      </c>
      <c r="C11" s="16" t="s">
        <v>43</v>
      </c>
      <c r="D11" s="17" t="s">
        <v>44</v>
      </c>
      <c r="E11" s="16" t="s">
        <v>36</v>
      </c>
      <c r="F11" s="22" t="s">
        <v>10</v>
      </c>
      <c r="G11" s="119">
        <v>2998</v>
      </c>
      <c r="H11" s="67">
        <v>7042</v>
      </c>
      <c r="I11" s="67">
        <v>3368</v>
      </c>
      <c r="J11" s="67">
        <v>2822</v>
      </c>
      <c r="K11" s="67">
        <v>955</v>
      </c>
      <c r="L11" s="79">
        <f t="shared" si="1"/>
        <v>17185</v>
      </c>
      <c r="M11" s="73">
        <v>241</v>
      </c>
      <c r="N11" s="67">
        <v>325</v>
      </c>
      <c r="O11" s="67">
        <v>297</v>
      </c>
      <c r="P11" s="67">
        <v>341</v>
      </c>
      <c r="Q11" s="67">
        <v>356</v>
      </c>
      <c r="R11" s="76">
        <f t="shared" si="2"/>
        <v>1560</v>
      </c>
      <c r="S11" s="81">
        <f t="shared" si="3"/>
        <v>11.016025641025641</v>
      </c>
      <c r="T11" s="98">
        <f t="shared" si="4"/>
        <v>0.38643797862202089</v>
      </c>
      <c r="U11" s="12"/>
      <c r="V11" s="106">
        <f t="shared" si="5"/>
        <v>441003.29723057785</v>
      </c>
      <c r="W11" s="107">
        <f t="shared" si="6"/>
        <v>441003</v>
      </c>
      <c r="X11" s="1"/>
    </row>
    <row r="12" spans="1:24" ht="15" customHeight="1" thickBot="1" x14ac:dyDescent="0.25">
      <c r="A12" s="95" t="s">
        <v>86</v>
      </c>
      <c r="B12" s="24">
        <v>2</v>
      </c>
      <c r="C12" s="25" t="s">
        <v>45</v>
      </c>
      <c r="D12" s="26" t="s">
        <v>46</v>
      </c>
      <c r="E12" s="25" t="s">
        <v>36</v>
      </c>
      <c r="F12" s="27" t="s">
        <v>10</v>
      </c>
      <c r="G12" s="120">
        <v>325</v>
      </c>
      <c r="H12" s="121">
        <v>365</v>
      </c>
      <c r="I12" s="121">
        <v>136</v>
      </c>
      <c r="J12" s="121">
        <v>88</v>
      </c>
      <c r="K12" s="121">
        <v>141</v>
      </c>
      <c r="L12" s="122">
        <f t="shared" si="1"/>
        <v>1055</v>
      </c>
      <c r="M12" s="123">
        <v>31</v>
      </c>
      <c r="N12" s="121">
        <v>41</v>
      </c>
      <c r="O12" s="121">
        <v>43</v>
      </c>
      <c r="P12" s="121">
        <v>43</v>
      </c>
      <c r="Q12" s="121">
        <v>53</v>
      </c>
      <c r="R12" s="124">
        <f t="shared" si="2"/>
        <v>211</v>
      </c>
      <c r="S12" s="126">
        <f t="shared" si="3"/>
        <v>5</v>
      </c>
      <c r="T12" s="101">
        <f t="shared" si="4"/>
        <v>0.17539809329367256</v>
      </c>
      <c r="U12" s="12"/>
      <c r="V12" s="108">
        <f t="shared" si="5"/>
        <v>200164.4293510915</v>
      </c>
      <c r="W12" s="109">
        <f t="shared" si="6"/>
        <v>200164</v>
      </c>
      <c r="X12" s="1"/>
    </row>
    <row r="13" spans="1:24" ht="15" customHeight="1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85">
        <f>SUM(S7:S12)</f>
        <v>28.5065812638476</v>
      </c>
      <c r="T13" s="1"/>
      <c r="U13" s="1"/>
      <c r="V13" s="1"/>
      <c r="W13" s="1"/>
      <c r="X13" s="1"/>
    </row>
    <row r="14" spans="1:24" hidden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4" hidden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4" hidden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idden="1" x14ac:dyDescent="0.15"/>
    <row r="18" ht="0" hidden="1" customHeight="1" x14ac:dyDescent="0.15"/>
    <row r="19" ht="0" hidden="1" customHeight="1" x14ac:dyDescent="0.15"/>
    <row r="20" ht="0" hidden="1" customHeight="1" x14ac:dyDescent="0.15"/>
    <row r="21" ht="0" hidden="1" customHeight="1" x14ac:dyDescent="0.15"/>
    <row r="22" ht="0" hidden="1" customHeight="1" x14ac:dyDescent="0.15"/>
    <row r="23" ht="0" hidden="1" customHeight="1" x14ac:dyDescent="0.15"/>
    <row r="24" ht="0" hidden="1" customHeight="1" x14ac:dyDescent="0.15"/>
    <row r="25" ht="0" hidden="1" customHeight="1" x14ac:dyDescent="0.15"/>
    <row r="26" ht="0" hidden="1" customHeight="1" x14ac:dyDescent="0.15"/>
    <row r="27" ht="0" hidden="1" customHeight="1" x14ac:dyDescent="0.15"/>
    <row r="28" ht="0" hidden="1" customHeight="1" x14ac:dyDescent="0.15"/>
    <row r="29" ht="0" hidden="1" customHeight="1" x14ac:dyDescent="0.15"/>
    <row r="30" ht="0" hidden="1" customHeight="1" x14ac:dyDescent="0.15"/>
    <row r="31" ht="0" hidden="1" customHeight="1" x14ac:dyDescent="0.15"/>
    <row r="32" ht="0" hidden="1" customHeight="1" x14ac:dyDescent="0.15"/>
    <row r="33" ht="0" hidden="1" customHeight="1" x14ac:dyDescent="0.15"/>
    <row r="34" ht="0" hidden="1" customHeight="1" x14ac:dyDescent="0.15"/>
    <row r="35" ht="0" hidden="1" customHeight="1" x14ac:dyDescent="0.15"/>
  </sheetData>
  <mergeCells count="15">
    <mergeCell ref="D4:D6"/>
    <mergeCell ref="C4:C6"/>
    <mergeCell ref="B4:B6"/>
    <mergeCell ref="W5:W6"/>
    <mergeCell ref="V5:V6"/>
    <mergeCell ref="V4:W4"/>
    <mergeCell ref="F4:F6"/>
    <mergeCell ref="E4:E6"/>
    <mergeCell ref="S5:S6"/>
    <mergeCell ref="G4:T4"/>
    <mergeCell ref="M5:Q5"/>
    <mergeCell ref="G5:K5"/>
    <mergeCell ref="R5:R6"/>
    <mergeCell ref="L5:L6"/>
    <mergeCell ref="T5:T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V35"/>
  <sheetViews>
    <sheetView workbookViewId="0">
      <selection activeCell="N11" sqref="N11"/>
    </sheetView>
  </sheetViews>
  <sheetFormatPr baseColWidth="10" defaultColWidth="0" defaultRowHeight="15" customHeight="1" zeroHeight="1" x14ac:dyDescent="0.15"/>
  <cols>
    <col min="1" max="1" width="5.6640625" style="2" customWidth="1"/>
    <col min="2" max="3" width="10.6640625" style="2" customWidth="1"/>
    <col min="4" max="4" width="45.5" style="2" bestFit="1" customWidth="1"/>
    <col min="5" max="18" width="10.6640625" style="2" customWidth="1"/>
    <col min="19" max="19" width="1.6640625" style="2" customWidth="1"/>
    <col min="20" max="21" width="15.6640625" style="2" customWidth="1"/>
    <col min="22" max="22" width="1.6640625" style="2" customWidth="1"/>
    <col min="23" max="16384" width="11.5" style="2" hidden="1"/>
  </cols>
  <sheetData>
    <row r="1" spans="1:22" s="13" customFormat="1" ht="15" customHeight="1" x14ac:dyDescent="0.2">
      <c r="A1" s="50" t="s">
        <v>63</v>
      </c>
      <c r="B1" s="50"/>
      <c r="C1" s="18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49" t="s">
        <v>58</v>
      </c>
      <c r="T1" s="131">
        <f>+PPTO!I12</f>
        <v>1141200.7142857143</v>
      </c>
      <c r="U1" s="12"/>
      <c r="V1" s="12"/>
    </row>
    <row r="2" spans="1:22" s="13" customFormat="1" ht="15" customHeight="1" x14ac:dyDescent="0.2">
      <c r="A2" s="12"/>
      <c r="B2" s="20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25" customHeight="1" thickBot="1" x14ac:dyDescent="0.25">
      <c r="A3" s="1"/>
      <c r="B3" s="93" t="s">
        <v>87</v>
      </c>
      <c r="C3" s="93" t="s">
        <v>88</v>
      </c>
      <c r="D3" s="93" t="s">
        <v>89</v>
      </c>
      <c r="E3" s="93" t="s">
        <v>90</v>
      </c>
      <c r="F3" s="93" t="s">
        <v>91</v>
      </c>
      <c r="G3" s="93" t="s">
        <v>92</v>
      </c>
      <c r="H3" s="93" t="s">
        <v>93</v>
      </c>
      <c r="I3" s="93" t="s">
        <v>94</v>
      </c>
      <c r="J3" s="93" t="s">
        <v>95</v>
      </c>
      <c r="K3" s="93" t="s">
        <v>96</v>
      </c>
      <c r="L3" s="93" t="s">
        <v>98</v>
      </c>
      <c r="M3" s="93" t="s">
        <v>99</v>
      </c>
      <c r="N3" s="93" t="s">
        <v>100</v>
      </c>
      <c r="O3" s="93" t="s">
        <v>101</v>
      </c>
      <c r="P3" s="93" t="s">
        <v>102</v>
      </c>
      <c r="Q3" s="93" t="s">
        <v>103</v>
      </c>
      <c r="R3" s="93" t="s">
        <v>104</v>
      </c>
      <c r="S3" s="12"/>
      <c r="T3" s="89" t="s">
        <v>105</v>
      </c>
      <c r="U3" s="89" t="s">
        <v>106</v>
      </c>
      <c r="V3" s="1"/>
    </row>
    <row r="4" spans="1:22" ht="15" customHeight="1" x14ac:dyDescent="0.2">
      <c r="A4" s="1"/>
      <c r="B4" s="280" t="s">
        <v>0</v>
      </c>
      <c r="C4" s="277" t="s">
        <v>1</v>
      </c>
      <c r="D4" s="277" t="s">
        <v>2</v>
      </c>
      <c r="E4" s="277" t="s">
        <v>3</v>
      </c>
      <c r="F4" s="274" t="s">
        <v>31</v>
      </c>
      <c r="G4" s="264" t="s">
        <v>117</v>
      </c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6"/>
      <c r="S4" s="12"/>
      <c r="T4" s="252" t="s">
        <v>113</v>
      </c>
      <c r="U4" s="253"/>
      <c r="V4" s="1"/>
    </row>
    <row r="5" spans="1:22" s="5" customFormat="1" ht="25" customHeight="1" x14ac:dyDescent="0.2">
      <c r="A5" s="43"/>
      <c r="B5" s="281"/>
      <c r="C5" s="278"/>
      <c r="D5" s="278"/>
      <c r="E5" s="278"/>
      <c r="F5" s="275"/>
      <c r="G5" s="286" t="s">
        <v>132</v>
      </c>
      <c r="H5" s="287"/>
      <c r="I5" s="287"/>
      <c r="J5" s="287" t="s">
        <v>75</v>
      </c>
      <c r="K5" s="287" t="s">
        <v>111</v>
      </c>
      <c r="L5" s="287" t="s">
        <v>76</v>
      </c>
      <c r="M5" s="287" t="s">
        <v>77</v>
      </c>
      <c r="N5" s="287" t="s">
        <v>78</v>
      </c>
      <c r="O5" s="287" t="s">
        <v>79</v>
      </c>
      <c r="P5" s="288" t="s">
        <v>112</v>
      </c>
      <c r="Q5" s="260" t="s">
        <v>80</v>
      </c>
      <c r="R5" s="272" t="s">
        <v>4</v>
      </c>
      <c r="S5" s="12"/>
      <c r="T5" s="251" t="s">
        <v>5</v>
      </c>
      <c r="U5" s="259" t="s">
        <v>6</v>
      </c>
      <c r="V5" s="43"/>
    </row>
    <row r="6" spans="1:22" s="5" customFormat="1" ht="25" customHeight="1" x14ac:dyDescent="0.2">
      <c r="A6" s="43"/>
      <c r="B6" s="282"/>
      <c r="C6" s="279"/>
      <c r="D6" s="279"/>
      <c r="E6" s="279"/>
      <c r="F6" s="276"/>
      <c r="G6" s="186" t="s">
        <v>131</v>
      </c>
      <c r="H6" s="187" t="s">
        <v>73</v>
      </c>
      <c r="I6" s="187" t="s">
        <v>74</v>
      </c>
      <c r="J6" s="290"/>
      <c r="K6" s="290"/>
      <c r="L6" s="290"/>
      <c r="M6" s="290"/>
      <c r="N6" s="290"/>
      <c r="O6" s="290"/>
      <c r="P6" s="289"/>
      <c r="Q6" s="285"/>
      <c r="R6" s="273"/>
      <c r="S6" s="12"/>
      <c r="T6" s="284"/>
      <c r="U6" s="283"/>
      <c r="V6" s="43"/>
    </row>
    <row r="7" spans="1:22" ht="15" customHeight="1" x14ac:dyDescent="0.2">
      <c r="A7" s="95" t="s">
        <v>81</v>
      </c>
      <c r="B7" s="97">
        <v>11</v>
      </c>
      <c r="C7" s="14" t="s">
        <v>34</v>
      </c>
      <c r="D7" s="15" t="s">
        <v>35</v>
      </c>
      <c r="E7" s="14" t="s">
        <v>36</v>
      </c>
      <c r="F7" s="110" t="s">
        <v>10</v>
      </c>
      <c r="G7" s="113">
        <v>5</v>
      </c>
      <c r="H7" s="69">
        <v>2</v>
      </c>
      <c r="I7" s="69">
        <v>10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72">
        <v>0</v>
      </c>
      <c r="Q7" s="28">
        <f>SUM(G7:P7)</f>
        <v>17</v>
      </c>
      <c r="R7" s="114">
        <f>IFERROR(Q7/$Q$13,0)</f>
        <v>6.6666666666666666E-2</v>
      </c>
      <c r="S7" s="12"/>
      <c r="T7" s="127">
        <f>+$T$1*R7</f>
        <v>76080.047619047618</v>
      </c>
      <c r="U7" s="128">
        <f>ROUND(T7,0)</f>
        <v>76080</v>
      </c>
      <c r="V7" s="1"/>
    </row>
    <row r="8" spans="1:22" ht="15" customHeight="1" x14ac:dyDescent="0.2">
      <c r="A8" s="95" t="s">
        <v>82</v>
      </c>
      <c r="B8" s="23">
        <v>69</v>
      </c>
      <c r="C8" s="16" t="s">
        <v>37</v>
      </c>
      <c r="D8" s="17" t="s">
        <v>38</v>
      </c>
      <c r="E8" s="16" t="s">
        <v>36</v>
      </c>
      <c r="F8" s="22" t="s">
        <v>10</v>
      </c>
      <c r="G8" s="115">
        <v>28</v>
      </c>
      <c r="H8" s="70">
        <v>12</v>
      </c>
      <c r="I8" s="70">
        <v>20</v>
      </c>
      <c r="J8" s="70">
        <v>0</v>
      </c>
      <c r="K8" s="70">
        <v>2</v>
      </c>
      <c r="L8" s="70">
        <v>1</v>
      </c>
      <c r="M8" s="70">
        <v>0</v>
      </c>
      <c r="N8" s="70">
        <v>0</v>
      </c>
      <c r="O8" s="70">
        <v>2</v>
      </c>
      <c r="P8" s="74">
        <v>0</v>
      </c>
      <c r="Q8" s="77">
        <f t="shared" ref="Q8:Q12" si="0">SUM(G8:P8)</f>
        <v>65</v>
      </c>
      <c r="R8" s="98">
        <f t="shared" ref="R8:R12" si="1">IFERROR(Q8/$Q$13,0)</f>
        <v>0.25490196078431371</v>
      </c>
      <c r="S8" s="12"/>
      <c r="T8" s="106">
        <f t="shared" ref="T8:T12" si="2">+$T$1*R8</f>
        <v>290894.29971988796</v>
      </c>
      <c r="U8" s="107">
        <f t="shared" ref="U8:U12" si="3">ROUND(T8,0)</f>
        <v>290894</v>
      </c>
      <c r="V8" s="1"/>
    </row>
    <row r="9" spans="1:22" ht="15" customHeight="1" x14ac:dyDescent="0.2">
      <c r="A9" s="95" t="s">
        <v>83</v>
      </c>
      <c r="B9" s="23">
        <v>31</v>
      </c>
      <c r="C9" s="16" t="s">
        <v>39</v>
      </c>
      <c r="D9" s="17" t="s">
        <v>40</v>
      </c>
      <c r="E9" s="16" t="s">
        <v>36</v>
      </c>
      <c r="F9" s="22" t="s">
        <v>10</v>
      </c>
      <c r="G9" s="115">
        <v>13</v>
      </c>
      <c r="H9" s="70">
        <v>10</v>
      </c>
      <c r="I9" s="70">
        <v>30</v>
      </c>
      <c r="J9" s="70">
        <v>0</v>
      </c>
      <c r="K9" s="70">
        <v>3</v>
      </c>
      <c r="L9" s="70">
        <v>0</v>
      </c>
      <c r="M9" s="70">
        <v>0</v>
      </c>
      <c r="N9" s="70">
        <v>2</v>
      </c>
      <c r="O9" s="70">
        <v>0</v>
      </c>
      <c r="P9" s="74">
        <v>0</v>
      </c>
      <c r="Q9" s="77">
        <f t="shared" si="0"/>
        <v>58</v>
      </c>
      <c r="R9" s="98">
        <f t="shared" si="1"/>
        <v>0.22745098039215686</v>
      </c>
      <c r="S9" s="12"/>
      <c r="T9" s="106">
        <f t="shared" si="2"/>
        <v>259567.2212885154</v>
      </c>
      <c r="U9" s="107">
        <f t="shared" si="3"/>
        <v>259567</v>
      </c>
      <c r="V9" s="1"/>
    </row>
    <row r="10" spans="1:22" ht="15" customHeight="1" x14ac:dyDescent="0.2">
      <c r="A10" s="95" t="s">
        <v>84</v>
      </c>
      <c r="B10" s="23">
        <v>42</v>
      </c>
      <c r="C10" s="16" t="s">
        <v>41</v>
      </c>
      <c r="D10" s="17" t="s">
        <v>42</v>
      </c>
      <c r="E10" s="16" t="s">
        <v>36</v>
      </c>
      <c r="F10" s="22" t="s">
        <v>10</v>
      </c>
      <c r="G10" s="115">
        <v>2</v>
      </c>
      <c r="H10" s="70">
        <v>2</v>
      </c>
      <c r="I10" s="70">
        <v>4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4">
        <v>0</v>
      </c>
      <c r="Q10" s="77">
        <f t="shared" si="0"/>
        <v>8</v>
      </c>
      <c r="R10" s="98">
        <f t="shared" si="1"/>
        <v>3.1372549019607843E-2</v>
      </c>
      <c r="S10" s="12"/>
      <c r="T10" s="106">
        <f t="shared" si="2"/>
        <v>35802.375350140057</v>
      </c>
      <c r="U10" s="107">
        <f t="shared" si="3"/>
        <v>35802</v>
      </c>
      <c r="V10" s="1"/>
    </row>
    <row r="11" spans="1:22" ht="15" customHeight="1" x14ac:dyDescent="0.2">
      <c r="A11" s="95" t="s">
        <v>85</v>
      </c>
      <c r="B11" s="23">
        <v>3</v>
      </c>
      <c r="C11" s="16" t="s">
        <v>43</v>
      </c>
      <c r="D11" s="17" t="s">
        <v>44</v>
      </c>
      <c r="E11" s="16" t="s">
        <v>36</v>
      </c>
      <c r="F11" s="22" t="s">
        <v>10</v>
      </c>
      <c r="G11" s="115">
        <v>47</v>
      </c>
      <c r="H11" s="70">
        <v>20</v>
      </c>
      <c r="I11" s="70">
        <v>17</v>
      </c>
      <c r="J11" s="70">
        <v>0</v>
      </c>
      <c r="K11" s="70">
        <v>5</v>
      </c>
      <c r="L11" s="70">
        <v>2</v>
      </c>
      <c r="M11" s="70">
        <v>7</v>
      </c>
      <c r="N11" s="70">
        <v>0</v>
      </c>
      <c r="O11" s="70">
        <v>0</v>
      </c>
      <c r="P11" s="74">
        <v>1</v>
      </c>
      <c r="Q11" s="77">
        <f t="shared" si="0"/>
        <v>99</v>
      </c>
      <c r="R11" s="98">
        <f t="shared" si="1"/>
        <v>0.38823529411764707</v>
      </c>
      <c r="S11" s="12"/>
      <c r="T11" s="106">
        <f t="shared" si="2"/>
        <v>443054.39495798323</v>
      </c>
      <c r="U11" s="107">
        <f t="shared" si="3"/>
        <v>443054</v>
      </c>
      <c r="V11" s="1"/>
    </row>
    <row r="12" spans="1:22" ht="15" customHeight="1" thickBot="1" x14ac:dyDescent="0.25">
      <c r="A12" s="95" t="s">
        <v>86</v>
      </c>
      <c r="B12" s="24">
        <v>2</v>
      </c>
      <c r="C12" s="25" t="s">
        <v>45</v>
      </c>
      <c r="D12" s="26" t="s">
        <v>46</v>
      </c>
      <c r="E12" s="25" t="s">
        <v>36</v>
      </c>
      <c r="F12" s="27" t="s">
        <v>10</v>
      </c>
      <c r="G12" s="116">
        <v>1</v>
      </c>
      <c r="H12" s="129">
        <v>2</v>
      </c>
      <c r="I12" s="129">
        <v>4</v>
      </c>
      <c r="J12" s="129">
        <v>0</v>
      </c>
      <c r="K12" s="129">
        <v>1</v>
      </c>
      <c r="L12" s="129">
        <v>0</v>
      </c>
      <c r="M12" s="129">
        <v>0</v>
      </c>
      <c r="N12" s="129">
        <v>0</v>
      </c>
      <c r="O12" s="129">
        <v>0</v>
      </c>
      <c r="P12" s="130">
        <v>0</v>
      </c>
      <c r="Q12" s="125">
        <f t="shared" si="0"/>
        <v>8</v>
      </c>
      <c r="R12" s="101">
        <f t="shared" si="1"/>
        <v>3.1372549019607843E-2</v>
      </c>
      <c r="S12" s="12"/>
      <c r="T12" s="108">
        <f t="shared" si="2"/>
        <v>35802.375350140057</v>
      </c>
      <c r="U12" s="109">
        <f t="shared" si="3"/>
        <v>35802</v>
      </c>
      <c r="V12" s="1"/>
    </row>
    <row r="13" spans="1:22" ht="15" customHeight="1" thickBot="1" x14ac:dyDescent="0.2">
      <c r="A13" s="1"/>
      <c r="B13" s="1"/>
      <c r="C13" s="1"/>
      <c r="D13" s="1"/>
      <c r="E13" s="1"/>
      <c r="F13" s="1"/>
      <c r="G13" s="227">
        <f>SUM(G7:G12)</f>
        <v>96</v>
      </c>
      <c r="H13" s="225">
        <f t="shared" ref="H13:P13" si="4">SUM(H7:H12)</f>
        <v>48</v>
      </c>
      <c r="I13" s="225">
        <f t="shared" si="4"/>
        <v>85</v>
      </c>
      <c r="J13" s="225">
        <f t="shared" si="4"/>
        <v>0</v>
      </c>
      <c r="K13" s="225">
        <f t="shared" si="4"/>
        <v>11</v>
      </c>
      <c r="L13" s="225">
        <f t="shared" si="4"/>
        <v>3</v>
      </c>
      <c r="M13" s="225">
        <f t="shared" si="4"/>
        <v>7</v>
      </c>
      <c r="N13" s="225">
        <f t="shared" si="4"/>
        <v>2</v>
      </c>
      <c r="O13" s="225">
        <f t="shared" si="4"/>
        <v>2</v>
      </c>
      <c r="P13" s="226">
        <f t="shared" si="4"/>
        <v>1</v>
      </c>
      <c r="Q13" s="188">
        <f>SUM(Q7:Q12)</f>
        <v>255</v>
      </c>
      <c r="R13" s="1"/>
      <c r="S13" s="1"/>
      <c r="T13" s="1"/>
      <c r="U13" s="1"/>
      <c r="V13" s="1"/>
    </row>
    <row r="14" spans="1:22" ht="15" hidden="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hidden="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hidden="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ht="15" hidden="1" customHeight="1" x14ac:dyDescent="0.15"/>
    <row r="18" ht="15" hidden="1" customHeight="1" x14ac:dyDescent="0.15"/>
    <row r="19" ht="15" hidden="1" customHeight="1" x14ac:dyDescent="0.15"/>
    <row r="20" ht="15" hidden="1" customHeight="1" x14ac:dyDescent="0.15"/>
    <row r="21" ht="15" hidden="1" customHeight="1" x14ac:dyDescent="0.15"/>
    <row r="22" ht="15" hidden="1" customHeight="1" x14ac:dyDescent="0.15"/>
    <row r="23" ht="15" hidden="1" customHeight="1" x14ac:dyDescent="0.15"/>
    <row r="24" ht="15" hidden="1" customHeight="1" x14ac:dyDescent="0.15"/>
    <row r="25" ht="15" hidden="1" customHeight="1" x14ac:dyDescent="0.15"/>
    <row r="26" ht="15" hidden="1" customHeight="1" x14ac:dyDescent="0.15"/>
    <row r="27" ht="15" hidden="1" customHeight="1" x14ac:dyDescent="0.15"/>
    <row r="28" ht="15" hidden="1" customHeight="1" x14ac:dyDescent="0.15"/>
    <row r="29" ht="15" hidden="1" customHeight="1" x14ac:dyDescent="0.15"/>
    <row r="30" ht="15" hidden="1" customHeight="1" x14ac:dyDescent="0.15"/>
    <row r="31" ht="15" hidden="1" customHeight="1" x14ac:dyDescent="0.15"/>
    <row r="32" ht="15" hidden="1" customHeight="1" x14ac:dyDescent="0.15"/>
    <row r="33" ht="15" hidden="1" customHeight="1" x14ac:dyDescent="0.15"/>
    <row r="34" ht="15" hidden="1" customHeight="1" x14ac:dyDescent="0.15"/>
    <row r="35" ht="15" hidden="1" customHeight="1" x14ac:dyDescent="0.15"/>
  </sheetData>
  <mergeCells count="19">
    <mergeCell ref="U5:U6"/>
    <mergeCell ref="T5:T6"/>
    <mergeCell ref="R5:R6"/>
    <mergeCell ref="Q5:Q6"/>
    <mergeCell ref="T4:U4"/>
    <mergeCell ref="G4:R4"/>
    <mergeCell ref="G5:I5"/>
    <mergeCell ref="P5:P6"/>
    <mergeCell ref="O5:O6"/>
    <mergeCell ref="N5:N6"/>
    <mergeCell ref="M5:M6"/>
    <mergeCell ref="L5:L6"/>
    <mergeCell ref="K5:K6"/>
    <mergeCell ref="J5:J6"/>
    <mergeCell ref="F4:F6"/>
    <mergeCell ref="E4:E6"/>
    <mergeCell ref="D4:D6"/>
    <mergeCell ref="C4:C6"/>
    <mergeCell ref="B4:B6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AE16"/>
  <sheetViews>
    <sheetView topLeftCell="E1" workbookViewId="0">
      <selection activeCell="M6" sqref="M6:M11"/>
    </sheetView>
  </sheetViews>
  <sheetFormatPr baseColWidth="10" defaultColWidth="0" defaultRowHeight="0" customHeight="1" zeroHeight="1" x14ac:dyDescent="0.15"/>
  <cols>
    <col min="1" max="1" width="5.6640625" style="2" customWidth="1"/>
    <col min="2" max="3" width="10.6640625" style="2" customWidth="1"/>
    <col min="4" max="4" width="45.5" style="2" bestFit="1" customWidth="1"/>
    <col min="5" max="5" width="10.6640625" style="2" customWidth="1"/>
    <col min="6" max="12" width="9.6640625" style="2" customWidth="1"/>
    <col min="13" max="13" width="10.6640625" style="2" customWidth="1"/>
    <col min="14" max="16" width="9.6640625" style="2" customWidth="1"/>
    <col min="17" max="17" width="10.6640625" style="2" customWidth="1"/>
    <col min="18" max="18" width="1.6640625" style="2" customWidth="1"/>
    <col min="19" max="20" width="15.6640625" style="2" customWidth="1"/>
    <col min="21" max="21" width="1.6640625" style="2" customWidth="1"/>
    <col min="22" max="31" width="0" style="2" hidden="1" customWidth="1"/>
    <col min="32" max="16384" width="11.5" style="2" hidden="1"/>
  </cols>
  <sheetData>
    <row r="1" spans="1:21" s="13" customFormat="1" ht="15" customHeight="1" x14ac:dyDescent="0.2">
      <c r="A1" s="50" t="s">
        <v>61</v>
      </c>
      <c r="B1" s="50"/>
      <c r="C1" s="18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49" t="s">
        <v>58</v>
      </c>
      <c r="S1" s="131">
        <f>+PPTO!I10</f>
        <v>1141200.7142857143</v>
      </c>
      <c r="T1" s="12"/>
      <c r="U1" s="12"/>
    </row>
    <row r="2" spans="1:21" s="13" customFormat="1" ht="15" customHeight="1" x14ac:dyDescent="0.2">
      <c r="A2" s="12"/>
      <c r="B2" s="20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5" customHeight="1" thickBot="1" x14ac:dyDescent="0.2">
      <c r="A3" s="94"/>
      <c r="B3" s="93" t="s">
        <v>87</v>
      </c>
      <c r="C3" s="93" t="s">
        <v>88</v>
      </c>
      <c r="D3" s="93" t="s">
        <v>89</v>
      </c>
      <c r="E3" s="93" t="s">
        <v>90</v>
      </c>
      <c r="F3" s="93" t="s">
        <v>91</v>
      </c>
      <c r="G3" s="93" t="s">
        <v>92</v>
      </c>
      <c r="H3" s="93" t="s">
        <v>93</v>
      </c>
      <c r="I3" s="93" t="s">
        <v>94</v>
      </c>
      <c r="J3" s="93" t="s">
        <v>95</v>
      </c>
      <c r="K3" s="93" t="s">
        <v>96</v>
      </c>
      <c r="L3" s="93" t="s">
        <v>98</v>
      </c>
      <c r="M3" s="93" t="s">
        <v>99</v>
      </c>
      <c r="N3" s="93" t="s">
        <v>100</v>
      </c>
      <c r="O3" s="93" t="s">
        <v>101</v>
      </c>
      <c r="P3" s="93" t="s">
        <v>102</v>
      </c>
      <c r="Q3" s="93" t="s">
        <v>103</v>
      </c>
      <c r="R3" s="94"/>
      <c r="S3" s="89" t="s">
        <v>104</v>
      </c>
      <c r="T3" s="89" t="s">
        <v>105</v>
      </c>
      <c r="U3" s="1"/>
    </row>
    <row r="4" spans="1:21" s="4" customFormat="1" ht="36.75" customHeight="1" x14ac:dyDescent="0.2">
      <c r="A4" s="3"/>
      <c r="B4" s="280" t="s">
        <v>0</v>
      </c>
      <c r="C4" s="277" t="s">
        <v>1</v>
      </c>
      <c r="D4" s="277" t="s">
        <v>2</v>
      </c>
      <c r="E4" s="277" t="s">
        <v>137</v>
      </c>
      <c r="F4" s="274" t="s">
        <v>31</v>
      </c>
      <c r="G4" s="264" t="s">
        <v>67</v>
      </c>
      <c r="H4" s="265"/>
      <c r="I4" s="265"/>
      <c r="J4" s="292"/>
      <c r="K4" s="291" t="s">
        <v>135</v>
      </c>
      <c r="L4" s="265"/>
      <c r="M4" s="292"/>
      <c r="N4" s="291" t="s">
        <v>136</v>
      </c>
      <c r="O4" s="265"/>
      <c r="P4" s="265"/>
      <c r="Q4" s="266"/>
      <c r="R4" s="12"/>
      <c r="S4" s="252" t="s">
        <v>113</v>
      </c>
      <c r="T4" s="253"/>
      <c r="U4" s="3"/>
    </row>
    <row r="5" spans="1:21" s="5" customFormat="1" ht="24" x14ac:dyDescent="0.2">
      <c r="A5" s="43"/>
      <c r="B5" s="282"/>
      <c r="C5" s="279"/>
      <c r="D5" s="279"/>
      <c r="E5" s="279"/>
      <c r="F5" s="276"/>
      <c r="G5" s="143">
        <v>2015</v>
      </c>
      <c r="H5" s="143">
        <v>2016</v>
      </c>
      <c r="I5" s="143">
        <v>2017</v>
      </c>
      <c r="J5" s="143">
        <v>2018</v>
      </c>
      <c r="K5" s="168" t="s">
        <v>114</v>
      </c>
      <c r="L5" s="169" t="s">
        <v>126</v>
      </c>
      <c r="M5" s="177" t="s">
        <v>127</v>
      </c>
      <c r="N5" s="190" t="s">
        <v>133</v>
      </c>
      <c r="O5" s="201" t="s">
        <v>134</v>
      </c>
      <c r="P5" s="169" t="s">
        <v>126</v>
      </c>
      <c r="Q5" s="194" t="s">
        <v>128</v>
      </c>
      <c r="R5" s="12"/>
      <c r="S5" s="142" t="s">
        <v>5</v>
      </c>
      <c r="T5" s="144" t="s">
        <v>6</v>
      </c>
      <c r="U5" s="43"/>
    </row>
    <row r="6" spans="1:21" ht="15" customHeight="1" x14ac:dyDescent="0.2">
      <c r="A6" s="95" t="s">
        <v>81</v>
      </c>
      <c r="B6" s="97">
        <v>11</v>
      </c>
      <c r="C6" s="14" t="s">
        <v>34</v>
      </c>
      <c r="D6" s="15" t="s">
        <v>35</v>
      </c>
      <c r="E6" s="14" t="s">
        <v>36</v>
      </c>
      <c r="F6" s="110" t="s">
        <v>10</v>
      </c>
      <c r="G6" s="28">
        <f>VLOOKUP($B6,'4 Publicaciones x Acad'!$B$7:$K$12,7,FALSE)</f>
        <v>14</v>
      </c>
      <c r="H6" s="28">
        <f>VLOOKUP($B6,'4 Publicaciones x Acad'!$B$7:$K$12,8,FALSE)</f>
        <v>29</v>
      </c>
      <c r="I6" s="28">
        <f>VLOOKUP($B6,'4 Publicaciones x Acad'!$B$7:$K$12,9,FALSE)</f>
        <v>20</v>
      </c>
      <c r="J6" s="28">
        <f>VLOOKUP($B6,'4 Publicaciones x Acad'!$B$7:$K$12,10,FALSE)</f>
        <v>41</v>
      </c>
      <c r="K6" s="195">
        <f t="shared" ref="K6:K11" si="0">SUM(H6:J6)</f>
        <v>90</v>
      </c>
      <c r="L6" s="163">
        <f>+K6/$K$12</f>
        <v>2.8957528957528959E-2</v>
      </c>
      <c r="M6" s="198">
        <f>+$S$1*0.7*L6</f>
        <v>23132.446911196912</v>
      </c>
      <c r="N6" s="191">
        <f t="shared" ref="N6:N11" si="1">SUM(G6:I6)</f>
        <v>63</v>
      </c>
      <c r="O6" s="189">
        <f>IF((K6/N6)-1&gt;0,(K6/N6)-1,0)</f>
        <v>0.4285714285714286</v>
      </c>
      <c r="P6" s="163">
        <f>+O6/$O$12</f>
        <v>0.52172446369925651</v>
      </c>
      <c r="Q6" s="210">
        <f>+$S$1*0.3*P6</f>
        <v>178617.69919017682</v>
      </c>
      <c r="R6" s="12"/>
      <c r="S6" s="104">
        <f>+M6+Q6</f>
        <v>201750.14610137374</v>
      </c>
      <c r="T6" s="105">
        <f>ROUND(S6,0)</f>
        <v>201750</v>
      </c>
      <c r="U6" s="1"/>
    </row>
    <row r="7" spans="1:21" ht="15" customHeight="1" x14ac:dyDescent="0.2">
      <c r="A7" s="95" t="s">
        <v>82</v>
      </c>
      <c r="B7" s="23">
        <v>69</v>
      </c>
      <c r="C7" s="16" t="s">
        <v>37</v>
      </c>
      <c r="D7" s="17" t="s">
        <v>38</v>
      </c>
      <c r="E7" s="16" t="s">
        <v>36</v>
      </c>
      <c r="F7" s="22" t="s">
        <v>10</v>
      </c>
      <c r="G7" s="77">
        <f>VLOOKUP($B7,'4 Publicaciones x Acad'!$B$7:$K$12,7,FALSE)</f>
        <v>76</v>
      </c>
      <c r="H7" s="77">
        <f>VLOOKUP($B7,'4 Publicaciones x Acad'!$B$7:$K$12,8,FALSE)</f>
        <v>102</v>
      </c>
      <c r="I7" s="77">
        <f>VLOOKUP($B7,'4 Publicaciones x Acad'!$B$7:$K$12,9,FALSE)</f>
        <v>128</v>
      </c>
      <c r="J7" s="77">
        <f>VLOOKUP($B7,'4 Publicaciones x Acad'!$B$7:$K$12,10,FALSE)</f>
        <v>125</v>
      </c>
      <c r="K7" s="196">
        <f t="shared" si="0"/>
        <v>355</v>
      </c>
      <c r="L7" s="164">
        <f t="shared" ref="L7:L11" si="2">+K7/$K$12</f>
        <v>0.11422136422136422</v>
      </c>
      <c r="M7" s="199">
        <f t="shared" ref="M7:M11" si="3">+$S$1*0.7*L7</f>
        <v>91244.651705276701</v>
      </c>
      <c r="N7" s="192">
        <f t="shared" si="1"/>
        <v>306</v>
      </c>
      <c r="O7" s="166">
        <f t="shared" ref="O7:O11" si="4">IF((K7/N7)-1&gt;0,(K7/N7)-1,0)</f>
        <v>0.16013071895424846</v>
      </c>
      <c r="P7" s="164">
        <f t="shared" ref="P7:P11" si="5">+O7/$O$12</f>
        <v>0.19493626475909051</v>
      </c>
      <c r="Q7" s="211">
        <f t="shared" ref="Q7:Q11" si="6">+$S$1*0.3*P7</f>
        <v>66738.421374978963</v>
      </c>
      <c r="R7" s="12"/>
      <c r="S7" s="106">
        <f t="shared" ref="S7:S11" si="7">+M7+Q7</f>
        <v>157983.07308025565</v>
      </c>
      <c r="T7" s="107">
        <f t="shared" ref="T7:T11" si="8">ROUND(S7,0)</f>
        <v>157983</v>
      </c>
      <c r="U7" s="1"/>
    </row>
    <row r="8" spans="1:21" ht="15" customHeight="1" x14ac:dyDescent="0.2">
      <c r="A8" s="95" t="s">
        <v>83</v>
      </c>
      <c r="B8" s="23">
        <v>31</v>
      </c>
      <c r="C8" s="16" t="s">
        <v>39</v>
      </c>
      <c r="D8" s="17" t="s">
        <v>40</v>
      </c>
      <c r="E8" s="16" t="s">
        <v>36</v>
      </c>
      <c r="F8" s="22" t="s">
        <v>10</v>
      </c>
      <c r="G8" s="77">
        <f>VLOOKUP($B8,'4 Publicaciones x Acad'!$B$7:$K$12,7,FALSE)</f>
        <v>387</v>
      </c>
      <c r="H8" s="77">
        <f>VLOOKUP($B8,'4 Publicaciones x Acad'!$B$7:$K$12,8,FALSE)</f>
        <v>378</v>
      </c>
      <c r="I8" s="77">
        <f>VLOOKUP($B8,'4 Publicaciones x Acad'!$B$7:$K$12,9,FALSE)</f>
        <v>431</v>
      </c>
      <c r="J8" s="77">
        <f>VLOOKUP($B8,'4 Publicaciones x Acad'!$B$7:$K$12,10,FALSE)</f>
        <v>508</v>
      </c>
      <c r="K8" s="196">
        <f t="shared" si="0"/>
        <v>1317</v>
      </c>
      <c r="L8" s="164">
        <f t="shared" si="2"/>
        <v>0.42374517374517373</v>
      </c>
      <c r="M8" s="199">
        <f t="shared" si="3"/>
        <v>338504.80646718148</v>
      </c>
      <c r="N8" s="192">
        <f t="shared" si="1"/>
        <v>1196</v>
      </c>
      <c r="O8" s="166">
        <f t="shared" si="4"/>
        <v>0.1011705685618729</v>
      </c>
      <c r="P8" s="164">
        <f t="shared" si="5"/>
        <v>0.12316070812521465</v>
      </c>
      <c r="Q8" s="211">
        <f t="shared" si="6"/>
        <v>42165.3264253288</v>
      </c>
      <c r="R8" s="12"/>
      <c r="S8" s="106">
        <f t="shared" si="7"/>
        <v>380670.13289251027</v>
      </c>
      <c r="T8" s="107">
        <f t="shared" si="8"/>
        <v>380670</v>
      </c>
      <c r="U8" s="1"/>
    </row>
    <row r="9" spans="1:21" ht="15" customHeight="1" x14ac:dyDescent="0.2">
      <c r="A9" s="95" t="s">
        <v>84</v>
      </c>
      <c r="B9" s="23">
        <v>42</v>
      </c>
      <c r="C9" s="16" t="s">
        <v>41</v>
      </c>
      <c r="D9" s="17" t="s">
        <v>42</v>
      </c>
      <c r="E9" s="16" t="s">
        <v>36</v>
      </c>
      <c r="F9" s="22" t="s">
        <v>10</v>
      </c>
      <c r="G9" s="77">
        <f>VLOOKUP($B9,'4 Publicaciones x Acad'!$B$7:$K$12,7,FALSE)</f>
        <v>13</v>
      </c>
      <c r="H9" s="77">
        <f>VLOOKUP($B9,'4 Publicaciones x Acad'!$B$7:$K$12,8,FALSE)</f>
        <v>12</v>
      </c>
      <c r="I9" s="77">
        <f>VLOOKUP($B9,'4 Publicaciones x Acad'!$B$7:$K$12,9,FALSE)</f>
        <v>13</v>
      </c>
      <c r="J9" s="77">
        <f>VLOOKUP($B9,'4 Publicaciones x Acad'!$B$7:$K$12,10,FALSE)</f>
        <v>18</v>
      </c>
      <c r="K9" s="196">
        <f t="shared" si="0"/>
        <v>43</v>
      </c>
      <c r="L9" s="164">
        <f t="shared" si="2"/>
        <v>1.3835263835263836E-2</v>
      </c>
      <c r="M9" s="199">
        <f t="shared" si="3"/>
        <v>11052.169079794081</v>
      </c>
      <c r="N9" s="192">
        <f t="shared" si="1"/>
        <v>38</v>
      </c>
      <c r="O9" s="166">
        <f t="shared" si="4"/>
        <v>0.13157894736842102</v>
      </c>
      <c r="P9" s="164">
        <f t="shared" si="5"/>
        <v>0.16017856341643835</v>
      </c>
      <c r="Q9" s="211">
        <f t="shared" si="6"/>
        <v>54838.767295229707</v>
      </c>
      <c r="R9" s="12"/>
      <c r="S9" s="106">
        <f t="shared" si="7"/>
        <v>65890.936375023783</v>
      </c>
      <c r="T9" s="107">
        <f t="shared" si="8"/>
        <v>65891</v>
      </c>
      <c r="U9" s="1"/>
    </row>
    <row r="10" spans="1:21" ht="15" customHeight="1" x14ac:dyDescent="0.2">
      <c r="A10" s="95" t="s">
        <v>85</v>
      </c>
      <c r="B10" s="23">
        <v>3</v>
      </c>
      <c r="C10" s="16" t="s">
        <v>43</v>
      </c>
      <c r="D10" s="17" t="s">
        <v>44</v>
      </c>
      <c r="E10" s="16" t="s">
        <v>36</v>
      </c>
      <c r="F10" s="22" t="s">
        <v>10</v>
      </c>
      <c r="G10" s="77">
        <f>VLOOKUP($B10,'4 Publicaciones x Acad'!$B$7:$K$12,7,FALSE)</f>
        <v>437</v>
      </c>
      <c r="H10" s="77">
        <f>VLOOKUP($B10,'4 Publicaciones x Acad'!$B$7:$K$12,8,FALSE)</f>
        <v>339</v>
      </c>
      <c r="I10" s="77">
        <f>VLOOKUP($B10,'4 Publicaciones x Acad'!$B$7:$K$12,9,FALSE)</f>
        <v>381</v>
      </c>
      <c r="J10" s="77">
        <f>VLOOKUP($B10,'4 Publicaciones x Acad'!$B$7:$K$12,10,FALSE)</f>
        <v>366</v>
      </c>
      <c r="K10" s="196">
        <f t="shared" si="0"/>
        <v>1086</v>
      </c>
      <c r="L10" s="164">
        <f t="shared" si="2"/>
        <v>0.34942084942084944</v>
      </c>
      <c r="M10" s="199">
        <f t="shared" si="3"/>
        <v>279131.52606177609</v>
      </c>
      <c r="N10" s="192">
        <f t="shared" si="1"/>
        <v>1157</v>
      </c>
      <c r="O10" s="166">
        <f t="shared" si="4"/>
        <v>0</v>
      </c>
      <c r="P10" s="164">
        <f t="shared" si="5"/>
        <v>0</v>
      </c>
      <c r="Q10" s="211">
        <f t="shared" si="6"/>
        <v>0</v>
      </c>
      <c r="R10" s="12"/>
      <c r="S10" s="106">
        <f t="shared" si="7"/>
        <v>279131.52606177609</v>
      </c>
      <c r="T10" s="107">
        <f t="shared" si="8"/>
        <v>279132</v>
      </c>
      <c r="U10" s="1"/>
    </row>
    <row r="11" spans="1:21" ht="15" customHeight="1" thickBot="1" x14ac:dyDescent="0.25">
      <c r="A11" s="95" t="s">
        <v>86</v>
      </c>
      <c r="B11" s="24">
        <v>2</v>
      </c>
      <c r="C11" s="25" t="s">
        <v>45</v>
      </c>
      <c r="D11" s="26" t="s">
        <v>46</v>
      </c>
      <c r="E11" s="25" t="s">
        <v>36</v>
      </c>
      <c r="F11" s="27" t="s">
        <v>10</v>
      </c>
      <c r="G11" s="125">
        <f>VLOOKUP($B11,'4 Publicaciones x Acad'!$B$7:$K$12,7,FALSE)</f>
        <v>96</v>
      </c>
      <c r="H11" s="125">
        <f>VLOOKUP($B11,'4 Publicaciones x Acad'!$B$7:$K$12,8,FALSE)</f>
        <v>58</v>
      </c>
      <c r="I11" s="125">
        <f>VLOOKUP($B11,'4 Publicaciones x Acad'!$B$7:$K$12,9,FALSE)</f>
        <v>74</v>
      </c>
      <c r="J11" s="125">
        <f>VLOOKUP($B11,'4 Publicaciones x Acad'!$B$7:$K$12,10,FALSE)</f>
        <v>85</v>
      </c>
      <c r="K11" s="197">
        <f t="shared" si="0"/>
        <v>217</v>
      </c>
      <c r="L11" s="165">
        <f t="shared" si="2"/>
        <v>6.9819819819819814E-2</v>
      </c>
      <c r="M11" s="200">
        <f t="shared" si="3"/>
        <v>55774.899774774771</v>
      </c>
      <c r="N11" s="193">
        <f t="shared" si="1"/>
        <v>228</v>
      </c>
      <c r="O11" s="167">
        <f t="shared" si="4"/>
        <v>0</v>
      </c>
      <c r="P11" s="165">
        <f t="shared" si="5"/>
        <v>0</v>
      </c>
      <c r="Q11" s="212">
        <f t="shared" si="6"/>
        <v>0</v>
      </c>
      <c r="R11" s="12"/>
      <c r="S11" s="108">
        <f t="shared" si="7"/>
        <v>55774.899774774771</v>
      </c>
      <c r="T11" s="109">
        <f t="shared" si="8"/>
        <v>55775</v>
      </c>
      <c r="U11" s="1"/>
    </row>
    <row r="12" spans="1:21" ht="15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202">
        <f>SUM(K6:K11)</f>
        <v>3108</v>
      </c>
      <c r="L12" s="1"/>
      <c r="M12" s="1"/>
      <c r="N12" s="1"/>
      <c r="O12" s="184">
        <f>SUM(O6:O11)</f>
        <v>0.82145166345597098</v>
      </c>
      <c r="P12" s="1"/>
      <c r="Q12" s="1"/>
      <c r="R12" s="1"/>
      <c r="S12" s="1"/>
      <c r="T12" s="1"/>
      <c r="U12" s="1"/>
    </row>
    <row r="13" spans="1:21" ht="15" hidden="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1" ht="15" hidden="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ht="15" hidden="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1" ht="12" hidden="1" x14ac:dyDescent="0.15"/>
  </sheetData>
  <mergeCells count="9">
    <mergeCell ref="S4:T4"/>
    <mergeCell ref="B4:B5"/>
    <mergeCell ref="C4:C5"/>
    <mergeCell ref="D4:D5"/>
    <mergeCell ref="E4:E5"/>
    <mergeCell ref="F4:F5"/>
    <mergeCell ref="K4:M4"/>
    <mergeCell ref="N4:Q4"/>
    <mergeCell ref="G4:J4"/>
  </mergeCells>
  <phoneticPr fontId="19" type="noConversion"/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FF00"/>
  </sheetPr>
  <dimension ref="A1:P27"/>
  <sheetViews>
    <sheetView tabSelected="1" zoomScale="77" zoomScaleNormal="77" workbookViewId="0">
      <pane xSplit="5" ySplit="10" topLeftCell="L11" activePane="bottomRight" state="frozen"/>
      <selection pane="topRight" activeCell="F1" sqref="F1"/>
      <selection pane="bottomLeft" activeCell="A7" sqref="A7"/>
      <selection pane="bottomRight" activeCell="L1" sqref="L1"/>
    </sheetView>
  </sheetViews>
  <sheetFormatPr baseColWidth="10" defaultColWidth="0" defaultRowHeight="0" customHeight="1" zeroHeight="1" x14ac:dyDescent="0.2"/>
  <cols>
    <col min="1" max="1" width="8.1640625" style="2" bestFit="1" customWidth="1"/>
    <col min="2" max="2" width="7.5" style="2" bestFit="1" customWidth="1"/>
    <col min="3" max="3" width="45.5" style="2" bestFit="1" customWidth="1"/>
    <col min="4" max="4" width="9.5" style="2" bestFit="1" customWidth="1"/>
    <col min="5" max="5" width="6.5" style="2" bestFit="1" customWidth="1"/>
    <col min="6" max="12" width="13" customWidth="1"/>
    <col min="13" max="14" width="12.6640625" customWidth="1"/>
    <col min="15" max="15" width="1.6640625" customWidth="1"/>
    <col min="16" max="16" width="0" hidden="1" customWidth="1"/>
    <col min="17" max="16384" width="11.5" hidden="1"/>
  </cols>
  <sheetData>
    <row r="1" spans="1:15" s="13" customFormat="1" ht="15" customHeight="1" x14ac:dyDescent="0.2">
      <c r="A1" s="41" t="s">
        <v>55</v>
      </c>
      <c r="B1" s="18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3" customFormat="1" ht="15" customHeight="1" x14ac:dyDescent="0.2">
      <c r="A2" s="42" t="s">
        <v>33</v>
      </c>
      <c r="B2" s="19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13" customFormat="1" ht="15" customHeight="1" x14ac:dyDescent="0.2">
      <c r="A3" s="42" t="s">
        <v>149</v>
      </c>
      <c r="B3" s="19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3" customFormat="1" ht="15" customHeight="1" x14ac:dyDescent="0.2">
      <c r="A4" s="232" t="s">
        <v>150</v>
      </c>
      <c r="B4" s="1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13" customFormat="1" ht="15" customHeight="1" x14ac:dyDescent="0.2">
      <c r="A5" s="232" t="s">
        <v>151</v>
      </c>
      <c r="B5" s="19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13" customFormat="1" ht="15" customHeight="1" x14ac:dyDescent="0.2">
      <c r="A6" s="232"/>
      <c r="B6" s="1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3" customFormat="1" ht="20" customHeight="1" x14ac:dyDescent="0.2">
      <c r="A7" s="93" t="s">
        <v>87</v>
      </c>
      <c r="B7" s="93" t="s">
        <v>88</v>
      </c>
      <c r="C7" s="93" t="s">
        <v>89</v>
      </c>
      <c r="D7" s="93" t="s">
        <v>90</v>
      </c>
      <c r="E7" s="93" t="s">
        <v>91</v>
      </c>
      <c r="F7" s="93" t="s">
        <v>92</v>
      </c>
      <c r="G7" s="93" t="s">
        <v>93</v>
      </c>
      <c r="H7" s="93" t="s">
        <v>94</v>
      </c>
      <c r="I7" s="93" t="s">
        <v>95</v>
      </c>
      <c r="J7" s="93" t="s">
        <v>96</v>
      </c>
      <c r="K7" s="93" t="s">
        <v>98</v>
      </c>
      <c r="L7" s="93" t="s">
        <v>99</v>
      </c>
      <c r="M7" s="93" t="s">
        <v>100</v>
      </c>
      <c r="N7" s="93" t="s">
        <v>101</v>
      </c>
      <c r="O7" s="12"/>
    </row>
    <row r="8" spans="1:15" s="13" customFormat="1" ht="20" customHeight="1" thickBo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12"/>
    </row>
    <row r="9" spans="1:15" ht="12" customHeight="1" x14ac:dyDescent="0.2">
      <c r="A9" s="240" t="s">
        <v>0</v>
      </c>
      <c r="B9" s="242" t="s">
        <v>1</v>
      </c>
      <c r="C9" s="242" t="s">
        <v>2</v>
      </c>
      <c r="D9" s="242" t="s">
        <v>3</v>
      </c>
      <c r="E9" s="249" t="s">
        <v>31</v>
      </c>
      <c r="F9" s="293" t="s">
        <v>64</v>
      </c>
      <c r="G9" s="294"/>
      <c r="H9" s="294"/>
      <c r="I9" s="294"/>
      <c r="J9" s="294"/>
      <c r="K9" s="294"/>
      <c r="L9" s="294"/>
      <c r="M9" s="295" t="s">
        <v>65</v>
      </c>
      <c r="N9" s="296"/>
      <c r="O9" s="11"/>
    </row>
    <row r="10" spans="1:15" ht="40" customHeight="1" thickBot="1" x14ac:dyDescent="0.25">
      <c r="A10" s="241"/>
      <c r="B10" s="243"/>
      <c r="C10" s="243"/>
      <c r="D10" s="243"/>
      <c r="E10" s="297"/>
      <c r="F10" s="33" t="str">
        <f>+'1 Acred'!A1</f>
        <v>I.  Acreditación en Investigación</v>
      </c>
      <c r="G10" s="53" t="str">
        <f>+'2 Doct ACR'!B1</f>
        <v>II.  Doctorados Acreditados</v>
      </c>
      <c r="H10" s="53" t="str">
        <f>+'3 Planta Académica'!A1</f>
        <v>III.  Planta Académica</v>
      </c>
      <c r="I10" s="53" t="str">
        <f>+'4 Publicaciones x Acad'!A1</f>
        <v>IV.  Publicaciones por Académico</v>
      </c>
      <c r="J10" s="34" t="str">
        <f>+'5 Citas'!B1</f>
        <v>V.  Citas</v>
      </c>
      <c r="K10" s="34" t="str">
        <f>+'6 Proyectos'!A1</f>
        <v>VI.  Proyectos</v>
      </c>
      <c r="L10" s="57" t="str">
        <f>+'7 Publicaciones'!A1</f>
        <v>IV.  Publicaciones</v>
      </c>
      <c r="M10" s="65" t="s">
        <v>5</v>
      </c>
      <c r="N10" s="61" t="s">
        <v>32</v>
      </c>
      <c r="O10" s="11"/>
    </row>
    <row r="11" spans="1:15" ht="12" customHeight="1" x14ac:dyDescent="0.2">
      <c r="A11" s="35">
        <v>11</v>
      </c>
      <c r="B11" s="37" t="s">
        <v>34</v>
      </c>
      <c r="C11" s="36" t="s">
        <v>35</v>
      </c>
      <c r="D11" s="37" t="s">
        <v>36</v>
      </c>
      <c r="E11" s="38" t="s">
        <v>10</v>
      </c>
      <c r="F11" s="39">
        <f>VLOOKUP($B11,'1 Acred'!$C$6:$P$11,14,FALSE)</f>
        <v>76080.047619047633</v>
      </c>
      <c r="G11" s="54">
        <f>VLOOKUP($A11,'2 Doct ACR'!$B$6:$T$11,19,FALSE)</f>
        <v>0</v>
      </c>
      <c r="H11" s="54">
        <f>VLOOKUP($A11,'3 Planta Académica'!$B$7:$AC$12,28,FALSE)</f>
        <v>223018.48819858249</v>
      </c>
      <c r="I11" s="54">
        <f>VLOOKUP($A11,'4 Publicaciones x Acad'!$B$7:$V$12,21,FALSE)</f>
        <v>135357.76939463234</v>
      </c>
      <c r="J11" s="40">
        <f>VLOOKUP($A11,'5 Citas'!$B$7:$V$12,21,FALSE)</f>
        <v>43300.876553501432</v>
      </c>
      <c r="K11" s="40">
        <f>VLOOKUP($A11,'6 Proyectos'!$B$7:$T$12,19,FALSE)</f>
        <v>76080.047619047618</v>
      </c>
      <c r="L11" s="58">
        <f>VLOOKUP($A11,'7 Publicaciones'!$B$6:$S$11,18,FALSE)</f>
        <v>201750.14610137374</v>
      </c>
      <c r="M11" s="228">
        <f>SUM(F11:L11)</f>
        <v>755587.37548618519</v>
      </c>
      <c r="N11" s="62">
        <f t="shared" ref="N11:N16" si="0">ROUND(M11,0)</f>
        <v>755587</v>
      </c>
      <c r="O11" s="11"/>
    </row>
    <row r="12" spans="1:15" ht="12" customHeight="1" x14ac:dyDescent="0.2">
      <c r="A12" s="23">
        <v>69</v>
      </c>
      <c r="B12" s="16" t="s">
        <v>37</v>
      </c>
      <c r="C12" s="17" t="s">
        <v>38</v>
      </c>
      <c r="D12" s="16" t="s">
        <v>36</v>
      </c>
      <c r="E12" s="22" t="s">
        <v>10</v>
      </c>
      <c r="F12" s="30">
        <f>VLOOKUP($B12,'1 Acred'!$C$6:$P$11,14,FALSE)</f>
        <v>342360.21428571426</v>
      </c>
      <c r="G12" s="55">
        <f>VLOOKUP($A12,'2 Doct ACR'!$B$6:$T$11,19,FALSE)</f>
        <v>586903.22448979586</v>
      </c>
      <c r="H12" s="55">
        <f>VLOOKUP($A12,'3 Planta Académica'!$B$7:$AC$12,28,FALSE)</f>
        <v>266396.45653099212</v>
      </c>
      <c r="I12" s="55">
        <f>VLOOKUP($A12,'4 Publicaciones x Acad'!$B$7:$V$12,21,FALSE)</f>
        <v>202902.93625825018</v>
      </c>
      <c r="J12" s="29">
        <f>VLOOKUP($A12,'5 Citas'!$B$7:$V$12,21,FALSE)</f>
        <v>64427.925697382576</v>
      </c>
      <c r="K12" s="29">
        <f>VLOOKUP($A12,'6 Proyectos'!$B$7:$T$12,19,FALSE)</f>
        <v>290894.29971988796</v>
      </c>
      <c r="L12" s="59">
        <f>VLOOKUP($A12,'7 Publicaciones'!$B$6:$S$11,18,FALSE)</f>
        <v>157983.07308025565</v>
      </c>
      <c r="M12" s="229">
        <f t="shared" ref="M12:M16" si="1">SUM(F12:L12)</f>
        <v>1911868.1300622786</v>
      </c>
      <c r="N12" s="63">
        <f t="shared" si="0"/>
        <v>1911868</v>
      </c>
      <c r="O12" s="11"/>
    </row>
    <row r="13" spans="1:15" ht="12" customHeight="1" x14ac:dyDescent="0.2">
      <c r="A13" s="23">
        <v>31</v>
      </c>
      <c r="B13" s="16" t="s">
        <v>39</v>
      </c>
      <c r="C13" s="17" t="s">
        <v>40</v>
      </c>
      <c r="D13" s="16" t="s">
        <v>36</v>
      </c>
      <c r="E13" s="22" t="s">
        <v>10</v>
      </c>
      <c r="F13" s="30">
        <f>VLOOKUP($B13,'1 Acred'!$C$6:$P$11,14,FALSE)</f>
        <v>209220.13095238098</v>
      </c>
      <c r="G13" s="55">
        <f>VLOOKUP($A13,'2 Doct ACR'!$B$6:$T$11,19,FALSE)</f>
        <v>0</v>
      </c>
      <c r="H13" s="55">
        <f>VLOOKUP($A13,'3 Planta Académica'!$B$7:$AC$12,28,FALSE)</f>
        <v>156843.79014478662</v>
      </c>
      <c r="I13" s="55">
        <f>VLOOKUP($A13,'4 Publicaciones x Acad'!$B$7:$V$12,21,FALSE)</f>
        <v>237941.03903765322</v>
      </c>
      <c r="J13" s="29">
        <f>VLOOKUP($A13,'5 Citas'!$B$7:$V$12,21,FALSE)</f>
        <v>345085.90981136501</v>
      </c>
      <c r="K13" s="29">
        <f>VLOOKUP($A13,'6 Proyectos'!$B$7:$T$12,19,FALSE)</f>
        <v>259567.2212885154</v>
      </c>
      <c r="L13" s="59">
        <f>VLOOKUP($A13,'7 Publicaciones'!$B$6:$S$11,18,FALSE)</f>
        <v>380670.13289251027</v>
      </c>
      <c r="M13" s="229">
        <f t="shared" si="1"/>
        <v>1589328.2241272116</v>
      </c>
      <c r="N13" s="63">
        <f t="shared" si="0"/>
        <v>1589328</v>
      </c>
      <c r="O13" s="11"/>
    </row>
    <row r="14" spans="1:15" ht="12" customHeight="1" x14ac:dyDescent="0.2">
      <c r="A14" s="23">
        <v>42</v>
      </c>
      <c r="B14" s="16" t="s">
        <v>41</v>
      </c>
      <c r="C14" s="17" t="s">
        <v>42</v>
      </c>
      <c r="D14" s="16" t="s">
        <v>36</v>
      </c>
      <c r="E14" s="22" t="s">
        <v>10</v>
      </c>
      <c r="F14" s="30">
        <f>VLOOKUP($B14,'1 Acred'!$C$6:$P$11,14,FALSE)</f>
        <v>76080.047619047633</v>
      </c>
      <c r="G14" s="55">
        <f>VLOOKUP($A14,'2 Doct ACR'!$B$6:$T$11,19,FALSE)</f>
        <v>0</v>
      </c>
      <c r="H14" s="55">
        <f>VLOOKUP($A14,'3 Planta Académica'!$B$7:$AC$12,28,FALSE)</f>
        <v>140157.1796735567</v>
      </c>
      <c r="I14" s="55">
        <f>VLOOKUP($A14,'4 Publicaciones x Acad'!$B$7:$V$12,21,FALSE)</f>
        <v>32215.657379825392</v>
      </c>
      <c r="J14" s="29">
        <f>VLOOKUP($A14,'5 Citas'!$B$7:$V$12,21,FALSE)</f>
        <v>47218.275641795946</v>
      </c>
      <c r="K14" s="29">
        <f>VLOOKUP($A14,'6 Proyectos'!$B$7:$T$12,19,FALSE)</f>
        <v>35802.375350140057</v>
      </c>
      <c r="L14" s="59">
        <f>VLOOKUP($A14,'7 Publicaciones'!$B$6:$S$11,18,FALSE)</f>
        <v>65890.936375023783</v>
      </c>
      <c r="M14" s="229">
        <f t="shared" si="1"/>
        <v>397364.47203938954</v>
      </c>
      <c r="N14" s="63">
        <f t="shared" si="0"/>
        <v>397364</v>
      </c>
      <c r="O14" s="11"/>
    </row>
    <row r="15" spans="1:15" ht="12" customHeight="1" x14ac:dyDescent="0.2">
      <c r="A15" s="23">
        <v>3</v>
      </c>
      <c r="B15" s="16" t="s">
        <v>43</v>
      </c>
      <c r="C15" s="17" t="s">
        <v>44</v>
      </c>
      <c r="D15" s="16" t="s">
        <v>36</v>
      </c>
      <c r="E15" s="22" t="s">
        <v>10</v>
      </c>
      <c r="F15" s="30">
        <f>VLOOKUP($B15,'1 Acred'!$C$6:$P$11,14,FALSE)</f>
        <v>361380.22619047633</v>
      </c>
      <c r="G15" s="55">
        <f>VLOOKUP($A15,'2 Doct ACR'!$B$6:$T$11,19,FALSE)</f>
        <v>554297.48979591834</v>
      </c>
      <c r="H15" s="55">
        <f>VLOOKUP($A15,'3 Planta Académica'!$B$7:$AC$12,28,FALSE)</f>
        <v>165952.9234485554</v>
      </c>
      <c r="I15" s="55">
        <f>VLOOKUP($A15,'4 Publicaciones x Acad'!$B$7:$V$12,21,FALSE)</f>
        <v>321563.95645846607</v>
      </c>
      <c r="J15" s="29">
        <f>VLOOKUP($A15,'5 Citas'!$B$7:$V$12,21,FALSE)</f>
        <v>441003.29723057785</v>
      </c>
      <c r="K15" s="29">
        <f>VLOOKUP($A15,'6 Proyectos'!$B$7:$T$12,19,FALSE)</f>
        <v>443054.39495798323</v>
      </c>
      <c r="L15" s="59">
        <f>VLOOKUP($A15,'7 Publicaciones'!$B$6:$S$11,18,FALSE)</f>
        <v>279131.52606177609</v>
      </c>
      <c r="M15" s="229">
        <f t="shared" si="1"/>
        <v>2566383.8141437531</v>
      </c>
      <c r="N15" s="63">
        <f t="shared" si="0"/>
        <v>2566384</v>
      </c>
      <c r="O15" s="11"/>
    </row>
    <row r="16" spans="1:15" ht="12" customHeight="1" thickBot="1" x14ac:dyDescent="0.25">
      <c r="A16" s="24">
        <v>2</v>
      </c>
      <c r="B16" s="25" t="s">
        <v>45</v>
      </c>
      <c r="C16" s="26" t="s">
        <v>46</v>
      </c>
      <c r="D16" s="25" t="s">
        <v>36</v>
      </c>
      <c r="E16" s="27" t="s">
        <v>10</v>
      </c>
      <c r="F16" s="31">
        <f>VLOOKUP($B16,'1 Acred'!$C$6:$P$11,14,FALSE)</f>
        <v>76080.047619047633</v>
      </c>
      <c r="G16" s="56">
        <f>VLOOKUP($A16,'2 Doct ACR'!$B$6:$T$11,19,FALSE)</f>
        <v>0</v>
      </c>
      <c r="H16" s="56">
        <f>VLOOKUP($A16,'3 Planta Académica'!$B$7:$AC$12,28,FALSE)</f>
        <v>188831.87628924096</v>
      </c>
      <c r="I16" s="56">
        <f>VLOOKUP($A16,'4 Publicaciones x Acad'!$B$7:$V$12,21,FALSE)</f>
        <v>211219.35575688712</v>
      </c>
      <c r="J16" s="32">
        <f>VLOOKUP($A16,'5 Citas'!$B$7:$V$12,21,FALSE)</f>
        <v>200164.4293510915</v>
      </c>
      <c r="K16" s="32">
        <f>VLOOKUP($A16,'6 Proyectos'!$B$7:$T$12,19,FALSE)</f>
        <v>35802.375350140057</v>
      </c>
      <c r="L16" s="60">
        <f>VLOOKUP($A16,'7 Publicaciones'!$B$6:$S$11,18,FALSE)</f>
        <v>55774.899774774771</v>
      </c>
      <c r="M16" s="230">
        <f t="shared" si="1"/>
        <v>767872.98414118204</v>
      </c>
      <c r="N16" s="64">
        <f t="shared" si="0"/>
        <v>767873</v>
      </c>
      <c r="O16" s="11"/>
    </row>
    <row r="17" spans="1:15" ht="12" customHeight="1" thickBot="1" x14ac:dyDescent="0.25">
      <c r="A17" s="1"/>
      <c r="B17" s="1"/>
      <c r="C17" s="1"/>
      <c r="D17" s="1"/>
      <c r="E17" s="1"/>
      <c r="F17" s="206">
        <f>SUM(F11:F16)</f>
        <v>1141200.7142857146</v>
      </c>
      <c r="G17" s="207">
        <f t="shared" ref="G17:N17" si="2">SUM(G11:G16)</f>
        <v>1141200.7142857141</v>
      </c>
      <c r="H17" s="207">
        <f t="shared" si="2"/>
        <v>1141200.7142857143</v>
      </c>
      <c r="I17" s="207">
        <f t="shared" si="2"/>
        <v>1141200.7142857141</v>
      </c>
      <c r="J17" s="207">
        <f t="shared" si="2"/>
        <v>1141200.7142857143</v>
      </c>
      <c r="K17" s="207">
        <f t="shared" si="2"/>
        <v>1141200.7142857143</v>
      </c>
      <c r="L17" s="209">
        <f t="shared" si="2"/>
        <v>1141200.7142857143</v>
      </c>
      <c r="M17" s="231">
        <f t="shared" si="2"/>
        <v>7988405</v>
      </c>
      <c r="N17" s="208">
        <f t="shared" si="2"/>
        <v>7988404</v>
      </c>
      <c r="O17" s="11"/>
    </row>
    <row r="18" spans="1:15" ht="12" customHeight="1" x14ac:dyDescent="0.2">
      <c r="A18" s="1"/>
      <c r="B18" s="1"/>
      <c r="C18" s="1"/>
      <c r="D18" s="1"/>
      <c r="E18" s="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2" hidden="1" customHeight="1" x14ac:dyDescent="0.2"/>
    <row r="20" spans="1:15" ht="12" hidden="1" customHeight="1" x14ac:dyDescent="0.2"/>
    <row r="21" spans="1:15" ht="12" hidden="1" customHeight="1" x14ac:dyDescent="0.2"/>
    <row r="22" spans="1:15" ht="0" hidden="1" customHeight="1" x14ac:dyDescent="0.2"/>
    <row r="23" spans="1:15" ht="0" hidden="1" customHeight="1" x14ac:dyDescent="0.2"/>
    <row r="24" spans="1:15" ht="0" hidden="1" customHeight="1" x14ac:dyDescent="0.2"/>
    <row r="25" spans="1:15" ht="0" hidden="1" customHeight="1" x14ac:dyDescent="0.2"/>
    <row r="26" spans="1:15" ht="0" hidden="1" customHeight="1" x14ac:dyDescent="0.2"/>
    <row r="27" spans="1:15" ht="0" hidden="1" customHeight="1" x14ac:dyDescent="0.2"/>
  </sheetData>
  <mergeCells count="7">
    <mergeCell ref="F9:L9"/>
    <mergeCell ref="M9:N9"/>
    <mergeCell ref="A9:A10"/>
    <mergeCell ref="B9:B10"/>
    <mergeCell ref="C9:C10"/>
    <mergeCell ref="D9:D10"/>
    <mergeCell ref="E9:E10"/>
  </mergeCells>
  <phoneticPr fontId="19" type="noConversion"/>
  <pageMargins left="0.31496062992125984" right="0.31496062992125984" top="0.74803149606299213" bottom="0.74803149606299213" header="0.31496062992125984" footer="0.31496062992125984"/>
  <pageSetup paperSize="14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PPTO</vt:lpstr>
      <vt:lpstr>1 Acred</vt:lpstr>
      <vt:lpstr>2 Doct ACR</vt:lpstr>
      <vt:lpstr>3 Planta Académica</vt:lpstr>
      <vt:lpstr>4 Publicaciones x Acad</vt:lpstr>
      <vt:lpstr>5 Citas</vt:lpstr>
      <vt:lpstr>6 Proyectos</vt:lpstr>
      <vt:lpstr>7 Publicaciones</vt:lpstr>
      <vt:lpstr>FI2020 Distribución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Pablo Yañez Navarro</dc:creator>
  <cp:lastModifiedBy>Usuario de Microsoft Office</cp:lastModifiedBy>
  <cp:lastPrinted>2020-02-12T13:01:28Z</cp:lastPrinted>
  <dcterms:created xsi:type="dcterms:W3CDTF">2018-06-13T13:24:27Z</dcterms:created>
  <dcterms:modified xsi:type="dcterms:W3CDTF">2020-10-22T12:36:52Z</dcterms:modified>
</cp:coreProperties>
</file>