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410"/>
  <workbookPr/>
  <mc:AlternateContent xmlns:mc="http://schemas.openxmlformats.org/markup-compatibility/2006">
    <mc:Choice Requires="x15">
      <x15ac:absPath xmlns:x15ac="http://schemas.microsoft.com/office/spreadsheetml/2010/11/ac" url="/Users/carlos.gatica/Documents/DFI/2019/FI/"/>
    </mc:Choice>
  </mc:AlternateContent>
  <bookViews>
    <workbookView xWindow="0" yWindow="460" windowWidth="25900" windowHeight="16000"/>
  </bookViews>
  <sheets>
    <sheet name="FI 2019" sheetId="15" r:id="rId1"/>
    <sheet name="I.Acreditación Institucional" sheetId="2" r:id="rId2"/>
    <sheet name="II.Doctorados Acreditados" sheetId="3" r:id="rId3"/>
    <sheet name="III. Planta Académica" sheetId="14" r:id="rId4"/>
    <sheet name="IV. Publicaciones por acad." sheetId="9" r:id="rId5"/>
    <sheet name="V.Citas" sheetId="6" r:id="rId6"/>
    <sheet name="VI. Proyectos" sheetId="7" r:id="rId7"/>
    <sheet name="VII. Publicaciones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5" l="1"/>
  <c r="G5" i="3"/>
  <c r="G6" i="3"/>
  <c r="G7" i="3"/>
  <c r="G8" i="3"/>
  <c r="G9" i="3"/>
  <c r="G4" i="3"/>
  <c r="F5" i="3"/>
  <c r="F6" i="3"/>
  <c r="F7" i="3"/>
  <c r="F8" i="3"/>
  <c r="F9" i="3"/>
  <c r="F4" i="3"/>
  <c r="E5" i="3"/>
  <c r="E6" i="3"/>
  <c r="H6" i="3"/>
  <c r="E7" i="3"/>
  <c r="E8" i="3"/>
  <c r="E9" i="3"/>
  <c r="E4" i="3"/>
  <c r="D5" i="3"/>
  <c r="D6" i="3"/>
  <c r="I6" i="3"/>
  <c r="D7" i="3"/>
  <c r="I7" i="3"/>
  <c r="D8" i="3"/>
  <c r="I8" i="3"/>
  <c r="D9" i="3"/>
  <c r="D4" i="3"/>
  <c r="H8" i="3"/>
  <c r="H4" i="3"/>
  <c r="H10" i="3"/>
  <c r="H9" i="3"/>
  <c r="H5" i="3"/>
  <c r="H7" i="3"/>
  <c r="I9" i="3"/>
  <c r="I5" i="3"/>
  <c r="I4" i="3"/>
  <c r="F10" i="3"/>
  <c r="G10" i="3"/>
  <c r="E10" i="3"/>
  <c r="D10" i="3"/>
  <c r="E10" i="15"/>
  <c r="E11" i="15"/>
  <c r="F10" i="15"/>
  <c r="F11" i="15"/>
  <c r="G10" i="15"/>
  <c r="G11" i="15"/>
  <c r="H10" i="15"/>
  <c r="H11" i="15"/>
  <c r="I10" i="15"/>
  <c r="I11" i="15"/>
  <c r="D10" i="15"/>
  <c r="D11" i="15"/>
  <c r="G10" i="16"/>
  <c r="F10" i="16"/>
  <c r="E10" i="16"/>
  <c r="D10" i="16"/>
  <c r="G9" i="16"/>
  <c r="F9" i="16"/>
  <c r="E9" i="16"/>
  <c r="D9" i="16"/>
  <c r="G8" i="16"/>
  <c r="F8" i="16"/>
  <c r="E8" i="16"/>
  <c r="D8" i="16"/>
  <c r="G7" i="16"/>
  <c r="F7" i="16"/>
  <c r="E7" i="16"/>
  <c r="D7" i="16"/>
  <c r="G6" i="16"/>
  <c r="F6" i="16"/>
  <c r="E6" i="16"/>
  <c r="D6" i="16"/>
  <c r="G5" i="16"/>
  <c r="F5" i="16"/>
  <c r="E5" i="16"/>
  <c r="D5" i="16"/>
  <c r="J10" i="15"/>
  <c r="J11" i="15"/>
  <c r="J7" i="16"/>
  <c r="J5" i="16"/>
  <c r="J6" i="16"/>
  <c r="J8" i="16"/>
  <c r="J10" i="16"/>
  <c r="H6" i="16"/>
  <c r="H8" i="16"/>
  <c r="J9" i="16"/>
  <c r="H10" i="16"/>
  <c r="K10" i="16"/>
  <c r="H5" i="16"/>
  <c r="K5" i="16"/>
  <c r="H7" i="16"/>
  <c r="H9" i="16"/>
  <c r="K9" i="16"/>
  <c r="F11" i="16"/>
  <c r="E11" i="16"/>
  <c r="G11" i="16"/>
  <c r="D11" i="16"/>
  <c r="K11" i="15"/>
  <c r="K7" i="16"/>
  <c r="L7" i="16"/>
  <c r="K8" i="16"/>
  <c r="L8" i="16"/>
  <c r="K6" i="16"/>
  <c r="L5" i="16"/>
  <c r="L10" i="16"/>
  <c r="J11" i="16"/>
  <c r="L9" i="16"/>
  <c r="H11" i="16"/>
  <c r="I7" i="16"/>
  <c r="K11" i="16"/>
  <c r="L6" i="16"/>
  <c r="I10" i="16"/>
  <c r="I8" i="16"/>
  <c r="I6" i="16"/>
  <c r="I9" i="16"/>
  <c r="I5" i="16"/>
  <c r="P7" i="16"/>
  <c r="L11" i="16"/>
  <c r="M5" i="16"/>
  <c r="Q5" i="16"/>
  <c r="P5" i="16"/>
  <c r="P10" i="16"/>
  <c r="P6" i="16"/>
  <c r="P9" i="16"/>
  <c r="P8" i="16"/>
  <c r="I11" i="16"/>
  <c r="M7" i="16"/>
  <c r="M9" i="16"/>
  <c r="M8" i="16"/>
  <c r="M10" i="16"/>
  <c r="Q10" i="16"/>
  <c r="R10" i="16"/>
  <c r="M6" i="16"/>
  <c r="Q6" i="16"/>
  <c r="R6" i="16"/>
  <c r="P11" i="16"/>
  <c r="Q8" i="16"/>
  <c r="R8" i="16"/>
  <c r="R5" i="16"/>
  <c r="J13" i="15"/>
  <c r="Q7" i="16"/>
  <c r="R7" i="16"/>
  <c r="Q9" i="16"/>
  <c r="R9" i="16"/>
  <c r="M11" i="16"/>
  <c r="J17" i="15"/>
  <c r="J16" i="15"/>
  <c r="J15" i="15"/>
  <c r="J18" i="15"/>
  <c r="J14" i="15"/>
  <c r="R11" i="16"/>
  <c r="Q11" i="16"/>
  <c r="J19" i="15"/>
  <c r="I10" i="3"/>
  <c r="J5" i="3"/>
  <c r="E14" i="15"/>
  <c r="J9" i="3"/>
  <c r="E17" i="15"/>
  <c r="J6" i="3"/>
  <c r="E18" i="15"/>
  <c r="J7" i="3"/>
  <c r="E15" i="15"/>
  <c r="J8" i="3"/>
  <c r="E16" i="15"/>
  <c r="J4" i="3"/>
  <c r="E13" i="15"/>
  <c r="Y10" i="14"/>
  <c r="J10" i="3"/>
  <c r="D5" i="6"/>
  <c r="E5" i="6"/>
  <c r="D6" i="6"/>
  <c r="E6" i="6"/>
  <c r="D7" i="6"/>
  <c r="E7" i="6"/>
  <c r="D8" i="6"/>
  <c r="E8" i="6"/>
  <c r="D9" i="6"/>
  <c r="E9" i="6"/>
  <c r="E4" i="6"/>
  <c r="D4" i="6"/>
  <c r="D6" i="7"/>
  <c r="D7" i="7"/>
  <c r="D8" i="7"/>
  <c r="D9" i="7"/>
  <c r="D10" i="7"/>
  <c r="D5" i="7"/>
  <c r="F9" i="6"/>
  <c r="F4" i="6"/>
  <c r="F8" i="6"/>
  <c r="F6" i="6"/>
  <c r="F7" i="6"/>
  <c r="F5" i="6"/>
  <c r="D10" i="6"/>
  <c r="E10" i="6"/>
  <c r="D11" i="7"/>
  <c r="E5" i="7"/>
  <c r="I13" i="15"/>
  <c r="F10" i="6"/>
  <c r="G5" i="6"/>
  <c r="H14" i="15"/>
  <c r="E6" i="7"/>
  <c r="I14" i="15"/>
  <c r="E8" i="7"/>
  <c r="I15" i="15"/>
  <c r="E10" i="7"/>
  <c r="I17" i="15"/>
  <c r="E9" i="7"/>
  <c r="I16" i="15"/>
  <c r="E7" i="7"/>
  <c r="I18" i="15"/>
  <c r="G9" i="6"/>
  <c r="H17" i="15"/>
  <c r="G4" i="6"/>
  <c r="H13" i="15"/>
  <c r="G8" i="6"/>
  <c r="H16" i="15"/>
  <c r="G7" i="6"/>
  <c r="H15" i="15"/>
  <c r="G6" i="6"/>
  <c r="H18" i="15"/>
  <c r="E11" i="7"/>
  <c r="G10" i="6"/>
  <c r="P18" i="15"/>
  <c r="N18" i="15"/>
  <c r="P17" i="15"/>
  <c r="N17" i="15"/>
  <c r="P16" i="15"/>
  <c r="N16" i="15"/>
  <c r="P15" i="15"/>
  <c r="N15" i="15"/>
  <c r="P14" i="15"/>
  <c r="N14" i="15"/>
  <c r="P13" i="15"/>
  <c r="N13" i="15"/>
  <c r="K9" i="14"/>
  <c r="J9" i="14"/>
  <c r="I9" i="14"/>
  <c r="H9" i="14"/>
  <c r="G9" i="14"/>
  <c r="F9" i="14"/>
  <c r="E9" i="14"/>
  <c r="D9" i="14"/>
  <c r="K8" i="14"/>
  <c r="J8" i="14"/>
  <c r="I8" i="14"/>
  <c r="H8" i="14"/>
  <c r="G8" i="14"/>
  <c r="F8" i="14"/>
  <c r="E8" i="14"/>
  <c r="D8" i="14"/>
  <c r="K7" i="14"/>
  <c r="J7" i="14"/>
  <c r="I7" i="14"/>
  <c r="H7" i="14"/>
  <c r="G7" i="14"/>
  <c r="F7" i="14"/>
  <c r="E7" i="14"/>
  <c r="D7" i="14"/>
  <c r="K6" i="14"/>
  <c r="J6" i="14"/>
  <c r="I6" i="14"/>
  <c r="H6" i="14"/>
  <c r="G6" i="14"/>
  <c r="F6" i="14"/>
  <c r="E6" i="14"/>
  <c r="D6" i="14"/>
  <c r="K5" i="14"/>
  <c r="J5" i="14"/>
  <c r="I5" i="14"/>
  <c r="H5" i="14"/>
  <c r="G5" i="14"/>
  <c r="F5" i="14"/>
  <c r="E5" i="14"/>
  <c r="D5" i="14"/>
  <c r="K4" i="14"/>
  <c r="J4" i="14"/>
  <c r="I4" i="14"/>
  <c r="H4" i="14"/>
  <c r="G4" i="14"/>
  <c r="F4" i="14"/>
  <c r="E4" i="14"/>
  <c r="D4" i="14"/>
  <c r="Q4" i="14"/>
  <c r="N4" i="14"/>
  <c r="O9" i="14"/>
  <c r="N5" i="14"/>
  <c r="N6" i="14"/>
  <c r="N7" i="14"/>
  <c r="N8" i="14"/>
  <c r="N9" i="14"/>
  <c r="P9" i="14"/>
  <c r="O4" i="14"/>
  <c r="O5" i="14"/>
  <c r="O6" i="14"/>
  <c r="O7" i="14"/>
  <c r="O8" i="14"/>
  <c r="N19" i="15"/>
  <c r="Q7" i="14"/>
  <c r="E10" i="14"/>
  <c r="J10" i="14"/>
  <c r="I10" i="14"/>
  <c r="H10" i="14"/>
  <c r="K10" i="14"/>
  <c r="G10" i="14"/>
  <c r="R5" i="14"/>
  <c r="F10" i="14"/>
  <c r="R4" i="14"/>
  <c r="Q6" i="14"/>
  <c r="R7" i="14"/>
  <c r="D10" i="14"/>
  <c r="R8" i="14"/>
  <c r="R6" i="14"/>
  <c r="Q9" i="14"/>
  <c r="Q5" i="14"/>
  <c r="Q8" i="14"/>
  <c r="R9" i="14"/>
  <c r="P7" i="14"/>
  <c r="O10" i="14"/>
  <c r="P6" i="14"/>
  <c r="P5" i="14"/>
  <c r="P8" i="14"/>
  <c r="N10" i="14"/>
  <c r="P4" i="14"/>
  <c r="S7" i="14"/>
  <c r="S4" i="14"/>
  <c r="S8" i="14"/>
  <c r="S5" i="14"/>
  <c r="S6" i="14"/>
  <c r="R10" i="14"/>
  <c r="S9" i="14"/>
  <c r="U9" i="14"/>
  <c r="V9" i="14"/>
  <c r="Q10" i="14"/>
  <c r="U4" i="14"/>
  <c r="U7" i="14"/>
  <c r="V7" i="14"/>
  <c r="U6" i="14"/>
  <c r="V6" i="14"/>
  <c r="V4" i="14"/>
  <c r="U5" i="14"/>
  <c r="V5" i="14"/>
  <c r="P10" i="14"/>
  <c r="U8" i="14"/>
  <c r="V8" i="14"/>
  <c r="S10" i="14"/>
  <c r="T7" i="14"/>
  <c r="V10" i="14"/>
  <c r="W6" i="14"/>
  <c r="Z7" i="14"/>
  <c r="T6" i="14"/>
  <c r="T4" i="14"/>
  <c r="Z4" i="14"/>
  <c r="T8" i="14"/>
  <c r="T5" i="14"/>
  <c r="T9" i="14"/>
  <c r="AA6" i="14"/>
  <c r="W4" i="14"/>
  <c r="AA4" i="14"/>
  <c r="W8" i="14"/>
  <c r="W9" i="14"/>
  <c r="W7" i="14"/>
  <c r="W5" i="14"/>
  <c r="Z8" i="14"/>
  <c r="Z5" i="14"/>
  <c r="Z9" i="14"/>
  <c r="Z6" i="14"/>
  <c r="AB6" i="14"/>
  <c r="T10" i="14"/>
  <c r="AA9" i="14"/>
  <c r="AA8" i="14"/>
  <c r="AB8" i="14"/>
  <c r="F18" i="15"/>
  <c r="AA5" i="14"/>
  <c r="W10" i="14"/>
  <c r="AA7" i="14"/>
  <c r="Z10" i="14"/>
  <c r="F17" i="15"/>
  <c r="AB9" i="14"/>
  <c r="AB7" i="14"/>
  <c r="F15" i="15"/>
  <c r="AB5" i="14"/>
  <c r="F14" i="15"/>
  <c r="F16" i="15"/>
  <c r="AB4" i="14"/>
  <c r="F13" i="15"/>
  <c r="AA10" i="14"/>
  <c r="AB10" i="14"/>
  <c r="F19" i="15"/>
  <c r="E19" i="15"/>
  <c r="D5" i="2"/>
  <c r="G5" i="2"/>
  <c r="E5" i="2"/>
  <c r="H5" i="2"/>
  <c r="F5" i="2"/>
  <c r="I5" i="2"/>
  <c r="D6" i="2"/>
  <c r="G6" i="2"/>
  <c r="E6" i="2"/>
  <c r="H6" i="2"/>
  <c r="F6" i="2"/>
  <c r="I6" i="2"/>
  <c r="D7" i="2"/>
  <c r="G7" i="2"/>
  <c r="E7" i="2"/>
  <c r="H7" i="2"/>
  <c r="F7" i="2"/>
  <c r="I7" i="2"/>
  <c r="D8" i="2"/>
  <c r="G8" i="2"/>
  <c r="E8" i="2"/>
  <c r="H8" i="2"/>
  <c r="F8" i="2"/>
  <c r="I8" i="2"/>
  <c r="D9" i="2"/>
  <c r="G9" i="2"/>
  <c r="E9" i="2"/>
  <c r="H9" i="2"/>
  <c r="F9" i="2"/>
  <c r="I9" i="2"/>
  <c r="F4" i="2"/>
  <c r="I4" i="2"/>
  <c r="E4" i="2"/>
  <c r="H4" i="2"/>
  <c r="D4" i="2"/>
  <c r="G4" i="2"/>
  <c r="J4" i="2"/>
  <c r="J8" i="2"/>
  <c r="J7" i="2"/>
  <c r="J5" i="2"/>
  <c r="J9" i="2"/>
  <c r="J6" i="2"/>
  <c r="G10" i="2"/>
  <c r="I19" i="15"/>
  <c r="E5" i="9"/>
  <c r="E6" i="9"/>
  <c r="E7" i="9"/>
  <c r="E8" i="9"/>
  <c r="E9" i="9"/>
  <c r="E4" i="9"/>
  <c r="D9" i="9"/>
  <c r="F9" i="9"/>
  <c r="D8" i="9"/>
  <c r="F8" i="9"/>
  <c r="D7" i="9"/>
  <c r="D6" i="9"/>
  <c r="F6" i="9"/>
  <c r="D5" i="9"/>
  <c r="E10" i="9"/>
  <c r="D4" i="9"/>
  <c r="F4" i="9"/>
  <c r="H19" i="15"/>
  <c r="F5" i="9"/>
  <c r="F7" i="9"/>
  <c r="D10" i="9"/>
  <c r="F10" i="9"/>
  <c r="G5" i="9"/>
  <c r="G4" i="9"/>
  <c r="G6" i="9"/>
  <c r="G8" i="9"/>
  <c r="G9" i="9"/>
  <c r="G7" i="9"/>
  <c r="G17" i="15"/>
  <c r="G16" i="15"/>
  <c r="G14" i="15"/>
  <c r="G18" i="15"/>
  <c r="G15" i="15"/>
  <c r="G13" i="15"/>
  <c r="G10" i="9"/>
  <c r="I10" i="2"/>
  <c r="H10" i="2"/>
  <c r="J10" i="2"/>
  <c r="K7" i="2"/>
  <c r="K8" i="2"/>
  <c r="K4" i="2"/>
  <c r="D13" i="15"/>
  <c r="K5" i="2"/>
  <c r="K9" i="2"/>
  <c r="K6" i="2"/>
  <c r="K13" i="15"/>
  <c r="D14" i="15"/>
  <c r="K14" i="15"/>
  <c r="D18" i="15"/>
  <c r="K18" i="15"/>
  <c r="D16" i="15"/>
  <c r="K16" i="15"/>
  <c r="D17" i="15"/>
  <c r="K17" i="15"/>
  <c r="D15" i="15"/>
  <c r="K15" i="15"/>
  <c r="K10" i="2"/>
  <c r="D19" i="15"/>
  <c r="L17" i="15"/>
  <c r="L18" i="15"/>
  <c r="L14" i="15"/>
  <c r="L15" i="15"/>
  <c r="L16" i="15"/>
  <c r="O18" i="15"/>
  <c r="O16" i="15"/>
  <c r="L13" i="15"/>
  <c r="K19" i="15"/>
  <c r="O17" i="15"/>
  <c r="O14" i="15"/>
  <c r="O15" i="15"/>
  <c r="G19" i="15"/>
  <c r="O13" i="15"/>
  <c r="O19" i="15"/>
  <c r="O20" i="15"/>
  <c r="L19" i="15"/>
  <c r="M13" i="15"/>
  <c r="M14" i="15"/>
  <c r="M15" i="15"/>
  <c r="M18" i="15"/>
  <c r="M16" i="15"/>
  <c r="M17" i="15"/>
  <c r="M19" i="15"/>
</calcChain>
</file>

<file path=xl/sharedStrings.xml><?xml version="1.0" encoding="utf-8"?>
<sst xmlns="http://schemas.openxmlformats.org/spreadsheetml/2006/main" count="340" uniqueCount="125">
  <si>
    <t>Codigo</t>
  </si>
  <si>
    <t>Nombre IES</t>
  </si>
  <si>
    <t>UDP</t>
  </si>
  <si>
    <t>U. DIEGO PORTALES</t>
  </si>
  <si>
    <t>UAH</t>
  </si>
  <si>
    <t>U. ALBERTO HURTADO</t>
  </si>
  <si>
    <t>UCS</t>
  </si>
  <si>
    <t>U. CATÓLICA CARDENAL RAUL SILVA HENRIQUEZ</t>
  </si>
  <si>
    <t>UAU</t>
  </si>
  <si>
    <t>U. AUTONOMA DE CHILE</t>
  </si>
  <si>
    <t>UFT</t>
  </si>
  <si>
    <t>U. FINIS TERRAE</t>
  </si>
  <si>
    <t>AHC</t>
  </si>
  <si>
    <t>U. ACADEMIA DE HUMANISMO CRISTIANO</t>
  </si>
  <si>
    <t>TOTAL</t>
  </si>
  <si>
    <t>Monto por Indicador</t>
  </si>
  <si>
    <t>Doctorados Acreditados</t>
  </si>
  <si>
    <t>Planta Académica</t>
  </si>
  <si>
    <t>Publicaciones</t>
  </si>
  <si>
    <t>Proyectos</t>
  </si>
  <si>
    <t>N°</t>
  </si>
  <si>
    <t>Citas por publicación</t>
  </si>
  <si>
    <t>Académicos JC con Doctor 2015-2017</t>
  </si>
  <si>
    <t>Académicos JC 2015-2017</t>
  </si>
  <si>
    <t>% Planta Académica 2015-2017 por IES</t>
  </si>
  <si>
    <t>Total M$</t>
  </si>
  <si>
    <t>Total Final Redondeado M$</t>
  </si>
  <si>
    <t>Publicaciones Scopus 2013-2017</t>
  </si>
  <si>
    <t>% Publicaciones Scopus por AJC 2013-2017</t>
  </si>
  <si>
    <t>Acreditación al 31-12-2018</t>
  </si>
  <si>
    <t>Acreditación en Investigación 2018</t>
  </si>
  <si>
    <t>Años Acreditación 2018</t>
  </si>
  <si>
    <t>Puntaje Acreditación</t>
  </si>
  <si>
    <t>IES</t>
  </si>
  <si>
    <t>N° áreas acreditadas</t>
  </si>
  <si>
    <t>Académicos JC 2013-2017</t>
  </si>
  <si>
    <t>Citas WOS 2013-2017</t>
  </si>
  <si>
    <t>Publicaciones WOS 2013-2017</t>
  </si>
  <si>
    <t>Promedio WOS citas por publicaciones 2013-2017</t>
  </si>
  <si>
    <t>Cod_IES</t>
  </si>
  <si>
    <t>Nº de Académicos JC* 2017 con grado de Doctor</t>
  </si>
  <si>
    <t>Nº total de Académicos JC* 2017</t>
  </si>
  <si>
    <t>Nº de Académicos JC* 2018 con grado de Doctor</t>
  </si>
  <si>
    <t>Nº total de Académicos JC* 2018</t>
  </si>
  <si>
    <t>Nº de Académicos JC* 2016 con grado de Doctor</t>
  </si>
  <si>
    <t>Nº total de Académicos JC* 2016</t>
  </si>
  <si>
    <t>Nº de Académicos JC* 2015 con grado de Doctor</t>
  </si>
  <si>
    <t>Nº total de Académicos JC* 2015</t>
  </si>
  <si>
    <t>Académicos JC con Doctor
 2016-2018</t>
  </si>
  <si>
    <t>Académicos JC
 2016-2018</t>
  </si>
  <si>
    <t>% Planta Académica
 2016-2018 por IES</t>
  </si>
  <si>
    <t>% Proyectos 2018</t>
  </si>
  <si>
    <t>Adelanto 2019 M$</t>
  </si>
  <si>
    <t>Publicaciones Scopus 2016</t>
  </si>
  <si>
    <t>Publicaciones Scopus 2017</t>
  </si>
  <si>
    <t>FI 2019 %</t>
  </si>
  <si>
    <t>Proyectos 2018</t>
  </si>
  <si>
    <t>5 áreas</t>
  </si>
  <si>
    <t>Investigación</t>
  </si>
  <si>
    <t>Puntaje Años Acreditación Institucional</t>
  </si>
  <si>
    <t>% Planta Académica Total
Parte I</t>
  </si>
  <si>
    <t>% Planta Académica Total
Parte II</t>
  </si>
  <si>
    <t>% Publicaciones
Parte II</t>
  </si>
  <si>
    <t>% Publicaciones Scopus 2013-2017
PARTE I</t>
  </si>
  <si>
    <t>Parte II</t>
  </si>
  <si>
    <t>Publicaciones Scopus 2015</t>
  </si>
  <si>
    <t>Publicaciones Scopus 2014</t>
  </si>
  <si>
    <t>Promedio Publicaciones Scopus por AJC 2013-2017</t>
  </si>
  <si>
    <t>Ponderado</t>
  </si>
  <si>
    <t>Parte I</t>
  </si>
  <si>
    <t>% Planta academica</t>
  </si>
  <si>
    <t>% Publicaciones</t>
  </si>
  <si>
    <t>variación
% 2018
v/s
% 2017
%</t>
  </si>
  <si>
    <t>variación CORREGIDA (pasando a 0 si es  negativos)
% 2018
v/s
% 2017
%</t>
  </si>
  <si>
    <t>Publicaciones Scopus  2015-2017</t>
  </si>
  <si>
    <t>Publicaciones Scopus  2014-2016</t>
  </si>
  <si>
    <t>% Publicaciones
2015-2017
Parte I</t>
  </si>
  <si>
    <t xml:space="preserve">Variación 
2015-2017
v/S
2014-2016
FRECUENCIAS
</t>
  </si>
  <si>
    <t>variación CORREGIDA (pasando a 0 si es  negativos)
tasa 2018
v/s
tasa 2017 
%</t>
  </si>
  <si>
    <t xml:space="preserve">% Años Doctorados Acreditados
</t>
  </si>
  <si>
    <t>N° Años Doctorados Acreditados 
2018</t>
  </si>
  <si>
    <t>a)</t>
  </si>
  <si>
    <t>b)</t>
  </si>
  <si>
    <t>c)</t>
  </si>
  <si>
    <t>d)</t>
  </si>
  <si>
    <t>e)</t>
  </si>
  <si>
    <t>f)</t>
  </si>
  <si>
    <t>g)</t>
  </si>
  <si>
    <t>I.</t>
  </si>
  <si>
    <t>II.</t>
  </si>
  <si>
    <t>num</t>
  </si>
  <si>
    <t>den</t>
  </si>
  <si>
    <t>num/den</t>
  </si>
  <si>
    <t xml:space="preserve">num </t>
  </si>
  <si>
    <t>1p</t>
  </si>
  <si>
    <t>2p</t>
  </si>
  <si>
    <t>h)</t>
  </si>
  <si>
    <t>i)</t>
  </si>
  <si>
    <t>j)</t>
  </si>
  <si>
    <t>k)</t>
  </si>
  <si>
    <t>III.</t>
  </si>
  <si>
    <t>IV.</t>
  </si>
  <si>
    <t>V.</t>
  </si>
  <si>
    <t>VI.</t>
  </si>
  <si>
    <t>VII.</t>
  </si>
  <si>
    <t>N° Doctorados Acreditados 2 años</t>
  </si>
  <si>
    <t>N° Doctorados Acreditados 3 años</t>
  </si>
  <si>
    <t>N° Doctorados Acreditados 4 años</t>
  </si>
  <si>
    <t>N° Doctorados Acreditados 5 años</t>
  </si>
  <si>
    <t>Total N° Doctorados Acreditados</t>
  </si>
  <si>
    <t>Unidad de Análisis, DFI</t>
  </si>
  <si>
    <t>Fomento de Investigación año 2019</t>
  </si>
  <si>
    <t>e) (suma  b c d )</t>
  </si>
  <si>
    <t>% Acreditación Institucional</t>
  </si>
  <si>
    <t>suma</t>
  </si>
  <si>
    <t xml:space="preserve"> Publicaciones por académico</t>
  </si>
  <si>
    <t>Acreditación Institucional</t>
  </si>
  <si>
    <t>M$</t>
  </si>
  <si>
    <t>Corriente</t>
  </si>
  <si>
    <t>Capital</t>
  </si>
  <si>
    <t>Total Presupuesto 2019</t>
  </si>
  <si>
    <t>Montos FI 2019</t>
  </si>
  <si>
    <t xml:space="preserve">Saldo 2019
M$ </t>
  </si>
  <si>
    <t>REX N° 32 2019</t>
  </si>
  <si>
    <t>10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</si>
</sst>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 * #,##0_ ;_ * \-#,##0_ ;_ * &quot;-&quot;_ ;_ @_ "/>
    <numFmt numFmtId="165" formatCode="_-* #,##0_-;\-* #,##0_-;_-* &quot;-&quot;??_-;_-@_-"/>
    <numFmt numFmtId="166" formatCode="_-* #,##0.0_-;\-* #,##0.0_-;_-* &quot;-&quot;??_-;_-@_-"/>
    <numFmt numFmtId="167" formatCode="_ * #,##0.0_ ;_ * \-#,##0.0_ ;_ * &quot;-&quot;?_ ;_ @_ "/>
    <numFmt numFmtId="168" formatCode="#,##0.00_ ;\-#,##0.00\ "/>
    <numFmt numFmtId="169" formatCode="0.0"/>
    <numFmt numFmtId="170" formatCode="0.0%"/>
    <numFmt numFmtId="171" formatCode="_-* #,##0\ _€_-;\-* #,##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3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9" fontId="2" fillId="0" borderId="1" xfId="2" applyFont="1" applyBorder="1"/>
    <xf numFmtId="165" fontId="4" fillId="0" borderId="1" xfId="1" applyNumberFormat="1" applyFont="1" applyBorder="1"/>
    <xf numFmtId="2" fontId="2" fillId="0" borderId="1" xfId="2" applyNumberFormat="1" applyFont="1" applyBorder="1"/>
    <xf numFmtId="2" fontId="4" fillId="0" borderId="1" xfId="2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165" fontId="2" fillId="0" borderId="1" xfId="1" applyNumberFormat="1" applyFont="1" applyBorder="1"/>
    <xf numFmtId="0" fontId="0" fillId="0" borderId="1" xfId="0" applyBorder="1" applyAlignment="1">
      <alignment horizontal="center"/>
    </xf>
    <xf numFmtId="9" fontId="0" fillId="0" borderId="1" xfId="2" applyFont="1" applyBorder="1"/>
    <xf numFmtId="169" fontId="0" fillId="0" borderId="1" xfId="0" applyNumberFormat="1" applyBorder="1"/>
    <xf numFmtId="170" fontId="0" fillId="2" borderId="1" xfId="2" applyNumberFormat="1" applyFont="1" applyFill="1" applyBorder="1"/>
    <xf numFmtId="171" fontId="0" fillId="0" borderId="0" xfId="0" applyNumberFormat="1"/>
    <xf numFmtId="0" fontId="2" fillId="0" borderId="2" xfId="0" applyFont="1" applyBorder="1"/>
    <xf numFmtId="0" fontId="7" fillId="0" borderId="1" xfId="0" applyFont="1" applyBorder="1" applyAlignment="1">
      <alignment horizontal="left"/>
    </xf>
    <xf numFmtId="3" fontId="2" fillId="0" borderId="1" xfId="0" applyNumberFormat="1" applyFont="1" applyBorder="1"/>
    <xf numFmtId="0" fontId="6" fillId="6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165" fontId="9" fillId="0" borderId="1" xfId="1" applyNumberFormat="1" applyFont="1" applyBorder="1"/>
    <xf numFmtId="0" fontId="10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wrapText="1"/>
    </xf>
    <xf numFmtId="9" fontId="8" fillId="0" borderId="0" xfId="2" applyFont="1"/>
    <xf numFmtId="0" fontId="11" fillId="0" borderId="0" xfId="0" applyFont="1"/>
    <xf numFmtId="0" fontId="10" fillId="0" borderId="1" xfId="0" applyFont="1" applyBorder="1"/>
    <xf numFmtId="165" fontId="10" fillId="0" borderId="0" xfId="1" applyNumberFormat="1" applyFont="1"/>
    <xf numFmtId="166" fontId="8" fillId="5" borderId="1" xfId="0" applyNumberFormat="1" applyFont="1" applyFill="1" applyBorder="1"/>
    <xf numFmtId="0" fontId="9" fillId="5" borderId="1" xfId="0" applyFont="1" applyFill="1" applyBorder="1" applyAlignment="1">
      <alignment horizontal="center" vertical="center" wrapText="1"/>
    </xf>
    <xf numFmtId="166" fontId="9" fillId="5" borderId="1" xfId="1" applyNumberFormat="1" applyFont="1" applyFill="1" applyBorder="1"/>
    <xf numFmtId="0" fontId="9" fillId="3" borderId="1" xfId="0" applyFont="1" applyFill="1" applyBorder="1" applyAlignment="1">
      <alignment horizontal="center" vertical="center" wrapText="1"/>
    </xf>
    <xf numFmtId="10" fontId="9" fillId="3" borderId="1" xfId="2" applyNumberFormat="1" applyFont="1" applyFill="1" applyBorder="1"/>
    <xf numFmtId="9" fontId="9" fillId="3" borderId="1" xfId="2" applyFont="1" applyFill="1" applyBorder="1"/>
    <xf numFmtId="0" fontId="9" fillId="4" borderId="1" xfId="0" applyFont="1" applyFill="1" applyBorder="1" applyAlignment="1">
      <alignment horizontal="center" vertical="center" wrapText="1"/>
    </xf>
    <xf numFmtId="166" fontId="8" fillId="4" borderId="1" xfId="0" applyNumberFormat="1" applyFont="1" applyFill="1" applyBorder="1"/>
    <xf numFmtId="166" fontId="9" fillId="4" borderId="1" xfId="1" applyNumberFormat="1" applyFont="1" applyFill="1" applyBorder="1"/>
    <xf numFmtId="167" fontId="8" fillId="0" borderId="0" xfId="0" applyNumberFormat="1" applyFont="1"/>
    <xf numFmtId="168" fontId="8" fillId="0" borderId="0" xfId="0" applyNumberFormat="1" applyFont="1"/>
    <xf numFmtId="166" fontId="9" fillId="3" borderId="1" xfId="0" applyNumberFormat="1" applyFont="1" applyFill="1" applyBorder="1"/>
    <xf numFmtId="166" fontId="9" fillId="3" borderId="1" xfId="1" applyNumberFormat="1" applyFont="1" applyFill="1" applyBorder="1"/>
    <xf numFmtId="9" fontId="0" fillId="0" borderId="0" xfId="2" applyFont="1"/>
    <xf numFmtId="12" fontId="8" fillId="0" borderId="1" xfId="2" applyNumberFormat="1" applyFont="1" applyBorder="1" applyAlignment="1">
      <alignment horizontal="center"/>
    </xf>
    <xf numFmtId="165" fontId="8" fillId="0" borderId="1" xfId="1" applyNumberFormat="1" applyFont="1" applyBorder="1"/>
    <xf numFmtId="165" fontId="8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165" fontId="9" fillId="0" borderId="1" xfId="0" applyNumberFormat="1" applyFont="1" applyBorder="1"/>
    <xf numFmtId="0" fontId="9" fillId="0" borderId="1" xfId="0" applyFont="1" applyBorder="1"/>
    <xf numFmtId="0" fontId="15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69" fontId="2" fillId="0" borderId="1" xfId="0" applyNumberFormat="1" applyFont="1" applyBorder="1"/>
    <xf numFmtId="166" fontId="4" fillId="0" borderId="1" xfId="1" applyNumberFormat="1" applyFont="1" applyBorder="1"/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9" fontId="5" fillId="0" borderId="1" xfId="0" applyNumberFormat="1" applyFont="1" applyBorder="1"/>
    <xf numFmtId="0" fontId="4" fillId="7" borderId="1" xfId="0" applyFont="1" applyFill="1" applyBorder="1" applyAlignment="1">
      <alignment horizontal="center" vertical="center" wrapText="1"/>
    </xf>
    <xf numFmtId="170" fontId="2" fillId="7" borderId="1" xfId="2" applyNumberFormat="1" applyFont="1" applyFill="1" applyBorder="1"/>
    <xf numFmtId="0" fontId="4" fillId="8" borderId="1" xfId="0" applyFont="1" applyFill="1" applyBorder="1" applyAlignment="1">
      <alignment horizontal="center" vertical="center" wrapText="1"/>
    </xf>
    <xf numFmtId="9" fontId="8" fillId="0" borderId="1" xfId="2" applyFont="1" applyBorder="1"/>
    <xf numFmtId="170" fontId="0" fillId="2" borderId="1" xfId="0" applyNumberFormat="1" applyFill="1" applyBorder="1"/>
    <xf numFmtId="9" fontId="10" fillId="0" borderId="1" xfId="2" applyFont="1" applyBorder="1"/>
    <xf numFmtId="9" fontId="10" fillId="0" borderId="1" xfId="0" applyNumberFormat="1" applyFont="1" applyBorder="1"/>
    <xf numFmtId="9" fontId="18" fillId="0" borderId="1" xfId="2" applyFont="1" applyBorder="1"/>
    <xf numFmtId="0" fontId="13" fillId="0" borderId="0" xfId="0" applyFont="1" applyAlignment="1">
      <alignment horizontal="center"/>
    </xf>
    <xf numFmtId="170" fontId="8" fillId="7" borderId="1" xfId="0" applyNumberFormat="1" applyFont="1" applyFill="1" applyBorder="1"/>
    <xf numFmtId="170" fontId="8" fillId="0" borderId="1" xfId="0" applyNumberFormat="1" applyFont="1" applyBorder="1"/>
    <xf numFmtId="170" fontId="8" fillId="7" borderId="0" xfId="0" applyNumberFormat="1" applyFont="1" applyFill="1"/>
    <xf numFmtId="9" fontId="8" fillId="0" borderId="1" xfId="0" applyNumberFormat="1" applyFont="1" applyBorder="1"/>
    <xf numFmtId="0" fontId="12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left" wrapText="1"/>
    </xf>
    <xf numFmtId="167" fontId="8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" xfId="0" applyFont="1" applyFill="1" applyBorder="1"/>
    <xf numFmtId="0" fontId="6" fillId="6" borderId="2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171" fontId="4" fillId="0" borderId="8" xfId="0" applyNumberFormat="1" applyFont="1" applyBorder="1"/>
    <xf numFmtId="171" fontId="4" fillId="0" borderId="9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/>
    <xf numFmtId="0" fontId="4" fillId="8" borderId="2" xfId="0" applyFont="1" applyFill="1" applyBorder="1"/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8" fillId="0" borderId="6" xfId="0" applyFont="1" applyBorder="1"/>
    <xf numFmtId="9" fontId="8" fillId="0" borderId="7" xfId="2" applyFont="1" applyBorder="1"/>
    <xf numFmtId="165" fontId="9" fillId="0" borderId="8" xfId="1" applyNumberFormat="1" applyFont="1" applyBorder="1"/>
    <xf numFmtId="165" fontId="9" fillId="0" borderId="15" xfId="1" applyNumberFormat="1" applyFont="1" applyBorder="1"/>
    <xf numFmtId="9" fontId="9" fillId="0" borderId="9" xfId="2" applyFont="1" applyBorder="1"/>
    <xf numFmtId="9" fontId="0" fillId="0" borderId="3" xfId="2" applyFont="1" applyBorder="1"/>
    <xf numFmtId="9" fontId="0" fillId="0" borderId="3" xfId="0" applyNumberFormat="1" applyBorder="1"/>
    <xf numFmtId="0" fontId="4" fillId="2" borderId="5" xfId="0" applyFont="1" applyFill="1" applyBorder="1" applyAlignment="1">
      <alignment horizontal="center" vertical="center" wrapText="1"/>
    </xf>
    <xf numFmtId="3" fontId="2" fillId="0" borderId="6" xfId="0" applyNumberFormat="1" applyFont="1" applyBorder="1"/>
    <xf numFmtId="170" fontId="2" fillId="2" borderId="7" xfId="2" applyNumberFormat="1" applyFont="1" applyFill="1" applyBorder="1"/>
    <xf numFmtId="165" fontId="4" fillId="0" borderId="8" xfId="1" applyNumberFormat="1" applyFont="1" applyBorder="1"/>
    <xf numFmtId="165" fontId="4" fillId="0" borderId="15" xfId="1" applyNumberFormat="1" applyFont="1" applyBorder="1"/>
    <xf numFmtId="9" fontId="4" fillId="0" borderId="15" xfId="2" applyFont="1" applyBorder="1"/>
    <xf numFmtId="9" fontId="4" fillId="2" borderId="9" xfId="2" applyFont="1" applyFill="1" applyBorder="1"/>
    <xf numFmtId="0" fontId="4" fillId="0" borderId="3" xfId="0" applyFont="1" applyBorder="1" applyAlignment="1">
      <alignment horizontal="center" vertical="center" wrapText="1"/>
    </xf>
    <xf numFmtId="166" fontId="2" fillId="0" borderId="3" xfId="1" applyNumberFormat="1" applyFont="1" applyBorder="1"/>
    <xf numFmtId="165" fontId="9" fillId="0" borderId="3" xfId="0" applyNumberFormat="1" applyFont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65" fontId="8" fillId="0" borderId="6" xfId="1" applyNumberFormat="1" applyFont="1" applyBorder="1"/>
    <xf numFmtId="165" fontId="8" fillId="0" borderId="7" xfId="1" applyNumberFormat="1" applyFont="1" applyBorder="1"/>
    <xf numFmtId="165" fontId="9" fillId="0" borderId="8" xfId="0" applyNumberFormat="1" applyFont="1" applyBorder="1"/>
    <xf numFmtId="165" fontId="9" fillId="0" borderId="9" xfId="0" applyNumberFormat="1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16" xfId="0" applyFont="1" applyFill="1" applyBorder="1" applyAlignment="1">
      <alignment horizontal="center" vertical="center" wrapText="1"/>
    </xf>
    <xf numFmtId="165" fontId="8" fillId="0" borderId="17" xfId="1" applyNumberFormat="1" applyFont="1" applyBorder="1"/>
    <xf numFmtId="165" fontId="9" fillId="0" borderId="18" xfId="0" applyNumberFormat="1" applyFont="1" applyBorder="1"/>
    <xf numFmtId="0" fontId="8" fillId="0" borderId="19" xfId="0" applyFont="1" applyFill="1" applyBorder="1" applyAlignment="1">
      <alignment horizontal="center" vertical="center" wrapText="1"/>
    </xf>
    <xf numFmtId="165" fontId="8" fillId="0" borderId="20" xfId="1" applyNumberFormat="1" applyFont="1" applyBorder="1"/>
    <xf numFmtId="165" fontId="9" fillId="0" borderId="20" xfId="0" applyNumberFormat="1" applyFont="1" applyBorder="1"/>
    <xf numFmtId="0" fontId="12" fillId="0" borderId="21" xfId="0" applyFont="1" applyBorder="1"/>
    <xf numFmtId="0" fontId="12" fillId="0" borderId="0" xfId="0" applyFont="1" applyBorder="1"/>
    <xf numFmtId="0" fontId="12" fillId="0" borderId="22" xfId="0" applyFont="1" applyBorder="1"/>
    <xf numFmtId="0" fontId="8" fillId="0" borderId="21" xfId="0" applyFont="1" applyBorder="1"/>
    <xf numFmtId="0" fontId="8" fillId="0" borderId="0" xfId="0" applyFont="1" applyBorder="1"/>
    <xf numFmtId="0" fontId="8" fillId="0" borderId="22" xfId="0" applyFont="1" applyBorder="1"/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8" fillId="0" borderId="1" xfId="0" applyFont="1" applyFill="1" applyBorder="1"/>
    <xf numFmtId="0" fontId="9" fillId="0" borderId="1" xfId="0" applyFont="1" applyFill="1" applyBorder="1"/>
    <xf numFmtId="0" fontId="19" fillId="0" borderId="0" xfId="0" applyFont="1"/>
    <xf numFmtId="0" fontId="19" fillId="0" borderId="0" xfId="0" applyFont="1" applyFill="1"/>
    <xf numFmtId="0" fontId="20" fillId="0" borderId="0" xfId="0" applyFont="1"/>
    <xf numFmtId="0" fontId="0" fillId="0" borderId="0" xfId="0" applyFill="1"/>
    <xf numFmtId="0" fontId="8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9" fontId="0" fillId="0" borderId="0" xfId="2" applyFont="1" applyFill="1"/>
    <xf numFmtId="0" fontId="21" fillId="0" borderId="0" xfId="0" applyFont="1"/>
    <xf numFmtId="0" fontId="9" fillId="7" borderId="1" xfId="0" applyFont="1" applyFill="1" applyBorder="1" applyAlignment="1">
      <alignment horizontal="center" vertical="center"/>
    </xf>
    <xf numFmtId="0" fontId="8" fillId="7" borderId="1" xfId="0" applyFont="1" applyFill="1" applyBorder="1"/>
    <xf numFmtId="0" fontId="9" fillId="7" borderId="1" xfId="0" applyFont="1" applyFill="1" applyBorder="1"/>
    <xf numFmtId="0" fontId="8" fillId="7" borderId="1" xfId="0" applyFont="1" applyFill="1" applyBorder="1" applyAlignment="1">
      <alignment horizontal="center" vertical="center" wrapText="1"/>
    </xf>
    <xf numFmtId="9" fontId="8" fillId="7" borderId="1" xfId="2" applyFont="1" applyFill="1" applyBorder="1"/>
    <xf numFmtId="9" fontId="8" fillId="7" borderId="1" xfId="0" applyNumberFormat="1" applyFont="1" applyFill="1" applyBorder="1"/>
    <xf numFmtId="0" fontId="4" fillId="7" borderId="1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4" fillId="7" borderId="1" xfId="0" applyFont="1" applyFill="1" applyBorder="1"/>
    <xf numFmtId="9" fontId="9" fillId="7" borderId="1" xfId="2" applyFont="1" applyFill="1" applyBorder="1"/>
    <xf numFmtId="10" fontId="2" fillId="7" borderId="1" xfId="2" applyNumberFormat="1" applyFont="1" applyFill="1" applyBorder="1"/>
    <xf numFmtId="10" fontId="4" fillId="7" borderId="1" xfId="2" applyNumberFormat="1" applyFont="1" applyFill="1" applyBorder="1"/>
    <xf numFmtId="9" fontId="2" fillId="7" borderId="1" xfId="2" applyFont="1" applyFill="1" applyBorder="1"/>
    <xf numFmtId="9" fontId="4" fillId="7" borderId="1" xfId="2" applyFont="1" applyFill="1" applyBorder="1"/>
    <xf numFmtId="0" fontId="9" fillId="7" borderId="1" xfId="0" applyFont="1" applyFill="1" applyBorder="1" applyAlignment="1">
      <alignment horizontal="center" vertical="center" wrapText="1"/>
    </xf>
    <xf numFmtId="9" fontId="10" fillId="7" borderId="1" xfId="2" applyFont="1" applyFill="1" applyBorder="1"/>
    <xf numFmtId="9" fontId="10" fillId="7" borderId="1" xfId="0" applyNumberFormat="1" applyFont="1" applyFill="1" applyBorder="1"/>
    <xf numFmtId="0" fontId="10" fillId="7" borderId="1" xfId="0" applyFont="1" applyFill="1" applyBorder="1" applyAlignment="1">
      <alignment horizontal="right"/>
    </xf>
    <xf numFmtId="9" fontId="8" fillId="7" borderId="1" xfId="2" applyFont="1" applyFill="1" applyBorder="1" applyAlignment="1">
      <alignment horizontal="center"/>
    </xf>
    <xf numFmtId="9" fontId="17" fillId="7" borderId="1" xfId="0" applyNumberFormat="1" applyFont="1" applyFill="1" applyBorder="1" applyAlignment="1">
      <alignment horizontal="center"/>
    </xf>
    <xf numFmtId="9" fontId="0" fillId="7" borderId="1" xfId="2" applyFont="1" applyFill="1" applyBorder="1"/>
    <xf numFmtId="9" fontId="0" fillId="7" borderId="1" xfId="0" applyNumberFormat="1" applyFill="1" applyBorder="1"/>
    <xf numFmtId="0" fontId="0" fillId="0" borderId="1" xfId="0" applyFill="1" applyBorder="1"/>
    <xf numFmtId="169" fontId="0" fillId="0" borderId="1" xfId="0" applyNumberFormat="1" applyFill="1" applyBorder="1"/>
    <xf numFmtId="0" fontId="8" fillId="0" borderId="0" xfId="0" applyFont="1" applyFill="1" applyAlignment="1">
      <alignment wrapText="1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/>
    <xf numFmtId="166" fontId="9" fillId="0" borderId="1" xfId="0" applyNumberFormat="1" applyFont="1" applyBorder="1"/>
    <xf numFmtId="166" fontId="9" fillId="0" borderId="1" xfId="1" applyNumberFormat="1" applyFont="1" applyBorder="1"/>
    <xf numFmtId="0" fontId="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horizontal="right"/>
    </xf>
    <xf numFmtId="0" fontId="4" fillId="9" borderId="1" xfId="0" applyFont="1" applyFill="1" applyBorder="1" applyAlignment="1">
      <alignment horizontal="center"/>
    </xf>
    <xf numFmtId="164" fontId="4" fillId="9" borderId="1" xfId="5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6">
    <cellStyle name="Millares" xfId="1" builtinId="3"/>
    <cellStyle name="Millares [0]" xfId="5" builtinId="6"/>
    <cellStyle name="Normal" xfId="0" builtinId="0"/>
    <cellStyle name="Normal 2" xfId="3"/>
    <cellStyle name="Normal 4" xfId="4"/>
    <cellStyle name="Porcentaje" xfId="2" builtinId="5"/>
  </cellStyles>
  <dxfs count="0"/>
  <tableStyles count="0" defaultTableStyle="TableStyleMedium2" defaultPivotStyle="PivotStyleLight16"/>
  <colors>
    <mruColors>
      <color rgb="FFFFD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1" Type="http://schemas.openxmlformats.org/officeDocument/2006/relationships/externalLink" Target="externalLinks/externalLink3.xml"/><Relationship Id="rId12" Type="http://schemas.openxmlformats.org/officeDocument/2006/relationships/externalLink" Target="externalLinks/externalLink4.xml"/><Relationship Id="rId13" Type="http://schemas.openxmlformats.org/officeDocument/2006/relationships/externalLink" Target="externalLinks/externalLink5.xml"/><Relationship Id="rId14" Type="http://schemas.openxmlformats.org/officeDocument/2006/relationships/externalLink" Target="externalLinks/externalLink6.xml"/><Relationship Id="rId15" Type="http://schemas.openxmlformats.org/officeDocument/2006/relationships/externalLink" Target="externalLinks/externalLink7.xml"/><Relationship Id="rId16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9233</xdr:colOff>
      <xdr:row>0</xdr:row>
      <xdr:rowOff>25400</xdr:rowOff>
    </xdr:from>
    <xdr:to>
      <xdr:col>16</xdr:col>
      <xdr:colOff>3118</xdr:colOff>
      <xdr:row>7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87033" y="25400"/>
          <a:ext cx="1505185" cy="1371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0.5.112/Dfi/UdA_compartido/Anticipos%202019/FI_2019_Anticipo40%25%20(04ene2019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DAC%202008/CNA/IES-PED-MED%20(REV%2014-01-2019)%20(PBV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nidad%20An&#225;lisis/Presupuesto%202019/FI/Doctorados_acreditados_2801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DAC%202008/CD%20Basal/SIES/Acad_UPRIV_2012_2017_JC_39hrs_y_Doctores%20(JSV%2021nov2018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DAC%202008/CD%20Basal/SIES/Indicadores%20Seguimiento%20Universidades%20Chilenas_Datos_A&#241;o_2017_SIES_2018_entrega23102018%20(RRM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nidad%20An&#225;lisis/Fondo%20Investigaci&#243;n/2018/Reporte_Basal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DAC%202008/CD%20Basal/Conicyt%202018/Reporte_Basal_2018%20(Link%20ORE%20CORREGIDO%2006sep2018)_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DAC%202008/Finanzas/AFD%202019/Respuesta%20Oficio%20DIVESUP%208319_18_VF23.01.2019%20(CBZ%20Conicyt%2023ene20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7">
          <cell r="C7" t="str">
            <v>UDP</v>
          </cell>
          <cell r="D7">
            <v>202679</v>
          </cell>
          <cell r="E7">
            <v>2129282</v>
          </cell>
          <cell r="F7">
            <v>2331961</v>
          </cell>
          <cell r="G7">
            <v>0.32873394152948987</v>
          </cell>
          <cell r="H7">
            <v>1023805.0426921449</v>
          </cell>
          <cell r="I7">
            <v>1023805</v>
          </cell>
        </row>
        <row r="8">
          <cell r="C8" t="str">
            <v>UAH</v>
          </cell>
          <cell r="D8">
            <v>110796</v>
          </cell>
          <cell r="E8">
            <v>1607872</v>
          </cell>
          <cell r="F8">
            <v>1718668</v>
          </cell>
          <cell r="G8">
            <v>0.24227871127373282</v>
          </cell>
          <cell r="H8">
            <v>754549.9110463782</v>
          </cell>
          <cell r="I8">
            <v>754550</v>
          </cell>
        </row>
        <row r="9">
          <cell r="C9" t="str">
            <v>UAU</v>
          </cell>
          <cell r="D9">
            <v>126367</v>
          </cell>
          <cell r="E9">
            <v>1197397</v>
          </cell>
          <cell r="F9">
            <v>1323764</v>
          </cell>
          <cell r="G9">
            <v>0.18660953479704145</v>
          </cell>
          <cell r="H9">
            <v>581174.49585748836</v>
          </cell>
          <cell r="I9">
            <v>581174</v>
          </cell>
        </row>
        <row r="10">
          <cell r="C10" t="str">
            <v>UFT</v>
          </cell>
          <cell r="D10">
            <v>101486</v>
          </cell>
          <cell r="E10">
            <v>613165</v>
          </cell>
          <cell r="F10">
            <v>714651</v>
          </cell>
          <cell r="G10">
            <v>0.10074355447968103</v>
          </cell>
          <cell r="H10">
            <v>313754.51714886486</v>
          </cell>
          <cell r="I10">
            <v>313755</v>
          </cell>
        </row>
        <row r="11">
          <cell r="C11" t="str">
            <v>AHC</v>
          </cell>
          <cell r="D11">
            <v>75930</v>
          </cell>
          <cell r="E11">
            <v>554360</v>
          </cell>
          <cell r="F11">
            <v>630290</v>
          </cell>
          <cell r="G11">
            <v>8.8851278390428556E-2</v>
          </cell>
          <cell r="H11">
            <v>276717.35520381003</v>
          </cell>
          <cell r="I11">
            <v>276717</v>
          </cell>
        </row>
        <row r="12">
          <cell r="C12" t="str">
            <v>UCS</v>
          </cell>
          <cell r="D12">
            <v>92117</v>
          </cell>
          <cell r="E12">
            <v>282313</v>
          </cell>
          <cell r="F12">
            <v>374430</v>
          </cell>
          <cell r="G12">
            <v>5.2782979529626302E-2</v>
          </cell>
          <cell r="H12">
            <v>164386.67805131379</v>
          </cell>
          <cell r="I12">
            <v>164387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"/>
      <sheetName val="PED"/>
      <sheetName val="PREG"/>
      <sheetName val="DOC"/>
      <sheetName val="MAG"/>
      <sheetName val="Doctorados TABLAS"/>
      <sheetName val="Hoja2"/>
      <sheetName val="Pre_31 12 2018"/>
    </sheetNames>
    <sheetDataSet>
      <sheetData sheetId="0">
        <row r="49">
          <cell r="G49" t="str">
            <v>AHC</v>
          </cell>
          <cell r="H49" t="str">
            <v>U. Privada</v>
          </cell>
          <cell r="I49" t="str">
            <v>Gratuidad 2019</v>
          </cell>
          <cell r="J49" t="str">
            <v>SÍ</v>
          </cell>
          <cell r="K49" t="str">
            <v>SÍ</v>
          </cell>
          <cell r="L49" t="str">
            <v>NO</v>
          </cell>
          <cell r="M49" t="str">
            <v>SÍ</v>
          </cell>
          <cell r="N49" t="str">
            <v>NO</v>
          </cell>
          <cell r="O49" t="str">
            <v>CNA-CHILE</v>
          </cell>
          <cell r="P49">
            <v>4</v>
          </cell>
          <cell r="Q49">
            <v>43089</v>
          </cell>
          <cell r="R49">
            <v>44550</v>
          </cell>
          <cell r="S49">
            <v>1</v>
          </cell>
          <cell r="T49">
            <v>1</v>
          </cell>
          <cell r="U49">
            <v>0</v>
          </cell>
          <cell r="V49">
            <v>1</v>
          </cell>
          <cell r="W49">
            <v>0</v>
          </cell>
          <cell r="X49">
            <v>3</v>
          </cell>
        </row>
        <row r="50">
          <cell r="G50" t="str">
            <v>UAI</v>
          </cell>
          <cell r="H50" t="str">
            <v>U. Privada</v>
          </cell>
          <cell r="I50">
            <v>0</v>
          </cell>
          <cell r="J50" t="str">
            <v>SÍ</v>
          </cell>
          <cell r="K50" t="str">
            <v>SÍ</v>
          </cell>
          <cell r="L50" t="str">
            <v>SÍ</v>
          </cell>
          <cell r="M50" t="str">
            <v>SÍ</v>
          </cell>
          <cell r="N50" t="str">
            <v>SÍ</v>
          </cell>
          <cell r="O50" t="str">
            <v>CNA-CHILE</v>
          </cell>
          <cell r="P50">
            <v>5</v>
          </cell>
          <cell r="Q50">
            <v>42326</v>
          </cell>
          <cell r="R50">
            <v>44153</v>
          </cell>
          <cell r="S50">
            <v>1</v>
          </cell>
          <cell r="T50">
            <v>1</v>
          </cell>
          <cell r="U50">
            <v>1</v>
          </cell>
          <cell r="V50">
            <v>1</v>
          </cell>
          <cell r="W50">
            <v>1</v>
          </cell>
          <cell r="X50">
            <v>5</v>
          </cell>
        </row>
        <row r="51">
          <cell r="G51" t="str">
            <v>UAC</v>
          </cell>
          <cell r="H51" t="str">
            <v>U. Privada</v>
          </cell>
          <cell r="I51">
            <v>0</v>
          </cell>
          <cell r="J51" t="str">
            <v>SÍ</v>
          </cell>
          <cell r="K51" t="str">
            <v>SÍ</v>
          </cell>
          <cell r="L51" t="str">
            <v>NO</v>
          </cell>
          <cell r="M51" t="str">
            <v>SÍ</v>
          </cell>
          <cell r="N51" t="str">
            <v>NO</v>
          </cell>
          <cell r="O51" t="str">
            <v>CNA-CHILE</v>
          </cell>
          <cell r="P51">
            <v>3</v>
          </cell>
          <cell r="Q51">
            <v>42382</v>
          </cell>
          <cell r="R51">
            <v>43478</v>
          </cell>
          <cell r="S51">
            <v>1</v>
          </cell>
          <cell r="T51">
            <v>1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</row>
        <row r="52">
          <cell r="G52" t="str">
            <v>UAH</v>
          </cell>
          <cell r="H52" t="str">
            <v>CRUCH Priv. Priv.</v>
          </cell>
          <cell r="I52" t="str">
            <v>Gratuidad 2019</v>
          </cell>
          <cell r="J52" t="str">
            <v>SÍ</v>
          </cell>
          <cell r="K52" t="str">
            <v>SÍ</v>
          </cell>
          <cell r="L52" t="str">
            <v>SÍ</v>
          </cell>
          <cell r="M52" t="str">
            <v>SÍ</v>
          </cell>
          <cell r="N52" t="str">
            <v>SÍ</v>
          </cell>
          <cell r="O52" t="str">
            <v>CNED</v>
          </cell>
          <cell r="P52">
            <v>5</v>
          </cell>
          <cell r="Q52">
            <v>41990</v>
          </cell>
          <cell r="R52">
            <v>43816</v>
          </cell>
          <cell r="S52">
            <v>1</v>
          </cell>
          <cell r="T52">
            <v>1</v>
          </cell>
          <cell r="U52">
            <v>1</v>
          </cell>
          <cell r="V52">
            <v>1</v>
          </cell>
          <cell r="W52">
            <v>1</v>
          </cell>
          <cell r="X52">
            <v>5</v>
          </cell>
        </row>
        <row r="53">
          <cell r="G53" t="str">
            <v>UAB</v>
          </cell>
          <cell r="H53" t="str">
            <v>U. Privada</v>
          </cell>
          <cell r="I53">
            <v>0</v>
          </cell>
          <cell r="J53" t="str">
            <v>SÍ</v>
          </cell>
          <cell r="K53" t="str">
            <v>SÍ</v>
          </cell>
          <cell r="L53" t="str">
            <v>SÍ</v>
          </cell>
          <cell r="M53" t="str">
            <v>SÍ</v>
          </cell>
          <cell r="N53" t="str">
            <v>NO</v>
          </cell>
          <cell r="O53" t="str">
            <v>CNA-CHILE</v>
          </cell>
          <cell r="P53">
            <v>5</v>
          </cell>
          <cell r="Q53">
            <v>43093</v>
          </cell>
          <cell r="R53">
            <v>44919</v>
          </cell>
          <cell r="S53">
            <v>1</v>
          </cell>
          <cell r="T53">
            <v>1</v>
          </cell>
          <cell r="U53">
            <v>1</v>
          </cell>
          <cell r="V53">
            <v>1</v>
          </cell>
          <cell r="W53">
            <v>0</v>
          </cell>
          <cell r="X53">
            <v>4</v>
          </cell>
        </row>
        <row r="54">
          <cell r="G54" t="str">
            <v>UAP</v>
          </cell>
          <cell r="H54" t="str">
            <v>CRUCH Est.</v>
          </cell>
          <cell r="I54">
            <v>0</v>
          </cell>
          <cell r="J54" t="str">
            <v>SÍ</v>
          </cell>
          <cell r="K54" t="str">
            <v>SÍ</v>
          </cell>
          <cell r="L54" t="str">
            <v>NO</v>
          </cell>
          <cell r="M54" t="str">
            <v>SÍ</v>
          </cell>
          <cell r="N54" t="str">
            <v>NO</v>
          </cell>
          <cell r="O54" t="str">
            <v>CNA-CHILE</v>
          </cell>
          <cell r="P54">
            <v>4</v>
          </cell>
          <cell r="Q54">
            <v>43090</v>
          </cell>
          <cell r="R54">
            <v>44551</v>
          </cell>
          <cell r="S54">
            <v>1</v>
          </cell>
          <cell r="T54">
            <v>1</v>
          </cell>
          <cell r="U54">
            <v>0</v>
          </cell>
          <cell r="V54">
            <v>1</v>
          </cell>
          <cell r="W54">
            <v>0</v>
          </cell>
          <cell r="X54">
            <v>3</v>
          </cell>
        </row>
        <row r="55">
          <cell r="G55" t="str">
            <v>AUS</v>
          </cell>
          <cell r="H55" t="str">
            <v>CRUCH Priv.</v>
          </cell>
          <cell r="I55">
            <v>0</v>
          </cell>
          <cell r="J55" t="str">
            <v>SÍ</v>
          </cell>
          <cell r="K55" t="str">
            <v>SÍ</v>
          </cell>
          <cell r="L55" t="str">
            <v>SÍ</v>
          </cell>
          <cell r="M55" t="str">
            <v>SÍ</v>
          </cell>
          <cell r="N55" t="str">
            <v>SÍ</v>
          </cell>
          <cell r="O55" t="str">
            <v>CNA-CHILE</v>
          </cell>
          <cell r="P55">
            <v>6</v>
          </cell>
          <cell r="Q55">
            <v>42320</v>
          </cell>
          <cell r="R55">
            <v>44512</v>
          </cell>
          <cell r="S55">
            <v>1</v>
          </cell>
          <cell r="T55">
            <v>1</v>
          </cell>
          <cell r="U55">
            <v>1</v>
          </cell>
          <cell r="V55">
            <v>1</v>
          </cell>
          <cell r="W55">
            <v>1</v>
          </cell>
          <cell r="X55">
            <v>5</v>
          </cell>
        </row>
        <row r="56">
          <cell r="G56" t="str">
            <v>UAU</v>
          </cell>
          <cell r="H56" t="str">
            <v>U. Privada</v>
          </cell>
          <cell r="I56" t="str">
            <v>Gratuidad 2019</v>
          </cell>
          <cell r="J56" t="str">
            <v>SÍ</v>
          </cell>
          <cell r="K56" t="str">
            <v>SÍ</v>
          </cell>
          <cell r="L56" t="str">
            <v>SÍ</v>
          </cell>
          <cell r="M56" t="str">
            <v>SÍ</v>
          </cell>
          <cell r="N56" t="str">
            <v>NO</v>
          </cell>
          <cell r="O56" t="str">
            <v>CNA-CHILE</v>
          </cell>
          <cell r="P56">
            <v>4</v>
          </cell>
          <cell r="Q56">
            <v>42305</v>
          </cell>
          <cell r="R56">
            <v>43766</v>
          </cell>
          <cell r="S56">
            <v>1</v>
          </cell>
          <cell r="T56">
            <v>1</v>
          </cell>
          <cell r="U56">
            <v>1</v>
          </cell>
          <cell r="V56">
            <v>1</v>
          </cell>
          <cell r="W56">
            <v>0</v>
          </cell>
          <cell r="X56">
            <v>4</v>
          </cell>
        </row>
        <row r="57">
          <cell r="G57" t="str">
            <v>UBO</v>
          </cell>
          <cell r="H57" t="str">
            <v>U. Privada</v>
          </cell>
          <cell r="I57">
            <v>0</v>
          </cell>
          <cell r="J57" t="str">
            <v>SÍ</v>
          </cell>
          <cell r="K57" t="str">
            <v>SÍ</v>
          </cell>
          <cell r="L57" t="str">
            <v>NO</v>
          </cell>
          <cell r="M57" t="str">
            <v>SÍ</v>
          </cell>
          <cell r="N57" t="str">
            <v>NO</v>
          </cell>
          <cell r="O57" t="str">
            <v>CNA-CHILE</v>
          </cell>
          <cell r="P57">
            <v>4</v>
          </cell>
          <cell r="Q57">
            <v>43304</v>
          </cell>
          <cell r="R57">
            <v>44765</v>
          </cell>
          <cell r="S57">
            <v>1</v>
          </cell>
          <cell r="T57">
            <v>1</v>
          </cell>
          <cell r="U57">
            <v>0</v>
          </cell>
          <cell r="V57">
            <v>1</v>
          </cell>
          <cell r="W57">
            <v>0</v>
          </cell>
          <cell r="X57">
            <v>3</v>
          </cell>
        </row>
        <row r="58">
          <cell r="G58" t="str">
            <v>UCS</v>
          </cell>
          <cell r="H58" t="str">
            <v>U. Privada</v>
          </cell>
          <cell r="I58" t="str">
            <v>Gratuidad 2019</v>
          </cell>
          <cell r="J58" t="str">
            <v>SÍ</v>
          </cell>
          <cell r="K58" t="str">
            <v>SÍ</v>
          </cell>
          <cell r="L58" t="str">
            <v>NO</v>
          </cell>
          <cell r="M58" t="str">
            <v>NO</v>
          </cell>
          <cell r="N58" t="str">
            <v>NO</v>
          </cell>
          <cell r="O58" t="str">
            <v>CNA-CHILE</v>
          </cell>
          <cell r="P58">
            <v>4</v>
          </cell>
          <cell r="Q58">
            <v>42703</v>
          </cell>
          <cell r="R58">
            <v>44164</v>
          </cell>
          <cell r="S58">
            <v>1</v>
          </cell>
          <cell r="T58">
            <v>1</v>
          </cell>
          <cell r="U58">
            <v>0</v>
          </cell>
          <cell r="V58">
            <v>0</v>
          </cell>
          <cell r="W58">
            <v>0</v>
          </cell>
          <cell r="X58">
            <v>2</v>
          </cell>
        </row>
        <row r="59">
          <cell r="G59" t="str">
            <v>USC</v>
          </cell>
          <cell r="H59" t="str">
            <v>CRUCH Priv.</v>
          </cell>
          <cell r="I59">
            <v>0</v>
          </cell>
          <cell r="J59" t="str">
            <v>SÍ</v>
          </cell>
          <cell r="K59" t="str">
            <v>SÍ</v>
          </cell>
          <cell r="L59" t="str">
            <v>NO</v>
          </cell>
          <cell r="M59" t="str">
            <v>SÍ</v>
          </cell>
          <cell r="N59" t="str">
            <v>NO</v>
          </cell>
          <cell r="O59" t="str">
            <v>CNA-CHILE</v>
          </cell>
          <cell r="P59">
            <v>4</v>
          </cell>
          <cell r="Q59">
            <v>42689</v>
          </cell>
          <cell r="R59">
            <v>44150</v>
          </cell>
          <cell r="S59">
            <v>1</v>
          </cell>
          <cell r="T59">
            <v>1</v>
          </cell>
          <cell r="U59">
            <v>0</v>
          </cell>
          <cell r="V59">
            <v>1</v>
          </cell>
          <cell r="W59">
            <v>0</v>
          </cell>
          <cell r="X59">
            <v>3</v>
          </cell>
        </row>
        <row r="60">
          <cell r="G60" t="str">
            <v>UCT</v>
          </cell>
          <cell r="H60" t="str">
            <v>CRUCH Priv.</v>
          </cell>
          <cell r="I60">
            <v>0</v>
          </cell>
          <cell r="J60" t="str">
            <v>SÍ</v>
          </cell>
          <cell r="K60" t="str">
            <v>SÍ</v>
          </cell>
          <cell r="L60" t="str">
            <v>SÍ</v>
          </cell>
          <cell r="M60" t="str">
            <v>SÍ</v>
          </cell>
          <cell r="N60" t="str">
            <v>NO</v>
          </cell>
          <cell r="O60" t="str">
            <v>CNA-CHILE</v>
          </cell>
          <cell r="P60">
            <v>4</v>
          </cell>
          <cell r="Q60">
            <v>42200</v>
          </cell>
          <cell r="R60">
            <v>43661</v>
          </cell>
          <cell r="S60">
            <v>1</v>
          </cell>
          <cell r="T60">
            <v>1</v>
          </cell>
          <cell r="U60">
            <v>1</v>
          </cell>
          <cell r="V60">
            <v>1</v>
          </cell>
          <cell r="W60">
            <v>0</v>
          </cell>
          <cell r="X60">
            <v>4</v>
          </cell>
        </row>
        <row r="61">
          <cell r="G61" t="str">
            <v>UCM</v>
          </cell>
          <cell r="H61" t="str">
            <v>CRUCH Priv.</v>
          </cell>
          <cell r="I61">
            <v>0</v>
          </cell>
          <cell r="J61" t="str">
            <v>SÍ</v>
          </cell>
          <cell r="K61" t="str">
            <v>SÍ</v>
          </cell>
          <cell r="L61" t="str">
            <v>NO</v>
          </cell>
          <cell r="M61" t="str">
            <v>SÍ</v>
          </cell>
          <cell r="N61" t="str">
            <v>NO</v>
          </cell>
          <cell r="O61" t="str">
            <v>CNA-CHILE</v>
          </cell>
          <cell r="P61">
            <v>5</v>
          </cell>
          <cell r="Q61">
            <v>42179</v>
          </cell>
          <cell r="R61">
            <v>44006</v>
          </cell>
          <cell r="S61">
            <v>1</v>
          </cell>
          <cell r="T61">
            <v>1</v>
          </cell>
          <cell r="U61">
            <v>0</v>
          </cell>
          <cell r="V61">
            <v>1</v>
          </cell>
          <cell r="W61">
            <v>0</v>
          </cell>
          <cell r="X61">
            <v>3</v>
          </cell>
        </row>
        <row r="62">
          <cell r="G62" t="str">
            <v>UCN</v>
          </cell>
          <cell r="H62" t="str">
            <v>CRUCH Priv.</v>
          </cell>
          <cell r="I62">
            <v>0</v>
          </cell>
          <cell r="J62" t="str">
            <v>SÍ</v>
          </cell>
          <cell r="K62" t="str">
            <v>SÍ</v>
          </cell>
          <cell r="L62" t="str">
            <v>SÍ</v>
          </cell>
          <cell r="M62" t="str">
            <v>SÍ</v>
          </cell>
          <cell r="N62" t="str">
            <v>SÍ</v>
          </cell>
          <cell r="O62" t="str">
            <v>CNA-CHILE</v>
          </cell>
          <cell r="P62">
            <v>6</v>
          </cell>
          <cell r="Q62">
            <v>42699</v>
          </cell>
          <cell r="R62">
            <v>44890</v>
          </cell>
          <cell r="S62">
            <v>1</v>
          </cell>
          <cell r="T62">
            <v>1</v>
          </cell>
          <cell r="U62">
            <v>1</v>
          </cell>
          <cell r="V62">
            <v>1</v>
          </cell>
          <cell r="W62">
            <v>1</v>
          </cell>
          <cell r="X62">
            <v>5</v>
          </cell>
        </row>
        <row r="63">
          <cell r="G63" t="str">
            <v>UCE</v>
          </cell>
          <cell r="H63" t="str">
            <v>U. Privada</v>
          </cell>
          <cell r="I63">
            <v>0</v>
          </cell>
          <cell r="J63" t="str">
            <v>SÍ</v>
          </cell>
          <cell r="K63" t="str">
            <v>SÍ</v>
          </cell>
          <cell r="L63" t="str">
            <v>NO</v>
          </cell>
          <cell r="M63" t="str">
            <v>SÍ</v>
          </cell>
          <cell r="N63" t="str">
            <v>NO</v>
          </cell>
          <cell r="O63" t="str">
            <v>CNA-CHILE</v>
          </cell>
          <cell r="P63">
            <v>4</v>
          </cell>
          <cell r="Q63">
            <v>43090</v>
          </cell>
          <cell r="R63">
            <v>44551</v>
          </cell>
          <cell r="S63">
            <v>1</v>
          </cell>
          <cell r="T63">
            <v>1</v>
          </cell>
          <cell r="U63">
            <v>0</v>
          </cell>
          <cell r="V63">
            <v>1</v>
          </cell>
          <cell r="W63">
            <v>0</v>
          </cell>
          <cell r="X63">
            <v>3</v>
          </cell>
        </row>
        <row r="64">
          <cell r="G64" t="str">
            <v>ANT</v>
          </cell>
          <cell r="H64" t="str">
            <v>CRUCH Est.</v>
          </cell>
          <cell r="I64">
            <v>0</v>
          </cell>
          <cell r="J64" t="str">
            <v>SÍ</v>
          </cell>
          <cell r="K64" t="str">
            <v>SÍ</v>
          </cell>
          <cell r="L64" t="str">
            <v>SÍ</v>
          </cell>
          <cell r="M64" t="str">
            <v>SÍ</v>
          </cell>
          <cell r="N64" t="str">
            <v>NO</v>
          </cell>
          <cell r="O64" t="str">
            <v>CNA-CHILE</v>
          </cell>
          <cell r="P64">
            <v>5</v>
          </cell>
          <cell r="Q64">
            <v>42962</v>
          </cell>
          <cell r="R64">
            <v>44788</v>
          </cell>
          <cell r="S64">
            <v>1</v>
          </cell>
          <cell r="T64">
            <v>1</v>
          </cell>
          <cell r="U64">
            <v>1</v>
          </cell>
          <cell r="V64">
            <v>1</v>
          </cell>
          <cell r="W64">
            <v>0</v>
          </cell>
          <cell r="X64">
            <v>4</v>
          </cell>
        </row>
        <row r="65">
          <cell r="G65" t="str">
            <v>ATA</v>
          </cell>
          <cell r="H65" t="str">
            <v>CRUCH Est.</v>
          </cell>
          <cell r="I65">
            <v>0</v>
          </cell>
          <cell r="J65" t="str">
            <v>SÍ</v>
          </cell>
          <cell r="K65" t="str">
            <v>SÍ</v>
          </cell>
          <cell r="L65" t="str">
            <v>SÍ</v>
          </cell>
          <cell r="M65" t="str">
            <v>SÍ</v>
          </cell>
          <cell r="N65" t="str">
            <v>NO</v>
          </cell>
          <cell r="O65" t="str">
            <v>CNA-CHILE</v>
          </cell>
          <cell r="P65">
            <v>3</v>
          </cell>
          <cell r="Q65">
            <v>43086</v>
          </cell>
          <cell r="R65">
            <v>44182</v>
          </cell>
          <cell r="S65">
            <v>1</v>
          </cell>
          <cell r="T65">
            <v>1</v>
          </cell>
          <cell r="U65">
            <v>1</v>
          </cell>
          <cell r="V65">
            <v>1</v>
          </cell>
          <cell r="W65">
            <v>0</v>
          </cell>
          <cell r="X65">
            <v>4</v>
          </cell>
        </row>
        <row r="66">
          <cell r="G66" t="str">
            <v>UCH</v>
          </cell>
          <cell r="H66" t="str">
            <v>CRUCH Est.</v>
          </cell>
          <cell r="I66">
            <v>0</v>
          </cell>
          <cell r="J66" t="str">
            <v>SÍ</v>
          </cell>
          <cell r="K66" t="str">
            <v>SÍ</v>
          </cell>
          <cell r="L66" t="str">
            <v>SÍ</v>
          </cell>
          <cell r="M66" t="str">
            <v>SÍ</v>
          </cell>
          <cell r="N66" t="str">
            <v>SÍ</v>
          </cell>
          <cell r="O66" t="str">
            <v>CNA-CHILE</v>
          </cell>
          <cell r="P66">
            <v>7</v>
          </cell>
          <cell r="Q66">
            <v>43456</v>
          </cell>
          <cell r="R66">
            <v>46013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  <cell r="W66">
            <v>1</v>
          </cell>
          <cell r="X66">
            <v>5</v>
          </cell>
        </row>
        <row r="67">
          <cell r="G67" t="str">
            <v>UCO</v>
          </cell>
          <cell r="H67" t="str">
            <v>CRUCH Priv.</v>
          </cell>
          <cell r="I67">
            <v>0</v>
          </cell>
          <cell r="J67" t="str">
            <v>SÍ</v>
          </cell>
          <cell r="K67" t="str">
            <v>SÍ</v>
          </cell>
          <cell r="L67" t="str">
            <v>SÍ</v>
          </cell>
          <cell r="M67" t="str">
            <v>SÍ</v>
          </cell>
          <cell r="N67" t="str">
            <v>SÍ</v>
          </cell>
          <cell r="O67" t="str">
            <v>CNA-CHILE</v>
          </cell>
          <cell r="P67">
            <v>7</v>
          </cell>
          <cell r="Q67">
            <v>42685</v>
          </cell>
          <cell r="R67">
            <v>45241</v>
          </cell>
          <cell r="S67">
            <v>1</v>
          </cell>
          <cell r="T67">
            <v>1</v>
          </cell>
          <cell r="U67">
            <v>1</v>
          </cell>
          <cell r="V67">
            <v>1</v>
          </cell>
          <cell r="W67">
            <v>1</v>
          </cell>
          <cell r="X67">
            <v>5</v>
          </cell>
        </row>
        <row r="68">
          <cell r="G68" t="str">
            <v>FRO</v>
          </cell>
          <cell r="H68" t="str">
            <v>CRUCH Est.</v>
          </cell>
          <cell r="I68">
            <v>0</v>
          </cell>
          <cell r="J68" t="str">
            <v>SÍ</v>
          </cell>
          <cell r="K68" t="str">
            <v>SÍ</v>
          </cell>
          <cell r="L68" t="str">
            <v>SÍ</v>
          </cell>
          <cell r="M68" t="str">
            <v>SÍ</v>
          </cell>
          <cell r="N68" t="str">
            <v>SÍ</v>
          </cell>
          <cell r="O68" t="str">
            <v>CNA-CHILE</v>
          </cell>
          <cell r="P68">
            <v>6</v>
          </cell>
          <cell r="Q68">
            <v>43432</v>
          </cell>
          <cell r="R68">
            <v>45624</v>
          </cell>
          <cell r="S68">
            <v>1</v>
          </cell>
          <cell r="T68">
            <v>1</v>
          </cell>
          <cell r="U68">
            <v>1</v>
          </cell>
          <cell r="V68">
            <v>1</v>
          </cell>
          <cell r="W68">
            <v>1</v>
          </cell>
          <cell r="X68">
            <v>5</v>
          </cell>
        </row>
        <row r="69">
          <cell r="G69" t="str">
            <v>ULS</v>
          </cell>
          <cell r="H69" t="str">
            <v>CRUCH Est.</v>
          </cell>
          <cell r="I69">
            <v>0</v>
          </cell>
          <cell r="J69" t="str">
            <v>SÍ</v>
          </cell>
          <cell r="K69" t="str">
            <v>SÍ</v>
          </cell>
          <cell r="L69" t="str">
            <v>SÍ</v>
          </cell>
          <cell r="M69" t="str">
            <v>SÍ</v>
          </cell>
          <cell r="N69" t="str">
            <v>NO</v>
          </cell>
          <cell r="O69" t="str">
            <v>CNA-CHILE</v>
          </cell>
          <cell r="P69">
            <v>4</v>
          </cell>
          <cell r="Q69">
            <v>42724</v>
          </cell>
          <cell r="R69">
            <v>44185</v>
          </cell>
          <cell r="S69">
            <v>1</v>
          </cell>
          <cell r="T69">
            <v>1</v>
          </cell>
          <cell r="U69">
            <v>1</v>
          </cell>
          <cell r="V69">
            <v>1</v>
          </cell>
          <cell r="W69">
            <v>0</v>
          </cell>
          <cell r="X69">
            <v>4</v>
          </cell>
        </row>
        <row r="70">
          <cell r="G70" t="str">
            <v>UAM</v>
          </cell>
          <cell r="H70" t="str">
            <v>U. Privada</v>
          </cell>
          <cell r="I70">
            <v>0</v>
          </cell>
          <cell r="J70" t="str">
            <v>SÍ</v>
          </cell>
          <cell r="K70" t="str">
            <v>SÍ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CNA-CHILE</v>
          </cell>
          <cell r="P70">
            <v>3</v>
          </cell>
          <cell r="Q70">
            <v>42445</v>
          </cell>
          <cell r="R70">
            <v>43540</v>
          </cell>
          <cell r="S70">
            <v>1</v>
          </cell>
          <cell r="T70">
            <v>1</v>
          </cell>
          <cell r="U70">
            <v>0</v>
          </cell>
          <cell r="V70">
            <v>0</v>
          </cell>
          <cell r="W70">
            <v>0</v>
          </cell>
          <cell r="X70">
            <v>2</v>
          </cell>
        </row>
        <row r="71">
          <cell r="G71" t="str">
            <v>UAN</v>
          </cell>
          <cell r="H71" t="str">
            <v>U. Privada</v>
          </cell>
          <cell r="I71">
            <v>0</v>
          </cell>
          <cell r="J71" t="str">
            <v>SÍ</v>
          </cell>
          <cell r="K71" t="str">
            <v>SÍ</v>
          </cell>
          <cell r="L71" t="str">
            <v>SÍ</v>
          </cell>
          <cell r="M71" t="str">
            <v>SÍ</v>
          </cell>
          <cell r="N71" t="str">
            <v>SÍ</v>
          </cell>
          <cell r="O71" t="str">
            <v>CNA-CHILE</v>
          </cell>
          <cell r="P71">
            <v>5</v>
          </cell>
          <cell r="Q71">
            <v>43082</v>
          </cell>
          <cell r="R71">
            <v>44908</v>
          </cell>
          <cell r="S71">
            <v>1</v>
          </cell>
          <cell r="T71">
            <v>1</v>
          </cell>
          <cell r="U71">
            <v>1</v>
          </cell>
          <cell r="V71">
            <v>1</v>
          </cell>
          <cell r="W71">
            <v>1</v>
          </cell>
          <cell r="X71">
            <v>5</v>
          </cell>
        </row>
        <row r="72">
          <cell r="G72" t="str">
            <v>ULA</v>
          </cell>
          <cell r="H72" t="str">
            <v>CRUCH Est.</v>
          </cell>
          <cell r="I72">
            <v>0</v>
          </cell>
          <cell r="J72" t="str">
            <v>SÍ</v>
          </cell>
          <cell r="K72" t="str">
            <v>SÍ</v>
          </cell>
          <cell r="L72" t="str">
            <v>NO</v>
          </cell>
          <cell r="M72" t="str">
            <v>SÍ</v>
          </cell>
          <cell r="N72" t="str">
            <v>NO</v>
          </cell>
          <cell r="O72" t="str">
            <v>CNA-CHILE</v>
          </cell>
          <cell r="P72">
            <v>4</v>
          </cell>
          <cell r="Q72">
            <v>42716</v>
          </cell>
          <cell r="R72">
            <v>44177</v>
          </cell>
          <cell r="S72">
            <v>1</v>
          </cell>
          <cell r="T72">
            <v>1</v>
          </cell>
          <cell r="U72">
            <v>0</v>
          </cell>
          <cell r="V72">
            <v>1</v>
          </cell>
          <cell r="W72">
            <v>0</v>
          </cell>
          <cell r="X72">
            <v>3</v>
          </cell>
        </row>
        <row r="73">
          <cell r="G73" t="str">
            <v>MAG</v>
          </cell>
          <cell r="H73" t="str">
            <v>CRUCH Est.</v>
          </cell>
          <cell r="I73">
            <v>0</v>
          </cell>
          <cell r="J73" t="str">
            <v>SÍ</v>
          </cell>
          <cell r="K73" t="str">
            <v>SÍ</v>
          </cell>
          <cell r="L73" t="str">
            <v>SÍ</v>
          </cell>
          <cell r="M73" t="str">
            <v>SÍ</v>
          </cell>
          <cell r="N73" t="str">
            <v>NO</v>
          </cell>
          <cell r="O73" t="str">
            <v>CNA-CHILE</v>
          </cell>
          <cell r="P73">
            <v>4</v>
          </cell>
          <cell r="Q73">
            <v>42367</v>
          </cell>
          <cell r="R73">
            <v>43828</v>
          </cell>
          <cell r="S73">
            <v>1</v>
          </cell>
          <cell r="T73">
            <v>1</v>
          </cell>
          <cell r="U73">
            <v>1</v>
          </cell>
          <cell r="V73">
            <v>1</v>
          </cell>
          <cell r="W73">
            <v>0</v>
          </cell>
          <cell r="X73">
            <v>4</v>
          </cell>
        </row>
        <row r="74">
          <cell r="G74" t="str">
            <v>UPA</v>
          </cell>
          <cell r="H74" t="str">
            <v>CRUCH Est.</v>
          </cell>
          <cell r="I74">
            <v>0</v>
          </cell>
          <cell r="J74" t="str">
            <v>SÍ</v>
          </cell>
          <cell r="K74" t="str">
            <v>SÍ</v>
          </cell>
          <cell r="L74" t="str">
            <v>NO</v>
          </cell>
          <cell r="M74" t="str">
            <v>SÍ</v>
          </cell>
          <cell r="N74" t="str">
            <v>NO</v>
          </cell>
          <cell r="O74" t="str">
            <v>CNA-CHILE</v>
          </cell>
          <cell r="P74">
            <v>5</v>
          </cell>
          <cell r="Q74">
            <v>42640</v>
          </cell>
          <cell r="R74">
            <v>44466</v>
          </cell>
          <cell r="S74">
            <v>1</v>
          </cell>
          <cell r="T74">
            <v>1</v>
          </cell>
          <cell r="U74">
            <v>0</v>
          </cell>
          <cell r="V74">
            <v>1</v>
          </cell>
          <cell r="W74">
            <v>0</v>
          </cell>
          <cell r="X74">
            <v>3</v>
          </cell>
        </row>
        <row r="75">
          <cell r="G75" t="str">
            <v>USA</v>
          </cell>
          <cell r="H75" t="str">
            <v>CRUCH Est.</v>
          </cell>
          <cell r="I75">
            <v>0</v>
          </cell>
          <cell r="J75" t="str">
            <v>SÍ</v>
          </cell>
          <cell r="K75" t="str">
            <v>SÍ</v>
          </cell>
          <cell r="L75" t="str">
            <v>SÍ</v>
          </cell>
          <cell r="M75" t="str">
            <v>SÍ</v>
          </cell>
          <cell r="N75" t="str">
            <v>SÍ</v>
          </cell>
          <cell r="O75" t="str">
            <v>CNA-CHILE</v>
          </cell>
          <cell r="P75">
            <v>6</v>
          </cell>
          <cell r="Q75">
            <v>41914</v>
          </cell>
          <cell r="R75">
            <v>44106</v>
          </cell>
          <cell r="S75">
            <v>1</v>
          </cell>
          <cell r="T75">
            <v>1</v>
          </cell>
          <cell r="U75">
            <v>1</v>
          </cell>
          <cell r="V75">
            <v>1</v>
          </cell>
          <cell r="W75">
            <v>1</v>
          </cell>
          <cell r="X75">
            <v>5</v>
          </cell>
        </row>
        <row r="76">
          <cell r="G76" t="str">
            <v>TAL</v>
          </cell>
          <cell r="H76" t="str">
            <v>CRUCH Est.</v>
          </cell>
          <cell r="I76">
            <v>0</v>
          </cell>
          <cell r="J76" t="str">
            <v>SÍ</v>
          </cell>
          <cell r="K76" t="str">
            <v>SÍ</v>
          </cell>
          <cell r="L76" t="str">
            <v>SÍ</v>
          </cell>
          <cell r="M76" t="str">
            <v>SÍ</v>
          </cell>
          <cell r="N76" t="str">
            <v>SÍ</v>
          </cell>
          <cell r="O76" t="str">
            <v>CNA-CHILE</v>
          </cell>
          <cell r="P76">
            <v>5</v>
          </cell>
          <cell r="Q76">
            <v>41969</v>
          </cell>
          <cell r="R76">
            <v>43795</v>
          </cell>
          <cell r="S76">
            <v>1</v>
          </cell>
          <cell r="T76">
            <v>1</v>
          </cell>
          <cell r="U76">
            <v>1</v>
          </cell>
          <cell r="V76">
            <v>1</v>
          </cell>
          <cell r="W76">
            <v>1</v>
          </cell>
          <cell r="X76">
            <v>5</v>
          </cell>
        </row>
        <row r="77">
          <cell r="G77" t="str">
            <v>UTA</v>
          </cell>
          <cell r="H77" t="str">
            <v>CRUCH Est.</v>
          </cell>
          <cell r="I77">
            <v>0</v>
          </cell>
          <cell r="J77" t="str">
            <v>SÍ</v>
          </cell>
          <cell r="K77" t="str">
            <v>SÍ</v>
          </cell>
          <cell r="L77" t="str">
            <v>SÍ</v>
          </cell>
          <cell r="M77" t="str">
            <v>SÍ</v>
          </cell>
          <cell r="N77" t="str">
            <v>NO</v>
          </cell>
          <cell r="O77" t="str">
            <v>CNA-CHILE</v>
          </cell>
          <cell r="P77">
            <v>5</v>
          </cell>
          <cell r="Q77">
            <v>43061</v>
          </cell>
          <cell r="R77">
            <v>44887</v>
          </cell>
          <cell r="S77">
            <v>1</v>
          </cell>
          <cell r="T77">
            <v>1</v>
          </cell>
          <cell r="U77">
            <v>1</v>
          </cell>
          <cell r="V77">
            <v>1</v>
          </cell>
          <cell r="W77">
            <v>0</v>
          </cell>
          <cell r="X77">
            <v>4</v>
          </cell>
        </row>
        <row r="78">
          <cell r="G78" t="str">
            <v>UVA</v>
          </cell>
          <cell r="H78" t="str">
            <v>CRUCH Est.</v>
          </cell>
          <cell r="I78">
            <v>0</v>
          </cell>
          <cell r="J78" t="str">
            <v>SÍ</v>
          </cell>
          <cell r="K78" t="str">
            <v>SÍ</v>
          </cell>
          <cell r="L78" t="str">
            <v>SÍ</v>
          </cell>
          <cell r="M78" t="str">
            <v>SÍ</v>
          </cell>
          <cell r="N78" t="str">
            <v>SÍ</v>
          </cell>
          <cell r="O78" t="str">
            <v>CNA-CHILE</v>
          </cell>
          <cell r="P78">
            <v>5</v>
          </cell>
          <cell r="Q78">
            <v>43033</v>
          </cell>
          <cell r="R78">
            <v>44859</v>
          </cell>
          <cell r="S78">
            <v>1</v>
          </cell>
          <cell r="T78">
            <v>1</v>
          </cell>
          <cell r="U78">
            <v>1</v>
          </cell>
          <cell r="V78">
            <v>1</v>
          </cell>
          <cell r="W78">
            <v>1</v>
          </cell>
          <cell r="X78">
            <v>5</v>
          </cell>
        </row>
        <row r="79">
          <cell r="G79" t="str">
            <v>UVM</v>
          </cell>
          <cell r="H79" t="str">
            <v>U. Privada</v>
          </cell>
          <cell r="I79">
            <v>0</v>
          </cell>
          <cell r="J79" t="str">
            <v>SÍ</v>
          </cell>
          <cell r="K79" t="str">
            <v>SÍ</v>
          </cell>
          <cell r="L79" t="str">
            <v>NO</v>
          </cell>
          <cell r="M79" t="str">
            <v>NO</v>
          </cell>
          <cell r="N79" t="str">
            <v>NO</v>
          </cell>
          <cell r="O79" t="str">
            <v>CNA-CHILE</v>
          </cell>
          <cell r="P79">
            <v>4</v>
          </cell>
          <cell r="Q79">
            <v>42346</v>
          </cell>
          <cell r="R79">
            <v>43807</v>
          </cell>
          <cell r="S79">
            <v>1</v>
          </cell>
          <cell r="T79">
            <v>1</v>
          </cell>
          <cell r="U79">
            <v>0</v>
          </cell>
          <cell r="V79">
            <v>0</v>
          </cell>
          <cell r="W79">
            <v>0</v>
          </cell>
          <cell r="X79">
            <v>2</v>
          </cell>
        </row>
        <row r="80">
          <cell r="G80" t="str">
            <v>UBB</v>
          </cell>
          <cell r="H80" t="str">
            <v>CRUCH Est.</v>
          </cell>
          <cell r="I80">
            <v>0</v>
          </cell>
          <cell r="J80" t="str">
            <v>SÍ</v>
          </cell>
          <cell r="K80" t="str">
            <v>SÍ</v>
          </cell>
          <cell r="L80" t="str">
            <v>SÍ</v>
          </cell>
          <cell r="M80" t="str">
            <v>SÍ</v>
          </cell>
          <cell r="N80" t="str">
            <v>NO</v>
          </cell>
          <cell r="O80" t="str">
            <v>CNA-CHILE</v>
          </cell>
          <cell r="P80">
            <v>5</v>
          </cell>
          <cell r="Q80">
            <v>41878</v>
          </cell>
          <cell r="R80">
            <v>43704</v>
          </cell>
          <cell r="S80">
            <v>1</v>
          </cell>
          <cell r="T80">
            <v>1</v>
          </cell>
          <cell r="U80">
            <v>1</v>
          </cell>
          <cell r="V80">
            <v>1</v>
          </cell>
          <cell r="W80">
            <v>0</v>
          </cell>
          <cell r="X80">
            <v>4</v>
          </cell>
        </row>
        <row r="81">
          <cell r="G81" t="str">
            <v>UDD</v>
          </cell>
          <cell r="H81" t="str">
            <v>U. Privada</v>
          </cell>
          <cell r="I81">
            <v>0</v>
          </cell>
          <cell r="J81" t="str">
            <v>SÍ</v>
          </cell>
          <cell r="K81" t="str">
            <v>SÍ</v>
          </cell>
          <cell r="L81" t="str">
            <v>SÍ</v>
          </cell>
          <cell r="M81" t="str">
            <v>SÍ</v>
          </cell>
          <cell r="N81" t="str">
            <v>NO</v>
          </cell>
          <cell r="O81" t="str">
            <v>CNA-CHILE</v>
          </cell>
          <cell r="P81">
            <v>5</v>
          </cell>
          <cell r="Q81">
            <v>42719</v>
          </cell>
          <cell r="R81">
            <v>44545</v>
          </cell>
          <cell r="S81">
            <v>1</v>
          </cell>
          <cell r="T81">
            <v>1</v>
          </cell>
          <cell r="U81">
            <v>1</v>
          </cell>
          <cell r="V81">
            <v>1</v>
          </cell>
          <cell r="W81">
            <v>0</v>
          </cell>
          <cell r="X81">
            <v>4</v>
          </cell>
        </row>
        <row r="82">
          <cell r="G82" t="str">
            <v>UDP</v>
          </cell>
          <cell r="H82" t="str">
            <v>CRUCH Priv. Priv.</v>
          </cell>
          <cell r="I82" t="str">
            <v>Gratuidad 2019</v>
          </cell>
          <cell r="J82" t="str">
            <v>SÍ</v>
          </cell>
          <cell r="K82" t="str">
            <v>SÍ</v>
          </cell>
          <cell r="L82" t="str">
            <v>SÍ</v>
          </cell>
          <cell r="M82" t="str">
            <v>SÍ</v>
          </cell>
          <cell r="N82" t="str">
            <v>SÍ</v>
          </cell>
          <cell r="O82" t="str">
            <v>CNA-CHILE</v>
          </cell>
          <cell r="P82">
            <v>5</v>
          </cell>
          <cell r="Q82">
            <v>43397</v>
          </cell>
          <cell r="R82">
            <v>45223</v>
          </cell>
          <cell r="S82">
            <v>1</v>
          </cell>
          <cell r="T82">
            <v>1</v>
          </cell>
          <cell r="U82">
            <v>1</v>
          </cell>
          <cell r="V82">
            <v>1</v>
          </cell>
          <cell r="W82">
            <v>1</v>
          </cell>
          <cell r="X82">
            <v>5</v>
          </cell>
        </row>
        <row r="83">
          <cell r="G83" t="str">
            <v>UFT</v>
          </cell>
          <cell r="H83" t="str">
            <v>U. Privada</v>
          </cell>
          <cell r="I83" t="str">
            <v>Gratuidad 2019</v>
          </cell>
          <cell r="J83" t="str">
            <v>SÍ</v>
          </cell>
          <cell r="K83" t="str">
            <v>SÍ</v>
          </cell>
          <cell r="L83" t="str">
            <v>NO</v>
          </cell>
          <cell r="M83" t="str">
            <v>SÍ</v>
          </cell>
          <cell r="N83" t="str">
            <v>NO</v>
          </cell>
          <cell r="O83" t="str">
            <v>CNA-CHILE</v>
          </cell>
          <cell r="P83">
            <v>4</v>
          </cell>
          <cell r="Q83">
            <v>42326</v>
          </cell>
          <cell r="R83">
            <v>43787</v>
          </cell>
          <cell r="S83">
            <v>1</v>
          </cell>
          <cell r="T83">
            <v>1</v>
          </cell>
          <cell r="U83">
            <v>0</v>
          </cell>
          <cell r="V83">
            <v>1</v>
          </cell>
          <cell r="W83">
            <v>0</v>
          </cell>
          <cell r="X8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reditación Investigación"/>
      <sheetName val="IES"/>
      <sheetName val="PED"/>
      <sheetName val="PREG"/>
      <sheetName val="Acreditación Doctorados"/>
      <sheetName val="Hoja1"/>
      <sheetName val="DOC"/>
      <sheetName val="MAG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UAH</v>
          </cell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</row>
        <row r="7">
          <cell r="A7" t="str">
            <v>UAU</v>
          </cell>
          <cell r="B7">
            <v>1</v>
          </cell>
          <cell r="C7">
            <v>1</v>
          </cell>
        </row>
        <row r="8">
          <cell r="A8" t="str">
            <v>UDP</v>
          </cell>
          <cell r="B8">
            <v>1</v>
          </cell>
          <cell r="C8">
            <v>1</v>
          </cell>
          <cell r="D8">
            <v>2</v>
          </cell>
          <cell r="E8">
            <v>2</v>
          </cell>
          <cell r="F8">
            <v>1</v>
          </cell>
          <cell r="G8">
            <v>1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IV_JC_39Hrs"/>
    </sheetNames>
    <sheetDataSet>
      <sheetData sheetId="0">
        <row r="4">
          <cell r="D4" t="str">
            <v>UFT</v>
          </cell>
          <cell r="E4" t="str">
            <v>U. Privada</v>
          </cell>
          <cell r="F4" t="str">
            <v>FI 2018</v>
          </cell>
          <cell r="G4">
            <v>0</v>
          </cell>
          <cell r="H4">
            <v>6</v>
          </cell>
          <cell r="I4">
            <v>9</v>
          </cell>
          <cell r="J4">
            <v>20</v>
          </cell>
          <cell r="K4">
            <v>17</v>
          </cell>
          <cell r="L4">
            <v>22</v>
          </cell>
          <cell r="M4">
            <v>9</v>
          </cell>
          <cell r="N4">
            <v>53</v>
          </cell>
          <cell r="O4">
            <v>65</v>
          </cell>
          <cell r="P4">
            <v>106</v>
          </cell>
          <cell r="Q4">
            <v>111</v>
          </cell>
          <cell r="R4">
            <v>105</v>
          </cell>
          <cell r="T4" t="str">
            <v>UFT</v>
          </cell>
          <cell r="U4">
            <v>440</v>
          </cell>
        </row>
        <row r="5">
          <cell r="D5" t="str">
            <v>UDP</v>
          </cell>
          <cell r="E5" t="str">
            <v>U. Privada</v>
          </cell>
          <cell r="F5" t="str">
            <v>FI 2018</v>
          </cell>
          <cell r="G5">
            <v>86</v>
          </cell>
          <cell r="H5">
            <v>107</v>
          </cell>
          <cell r="I5">
            <v>133</v>
          </cell>
          <cell r="J5">
            <v>148</v>
          </cell>
          <cell r="K5">
            <v>152</v>
          </cell>
          <cell r="L5">
            <v>160</v>
          </cell>
          <cell r="M5">
            <v>231</v>
          </cell>
          <cell r="N5">
            <v>273</v>
          </cell>
          <cell r="O5">
            <v>309</v>
          </cell>
          <cell r="P5">
            <v>327</v>
          </cell>
          <cell r="Q5">
            <v>317</v>
          </cell>
          <cell r="R5">
            <v>381</v>
          </cell>
          <cell r="T5" t="str">
            <v>UDP</v>
          </cell>
          <cell r="U5">
            <v>1607</v>
          </cell>
        </row>
        <row r="6">
          <cell r="D6" t="str">
            <v>UCE</v>
          </cell>
          <cell r="E6" t="str">
            <v>U. Privada</v>
          </cell>
          <cell r="F6" t="str">
            <v>No</v>
          </cell>
          <cell r="G6">
            <v>29</v>
          </cell>
          <cell r="H6">
            <v>20</v>
          </cell>
          <cell r="I6">
            <v>24</v>
          </cell>
          <cell r="J6">
            <v>28</v>
          </cell>
          <cell r="K6">
            <v>32</v>
          </cell>
          <cell r="L6">
            <v>61</v>
          </cell>
          <cell r="M6">
            <v>143</v>
          </cell>
          <cell r="N6">
            <v>114</v>
          </cell>
          <cell r="O6">
            <v>198</v>
          </cell>
          <cell r="P6">
            <v>207</v>
          </cell>
          <cell r="Q6">
            <v>219</v>
          </cell>
          <cell r="R6">
            <v>266</v>
          </cell>
          <cell r="T6">
            <v>0</v>
          </cell>
          <cell r="U6">
            <v>0</v>
          </cell>
        </row>
        <row r="7">
          <cell r="D7" t="str">
            <v>UBL</v>
          </cell>
          <cell r="E7" t="str">
            <v>U. Privada</v>
          </cell>
          <cell r="F7" t="str">
            <v>No</v>
          </cell>
          <cell r="G7">
            <v>0</v>
          </cell>
          <cell r="H7">
            <v>1</v>
          </cell>
          <cell r="I7">
            <v>1</v>
          </cell>
          <cell r="J7">
            <v>3</v>
          </cell>
          <cell r="K7">
            <v>0</v>
          </cell>
          <cell r="L7">
            <v>1</v>
          </cell>
          <cell r="M7">
            <v>4</v>
          </cell>
          <cell r="N7">
            <v>17</v>
          </cell>
          <cell r="O7">
            <v>42</v>
          </cell>
          <cell r="P7">
            <v>58</v>
          </cell>
          <cell r="Q7">
            <v>28</v>
          </cell>
          <cell r="R7">
            <v>26</v>
          </cell>
          <cell r="T7">
            <v>0</v>
          </cell>
          <cell r="U7">
            <v>0</v>
          </cell>
        </row>
        <row r="8">
          <cell r="D8" t="str">
            <v>UPV</v>
          </cell>
          <cell r="E8" t="str">
            <v>U. Privada</v>
          </cell>
          <cell r="F8" t="str">
            <v>No</v>
          </cell>
          <cell r="G8">
            <v>2</v>
          </cell>
          <cell r="H8">
            <v>1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30</v>
          </cell>
          <cell r="N8">
            <v>49</v>
          </cell>
          <cell r="O8">
            <v>47</v>
          </cell>
          <cell r="P8">
            <v>8</v>
          </cell>
          <cell r="Q8">
            <v>43</v>
          </cell>
          <cell r="R8">
            <v>55</v>
          </cell>
          <cell r="T8">
            <v>0</v>
          </cell>
          <cell r="U8">
            <v>0</v>
          </cell>
        </row>
        <row r="9">
          <cell r="D9" t="str">
            <v>UMA</v>
          </cell>
          <cell r="E9" t="str">
            <v>U. Privada</v>
          </cell>
          <cell r="F9" t="str">
            <v>No</v>
          </cell>
          <cell r="G9">
            <v>0</v>
          </cell>
          <cell r="H9">
            <v>30</v>
          </cell>
          <cell r="I9">
            <v>38</v>
          </cell>
          <cell r="J9">
            <v>31</v>
          </cell>
          <cell r="K9">
            <v>31</v>
          </cell>
          <cell r="L9">
            <v>42</v>
          </cell>
          <cell r="M9">
            <v>0</v>
          </cell>
          <cell r="N9">
            <v>336</v>
          </cell>
          <cell r="O9">
            <v>374</v>
          </cell>
          <cell r="P9">
            <v>360</v>
          </cell>
          <cell r="Q9">
            <v>478</v>
          </cell>
          <cell r="R9">
            <v>660</v>
          </cell>
          <cell r="T9">
            <v>0</v>
          </cell>
          <cell r="U9">
            <v>0</v>
          </cell>
        </row>
        <row r="10">
          <cell r="D10" t="str">
            <v>AHC</v>
          </cell>
          <cell r="E10" t="str">
            <v>U. Privada</v>
          </cell>
          <cell r="F10" t="str">
            <v>FI 2018</v>
          </cell>
          <cell r="G10">
            <v>7</v>
          </cell>
          <cell r="H10">
            <v>7</v>
          </cell>
          <cell r="I10">
            <v>10</v>
          </cell>
          <cell r="J10">
            <v>14</v>
          </cell>
          <cell r="K10">
            <v>10</v>
          </cell>
          <cell r="L10">
            <v>9</v>
          </cell>
          <cell r="M10">
            <v>43</v>
          </cell>
          <cell r="N10">
            <v>37</v>
          </cell>
          <cell r="O10">
            <v>47</v>
          </cell>
          <cell r="P10">
            <v>46</v>
          </cell>
          <cell r="Q10">
            <v>39</v>
          </cell>
          <cell r="R10">
            <v>53</v>
          </cell>
          <cell r="T10" t="str">
            <v>AHC</v>
          </cell>
          <cell r="U10">
            <v>222</v>
          </cell>
        </row>
        <row r="11">
          <cell r="D11" t="str">
            <v>UST</v>
          </cell>
          <cell r="E11" t="str">
            <v>U. Privada</v>
          </cell>
          <cell r="F11" t="str">
            <v>No</v>
          </cell>
          <cell r="G11">
            <v>9</v>
          </cell>
          <cell r="H11">
            <v>35</v>
          </cell>
          <cell r="I11">
            <v>42</v>
          </cell>
          <cell r="J11">
            <v>45</v>
          </cell>
          <cell r="K11">
            <v>48</v>
          </cell>
          <cell r="L11">
            <v>60</v>
          </cell>
          <cell r="M11">
            <v>123</v>
          </cell>
          <cell r="N11">
            <v>428</v>
          </cell>
          <cell r="O11">
            <v>449</v>
          </cell>
          <cell r="P11">
            <v>448</v>
          </cell>
          <cell r="Q11">
            <v>454</v>
          </cell>
          <cell r="R11">
            <v>479</v>
          </cell>
          <cell r="T11">
            <v>0</v>
          </cell>
          <cell r="U11">
            <v>0</v>
          </cell>
        </row>
        <row r="12">
          <cell r="D12" t="str">
            <v>ULR</v>
          </cell>
          <cell r="E12" t="str">
            <v>U. Privada</v>
          </cell>
          <cell r="F12" t="str">
            <v>No</v>
          </cell>
          <cell r="G12">
            <v>1</v>
          </cell>
          <cell r="H12">
            <v>2</v>
          </cell>
          <cell r="I12">
            <v>3</v>
          </cell>
          <cell r="J12">
            <v>1</v>
          </cell>
          <cell r="K12">
            <v>8</v>
          </cell>
          <cell r="L12">
            <v>1</v>
          </cell>
          <cell r="M12">
            <v>8</v>
          </cell>
          <cell r="N12">
            <v>104</v>
          </cell>
          <cell r="O12">
            <v>150</v>
          </cell>
          <cell r="P12">
            <v>166</v>
          </cell>
          <cell r="Q12">
            <v>64</v>
          </cell>
          <cell r="R12">
            <v>43</v>
          </cell>
          <cell r="T12">
            <v>0</v>
          </cell>
          <cell r="U12">
            <v>0</v>
          </cell>
        </row>
        <row r="13">
          <cell r="D13" t="str">
            <v>USK</v>
          </cell>
          <cell r="E13" t="str">
            <v>U. Privada</v>
          </cell>
          <cell r="F13" t="str">
            <v>No</v>
          </cell>
          <cell r="G13">
            <v>7</v>
          </cell>
          <cell r="H13">
            <v>17</v>
          </cell>
          <cell r="I13">
            <v>5</v>
          </cell>
          <cell r="J13">
            <v>9</v>
          </cell>
          <cell r="K13">
            <v>8</v>
          </cell>
          <cell r="L13">
            <v>7</v>
          </cell>
          <cell r="M13">
            <v>50</v>
          </cell>
          <cell r="N13">
            <v>88</v>
          </cell>
          <cell r="O13">
            <v>61</v>
          </cell>
          <cell r="P13">
            <v>60</v>
          </cell>
          <cell r="Q13">
            <v>61</v>
          </cell>
          <cell r="R13">
            <v>47</v>
          </cell>
          <cell r="T13">
            <v>0</v>
          </cell>
          <cell r="U13">
            <v>0</v>
          </cell>
        </row>
        <row r="14">
          <cell r="D14" t="str">
            <v>UAM</v>
          </cell>
          <cell r="E14" t="str">
            <v>U. Privada</v>
          </cell>
          <cell r="F14" t="str">
            <v>No</v>
          </cell>
          <cell r="G14">
            <v>6</v>
          </cell>
          <cell r="H14">
            <v>0</v>
          </cell>
          <cell r="I14">
            <v>5</v>
          </cell>
          <cell r="J14">
            <v>6</v>
          </cell>
          <cell r="K14">
            <v>8</v>
          </cell>
          <cell r="L14">
            <v>15</v>
          </cell>
          <cell r="M14">
            <v>190</v>
          </cell>
          <cell r="N14">
            <v>7</v>
          </cell>
          <cell r="O14">
            <v>411</v>
          </cell>
          <cell r="P14">
            <v>506</v>
          </cell>
          <cell r="Q14">
            <v>524</v>
          </cell>
          <cell r="R14">
            <v>520</v>
          </cell>
          <cell r="T14">
            <v>0</v>
          </cell>
          <cell r="U14">
            <v>0</v>
          </cell>
        </row>
        <row r="15">
          <cell r="D15" t="str">
            <v>UAB</v>
          </cell>
          <cell r="E15" t="str">
            <v>U. Privada</v>
          </cell>
          <cell r="F15" t="str">
            <v>No</v>
          </cell>
          <cell r="G15">
            <v>172</v>
          </cell>
          <cell r="H15">
            <v>195</v>
          </cell>
          <cell r="I15">
            <v>218</v>
          </cell>
          <cell r="J15">
            <v>256</v>
          </cell>
          <cell r="K15">
            <v>277</v>
          </cell>
          <cell r="L15">
            <v>299</v>
          </cell>
          <cell r="M15">
            <v>667</v>
          </cell>
          <cell r="N15">
            <v>585</v>
          </cell>
          <cell r="O15">
            <v>743</v>
          </cell>
          <cell r="P15">
            <v>797</v>
          </cell>
          <cell r="Q15">
            <v>909</v>
          </cell>
          <cell r="R15">
            <v>961</v>
          </cell>
          <cell r="T15">
            <v>0</v>
          </cell>
          <cell r="U15">
            <v>0</v>
          </cell>
        </row>
        <row r="16">
          <cell r="D16" t="str">
            <v>UVM</v>
          </cell>
          <cell r="E16" t="str">
            <v>U. Privada</v>
          </cell>
          <cell r="F16" t="str">
            <v>No</v>
          </cell>
          <cell r="G16">
            <v>4</v>
          </cell>
          <cell r="H16">
            <v>17</v>
          </cell>
          <cell r="I16">
            <v>16</v>
          </cell>
          <cell r="J16">
            <v>21</v>
          </cell>
          <cell r="K16">
            <v>19</v>
          </cell>
          <cell r="L16">
            <v>15</v>
          </cell>
          <cell r="M16">
            <v>26</v>
          </cell>
          <cell r="N16">
            <v>106</v>
          </cell>
          <cell r="O16">
            <v>168</v>
          </cell>
          <cell r="P16">
            <v>185</v>
          </cell>
          <cell r="Q16">
            <v>179</v>
          </cell>
          <cell r="R16">
            <v>186</v>
          </cell>
          <cell r="T16">
            <v>0</v>
          </cell>
          <cell r="U16">
            <v>0</v>
          </cell>
        </row>
        <row r="17">
          <cell r="D17" t="str">
            <v>UAI</v>
          </cell>
          <cell r="E17" t="str">
            <v>U. Privada</v>
          </cell>
          <cell r="F17" t="str">
            <v>No</v>
          </cell>
          <cell r="G17">
            <v>0</v>
          </cell>
          <cell r="H17">
            <v>0</v>
          </cell>
          <cell r="I17">
            <v>146</v>
          </cell>
          <cell r="J17">
            <v>168</v>
          </cell>
          <cell r="K17">
            <v>191</v>
          </cell>
          <cell r="L17">
            <v>197</v>
          </cell>
          <cell r="M17">
            <v>0</v>
          </cell>
          <cell r="N17">
            <v>0</v>
          </cell>
          <cell r="O17">
            <v>252</v>
          </cell>
          <cell r="P17">
            <v>261</v>
          </cell>
          <cell r="Q17">
            <v>273</v>
          </cell>
          <cell r="R17">
            <v>291</v>
          </cell>
          <cell r="T17">
            <v>0</v>
          </cell>
          <cell r="U17">
            <v>0</v>
          </cell>
        </row>
        <row r="18">
          <cell r="D18" t="e">
            <v>#N/A</v>
          </cell>
          <cell r="E18" t="e">
            <v>#N/A</v>
          </cell>
          <cell r="F18" t="str">
            <v>No</v>
          </cell>
          <cell r="G18">
            <v>10</v>
          </cell>
          <cell r="H18">
            <v>5</v>
          </cell>
          <cell r="I18">
            <v>6</v>
          </cell>
          <cell r="J18">
            <v>7</v>
          </cell>
          <cell r="K18">
            <v>6</v>
          </cell>
          <cell r="L18">
            <v>3</v>
          </cell>
          <cell r="M18">
            <v>76</v>
          </cell>
          <cell r="N18">
            <v>55</v>
          </cell>
          <cell r="O18">
            <v>104</v>
          </cell>
          <cell r="P18">
            <v>62</v>
          </cell>
          <cell r="Q18">
            <v>91</v>
          </cell>
          <cell r="R18">
            <v>75</v>
          </cell>
          <cell r="T18">
            <v>0</v>
          </cell>
          <cell r="U18">
            <v>0</v>
          </cell>
        </row>
        <row r="19">
          <cell r="D19" t="str">
            <v>UCC</v>
          </cell>
          <cell r="E19" t="str">
            <v>U. Privada</v>
          </cell>
          <cell r="F19" t="str">
            <v>No</v>
          </cell>
          <cell r="G19">
            <v>0</v>
          </cell>
          <cell r="H19">
            <v>2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2</v>
          </cell>
          <cell r="N19">
            <v>50</v>
          </cell>
          <cell r="O19">
            <v>14</v>
          </cell>
          <cell r="P19">
            <v>0</v>
          </cell>
          <cell r="Q19">
            <v>41</v>
          </cell>
          <cell r="R19">
            <v>43</v>
          </cell>
          <cell r="T19">
            <v>0</v>
          </cell>
          <cell r="U19">
            <v>0</v>
          </cell>
        </row>
        <row r="20">
          <cell r="D20" t="str">
            <v>UDM</v>
          </cell>
          <cell r="E20" t="str">
            <v>U. Privada</v>
          </cell>
          <cell r="F20" t="str">
            <v>No</v>
          </cell>
          <cell r="G20">
            <v>1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56</v>
          </cell>
          <cell r="N20">
            <v>40</v>
          </cell>
          <cell r="O20">
            <v>27</v>
          </cell>
          <cell r="P20">
            <v>8</v>
          </cell>
          <cell r="Q20">
            <v>7</v>
          </cell>
          <cell r="R20">
            <v>1</v>
          </cell>
          <cell r="T20">
            <v>0</v>
          </cell>
          <cell r="U20">
            <v>0</v>
          </cell>
        </row>
        <row r="21">
          <cell r="D21" t="str">
            <v>UCI</v>
          </cell>
          <cell r="E21" t="str">
            <v>U. Privada</v>
          </cell>
          <cell r="F21" t="str">
            <v>No</v>
          </cell>
          <cell r="G21">
            <v>3</v>
          </cell>
          <cell r="H21">
            <v>9</v>
          </cell>
          <cell r="I21">
            <v>5</v>
          </cell>
          <cell r="J21">
            <v>0</v>
          </cell>
          <cell r="K21">
            <v>0</v>
          </cell>
          <cell r="L21">
            <v>0</v>
          </cell>
          <cell r="M21">
            <v>49</v>
          </cell>
          <cell r="N21">
            <v>99</v>
          </cell>
          <cell r="O21">
            <v>76</v>
          </cell>
          <cell r="P21">
            <v>13</v>
          </cell>
          <cell r="Q21">
            <v>28</v>
          </cell>
          <cell r="R21">
            <v>2</v>
          </cell>
          <cell r="T21">
            <v>0</v>
          </cell>
          <cell r="U21">
            <v>0</v>
          </cell>
        </row>
        <row r="22">
          <cell r="D22" t="str">
            <v>UAU</v>
          </cell>
          <cell r="E22" t="str">
            <v>U. Privada</v>
          </cell>
          <cell r="F22" t="str">
            <v>FI 2018</v>
          </cell>
          <cell r="G22">
            <v>18</v>
          </cell>
          <cell r="H22">
            <v>49</v>
          </cell>
          <cell r="I22">
            <v>93</v>
          </cell>
          <cell r="J22">
            <v>77</v>
          </cell>
          <cell r="K22">
            <v>82</v>
          </cell>
          <cell r="L22">
            <v>84</v>
          </cell>
          <cell r="M22">
            <v>226</v>
          </cell>
          <cell r="N22">
            <v>253</v>
          </cell>
          <cell r="O22">
            <v>444</v>
          </cell>
          <cell r="P22">
            <v>459</v>
          </cell>
          <cell r="Q22">
            <v>435</v>
          </cell>
          <cell r="R22">
            <v>453</v>
          </cell>
          <cell r="T22" t="str">
            <v>UAU</v>
          </cell>
          <cell r="U22">
            <v>2044</v>
          </cell>
        </row>
        <row r="23">
          <cell r="D23" t="str">
            <v>UAN</v>
          </cell>
          <cell r="E23" t="str">
            <v>U. Privada</v>
          </cell>
          <cell r="F23" t="str">
            <v>No</v>
          </cell>
          <cell r="G23">
            <v>11</v>
          </cell>
          <cell r="H23">
            <v>94</v>
          </cell>
          <cell r="I23">
            <v>90</v>
          </cell>
          <cell r="J23">
            <v>91</v>
          </cell>
          <cell r="K23">
            <v>106</v>
          </cell>
          <cell r="L23">
            <v>117</v>
          </cell>
          <cell r="M23">
            <v>30</v>
          </cell>
          <cell r="N23">
            <v>207</v>
          </cell>
          <cell r="O23">
            <v>168</v>
          </cell>
          <cell r="P23">
            <v>192</v>
          </cell>
          <cell r="Q23">
            <v>185</v>
          </cell>
          <cell r="R23">
            <v>191</v>
          </cell>
          <cell r="T23">
            <v>0</v>
          </cell>
          <cell r="U23">
            <v>0</v>
          </cell>
        </row>
        <row r="24">
          <cell r="D24" t="str">
            <v>UAC</v>
          </cell>
          <cell r="E24" t="str">
            <v>U. Privada</v>
          </cell>
          <cell r="F24" t="str">
            <v>No</v>
          </cell>
          <cell r="G24">
            <v>3</v>
          </cell>
          <cell r="H24">
            <v>3</v>
          </cell>
          <cell r="I24">
            <v>10</v>
          </cell>
          <cell r="J24">
            <v>11</v>
          </cell>
          <cell r="K24">
            <v>9</v>
          </cell>
          <cell r="L24">
            <v>12</v>
          </cell>
          <cell r="M24">
            <v>16</v>
          </cell>
          <cell r="N24">
            <v>28</v>
          </cell>
          <cell r="O24">
            <v>61</v>
          </cell>
          <cell r="P24">
            <v>81</v>
          </cell>
          <cell r="Q24">
            <v>85</v>
          </cell>
          <cell r="R24">
            <v>111</v>
          </cell>
          <cell r="T24">
            <v>0</v>
          </cell>
          <cell r="U24">
            <v>0</v>
          </cell>
        </row>
        <row r="25">
          <cell r="D25" t="str">
            <v>USS</v>
          </cell>
          <cell r="E25" t="str">
            <v>U. Privada</v>
          </cell>
          <cell r="F25" t="str">
            <v>No</v>
          </cell>
          <cell r="G25">
            <v>2</v>
          </cell>
          <cell r="H25">
            <v>27</v>
          </cell>
          <cell r="I25">
            <v>37</v>
          </cell>
          <cell r="J25">
            <v>48</v>
          </cell>
          <cell r="K25">
            <v>68</v>
          </cell>
          <cell r="L25">
            <v>71</v>
          </cell>
          <cell r="M25">
            <v>27</v>
          </cell>
          <cell r="N25">
            <v>596</v>
          </cell>
          <cell r="O25">
            <v>893</v>
          </cell>
          <cell r="P25">
            <v>773</v>
          </cell>
          <cell r="Q25">
            <v>655</v>
          </cell>
          <cell r="R25">
            <v>620</v>
          </cell>
          <cell r="T25">
            <v>0</v>
          </cell>
          <cell r="U25">
            <v>0</v>
          </cell>
        </row>
        <row r="26">
          <cell r="D26" t="str">
            <v>UAR</v>
          </cell>
          <cell r="E26" t="str">
            <v>U. Privada</v>
          </cell>
          <cell r="F26" t="str">
            <v>No</v>
          </cell>
          <cell r="G26">
            <v>0</v>
          </cell>
          <cell r="H26">
            <v>2</v>
          </cell>
          <cell r="I26">
            <v>5</v>
          </cell>
          <cell r="J26">
            <v>1</v>
          </cell>
          <cell r="K26">
            <v>1</v>
          </cell>
          <cell r="L26">
            <v>0</v>
          </cell>
          <cell r="M26">
            <v>2</v>
          </cell>
          <cell r="N26">
            <v>43</v>
          </cell>
          <cell r="O26">
            <v>53</v>
          </cell>
          <cell r="P26">
            <v>21</v>
          </cell>
          <cell r="Q26">
            <v>17</v>
          </cell>
          <cell r="R26">
            <v>12</v>
          </cell>
          <cell r="T26">
            <v>0</v>
          </cell>
          <cell r="U26">
            <v>0</v>
          </cell>
        </row>
        <row r="27">
          <cell r="D27" t="str">
            <v>UCS</v>
          </cell>
          <cell r="E27" t="str">
            <v>U. Privada</v>
          </cell>
          <cell r="F27" t="str">
            <v>FI 2018</v>
          </cell>
          <cell r="G27">
            <v>11</v>
          </cell>
          <cell r="H27">
            <v>23</v>
          </cell>
          <cell r="I27">
            <v>27</v>
          </cell>
          <cell r="J27">
            <v>29</v>
          </cell>
          <cell r="K27">
            <v>33</v>
          </cell>
          <cell r="L27">
            <v>44</v>
          </cell>
          <cell r="M27">
            <v>48</v>
          </cell>
          <cell r="N27">
            <v>92</v>
          </cell>
          <cell r="O27">
            <v>107</v>
          </cell>
          <cell r="P27">
            <v>114</v>
          </cell>
          <cell r="Q27">
            <v>125</v>
          </cell>
          <cell r="R27">
            <v>132</v>
          </cell>
          <cell r="T27" t="str">
            <v>UCS</v>
          </cell>
          <cell r="U27">
            <v>570</v>
          </cell>
        </row>
        <row r="28">
          <cell r="D28" t="str">
            <v>UDD</v>
          </cell>
          <cell r="E28" t="str">
            <v>U. Privada</v>
          </cell>
          <cell r="F28" t="str">
            <v>No</v>
          </cell>
          <cell r="G28">
            <v>37</v>
          </cell>
          <cell r="H28">
            <v>45</v>
          </cell>
          <cell r="I28">
            <v>56</v>
          </cell>
          <cell r="J28">
            <v>64</v>
          </cell>
          <cell r="K28">
            <v>78</v>
          </cell>
          <cell r="L28">
            <v>83</v>
          </cell>
          <cell r="M28">
            <v>195</v>
          </cell>
          <cell r="N28">
            <v>264</v>
          </cell>
          <cell r="O28">
            <v>289</v>
          </cell>
          <cell r="P28">
            <v>333</v>
          </cell>
          <cell r="Q28">
            <v>411</v>
          </cell>
          <cell r="R28">
            <v>324</v>
          </cell>
          <cell r="T28">
            <v>0</v>
          </cell>
          <cell r="U28">
            <v>0</v>
          </cell>
        </row>
        <row r="29">
          <cell r="D29" t="e">
            <v>#N/A</v>
          </cell>
          <cell r="E29" t="str">
            <v>U. Privada</v>
          </cell>
          <cell r="F29" t="str">
            <v>No</v>
          </cell>
          <cell r="G29">
            <v>0</v>
          </cell>
          <cell r="H29">
            <v>1</v>
          </cell>
          <cell r="I29">
            <v>2</v>
          </cell>
          <cell r="J29">
            <v>4</v>
          </cell>
          <cell r="K29">
            <v>0</v>
          </cell>
          <cell r="L29">
            <v>2</v>
          </cell>
          <cell r="M29">
            <v>11</v>
          </cell>
          <cell r="N29">
            <v>103</v>
          </cell>
          <cell r="O29">
            <v>37</v>
          </cell>
          <cell r="P29">
            <v>38</v>
          </cell>
          <cell r="Q29">
            <v>16</v>
          </cell>
          <cell r="R29">
            <v>38</v>
          </cell>
          <cell r="T29">
            <v>0</v>
          </cell>
          <cell r="U29">
            <v>0</v>
          </cell>
        </row>
        <row r="30">
          <cell r="D30" t="str">
            <v>UPO</v>
          </cell>
          <cell r="E30" t="str">
            <v>U. Privada</v>
          </cell>
          <cell r="F30" t="str">
            <v>No</v>
          </cell>
          <cell r="G30">
            <v>6</v>
          </cell>
          <cell r="H30">
            <v>6</v>
          </cell>
          <cell r="I30">
            <v>6</v>
          </cell>
          <cell r="J30">
            <v>7</v>
          </cell>
          <cell r="K30">
            <v>6</v>
          </cell>
          <cell r="L30">
            <v>5</v>
          </cell>
          <cell r="M30">
            <v>62</v>
          </cell>
          <cell r="N30">
            <v>71</v>
          </cell>
          <cell r="O30">
            <v>89</v>
          </cell>
          <cell r="P30">
            <v>78</v>
          </cell>
          <cell r="Q30">
            <v>86</v>
          </cell>
          <cell r="R30">
            <v>74</v>
          </cell>
          <cell r="T30">
            <v>0</v>
          </cell>
          <cell r="U30">
            <v>0</v>
          </cell>
        </row>
        <row r="31">
          <cell r="D31" t="e">
            <v>#N/A</v>
          </cell>
          <cell r="E31" t="str">
            <v>U. Privada</v>
          </cell>
          <cell r="F31" t="str">
            <v>No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</v>
          </cell>
          <cell r="N31">
            <v>6</v>
          </cell>
          <cell r="O31">
            <v>7</v>
          </cell>
          <cell r="P31">
            <v>7</v>
          </cell>
          <cell r="Q31">
            <v>8</v>
          </cell>
          <cell r="R31">
            <v>4</v>
          </cell>
          <cell r="T31">
            <v>0</v>
          </cell>
          <cell r="U31">
            <v>0</v>
          </cell>
        </row>
        <row r="32">
          <cell r="D32" t="str">
            <v>UBO</v>
          </cell>
          <cell r="E32" t="str">
            <v>U. Privada</v>
          </cell>
          <cell r="F32" t="str">
            <v>No</v>
          </cell>
          <cell r="G32">
            <v>0</v>
          </cell>
          <cell r="H32">
            <v>3</v>
          </cell>
          <cell r="I32">
            <v>12</v>
          </cell>
          <cell r="J32">
            <v>18</v>
          </cell>
          <cell r="K32">
            <v>21</v>
          </cell>
          <cell r="L32">
            <v>31</v>
          </cell>
          <cell r="M32">
            <v>1</v>
          </cell>
          <cell r="N32">
            <v>47</v>
          </cell>
          <cell r="O32">
            <v>96</v>
          </cell>
          <cell r="P32">
            <v>110</v>
          </cell>
          <cell r="Q32">
            <v>153</v>
          </cell>
          <cell r="R32">
            <v>203</v>
          </cell>
          <cell r="T32">
            <v>0</v>
          </cell>
          <cell r="U32">
            <v>0</v>
          </cell>
        </row>
        <row r="33">
          <cell r="D33" t="e">
            <v>#N/A</v>
          </cell>
          <cell r="E33" t="e">
            <v>#N/A</v>
          </cell>
          <cell r="F33" t="str">
            <v>No</v>
          </cell>
          <cell r="G33">
            <v>0</v>
          </cell>
          <cell r="H33">
            <v>0</v>
          </cell>
          <cell r="I33">
            <v>2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177</v>
          </cell>
          <cell r="O33">
            <v>228</v>
          </cell>
          <cell r="P33">
            <v>180</v>
          </cell>
          <cell r="Q33">
            <v>17</v>
          </cell>
          <cell r="R33">
            <v>21</v>
          </cell>
          <cell r="T33">
            <v>0</v>
          </cell>
          <cell r="U33">
            <v>0</v>
          </cell>
        </row>
        <row r="34">
          <cell r="D34" t="e">
            <v>#N/A</v>
          </cell>
          <cell r="E34" t="str">
            <v>U. Privada</v>
          </cell>
          <cell r="F34" t="str">
            <v>No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</v>
          </cell>
          <cell r="M34">
            <v>11</v>
          </cell>
          <cell r="N34">
            <v>13</v>
          </cell>
          <cell r="O34">
            <v>11</v>
          </cell>
          <cell r="P34">
            <v>15</v>
          </cell>
          <cell r="Q34">
            <v>12</v>
          </cell>
          <cell r="R34">
            <v>18</v>
          </cell>
          <cell r="T34">
            <v>0</v>
          </cell>
          <cell r="U34">
            <v>0</v>
          </cell>
        </row>
        <row r="35">
          <cell r="D35" t="str">
            <v>UAH</v>
          </cell>
          <cell r="E35" t="str">
            <v>U. Privada</v>
          </cell>
          <cell r="F35" t="str">
            <v>FI 2018</v>
          </cell>
          <cell r="G35">
            <v>56</v>
          </cell>
          <cell r="H35">
            <v>75</v>
          </cell>
          <cell r="I35">
            <v>79</v>
          </cell>
          <cell r="J35">
            <v>89</v>
          </cell>
          <cell r="K35">
            <v>91</v>
          </cell>
          <cell r="L35">
            <v>102</v>
          </cell>
          <cell r="M35">
            <v>116</v>
          </cell>
          <cell r="N35">
            <v>130</v>
          </cell>
          <cell r="O35">
            <v>136</v>
          </cell>
          <cell r="P35">
            <v>136</v>
          </cell>
          <cell r="Q35">
            <v>134</v>
          </cell>
          <cell r="R35">
            <v>152</v>
          </cell>
          <cell r="T35" t="str">
            <v>UAH</v>
          </cell>
          <cell r="U35">
            <v>688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 a)"/>
      <sheetName val="Indicador b)"/>
      <sheetName val="Indicador b.1)"/>
      <sheetName val="Indicador c)"/>
      <sheetName val="Indicador c.1)"/>
      <sheetName val="Ind G 2018 con QUINTIL PERFIL"/>
      <sheetName val="Indicador H 2018"/>
      <sheetName val="Indicador I 1) 2018"/>
      <sheetName val="INDICADOR J 2017"/>
      <sheetName val="INDICADOR J 2017 (2)"/>
    </sheetNames>
    <sheetDataSet>
      <sheetData sheetId="0"/>
      <sheetData sheetId="1"/>
      <sheetData sheetId="2">
        <row r="30">
          <cell r="D30" t="str">
            <v>UAH</v>
          </cell>
          <cell r="E30" t="str">
            <v>CRUCH Priv.</v>
          </cell>
          <cell r="F30">
            <v>102</v>
          </cell>
          <cell r="G30">
            <v>152</v>
          </cell>
          <cell r="H30">
            <v>0.67105263157894735</v>
          </cell>
          <cell r="I30">
            <v>128</v>
          </cell>
          <cell r="J30">
            <v>167</v>
          </cell>
          <cell r="K30">
            <v>0.76646706586826352</v>
          </cell>
        </row>
        <row r="31">
          <cell r="D31" t="str">
            <v>UAI</v>
          </cell>
          <cell r="E31" t="str">
            <v>U. Privada</v>
          </cell>
          <cell r="F31">
            <v>197</v>
          </cell>
          <cell r="G31">
            <v>291</v>
          </cell>
          <cell r="H31">
            <v>0.67697594501718217</v>
          </cell>
          <cell r="I31">
            <v>221</v>
          </cell>
          <cell r="J31">
            <v>340</v>
          </cell>
          <cell r="K31">
            <v>0.65</v>
          </cell>
        </row>
        <row r="32">
          <cell r="D32" t="str">
            <v>UAN</v>
          </cell>
          <cell r="E32" t="str">
            <v>U. Privada</v>
          </cell>
          <cell r="F32">
            <v>117</v>
          </cell>
          <cell r="G32">
            <v>191</v>
          </cell>
          <cell r="H32">
            <v>0.61256544502617805</v>
          </cell>
          <cell r="I32">
            <v>124</v>
          </cell>
          <cell r="J32">
            <v>193</v>
          </cell>
          <cell r="K32">
            <v>0.6424870466321243</v>
          </cell>
        </row>
        <row r="33">
          <cell r="D33" t="str">
            <v>UDP</v>
          </cell>
          <cell r="E33" t="str">
            <v>CRUCH Priv.</v>
          </cell>
          <cell r="F33">
            <v>160</v>
          </cell>
          <cell r="G33">
            <v>381</v>
          </cell>
          <cell r="H33">
            <v>0.41994750656167978</v>
          </cell>
          <cell r="I33">
            <v>155</v>
          </cell>
          <cell r="J33">
            <v>326</v>
          </cell>
          <cell r="K33">
            <v>0.47546012269938648</v>
          </cell>
        </row>
        <row r="34">
          <cell r="D34" t="str">
            <v>AHC</v>
          </cell>
          <cell r="E34" t="str">
            <v>U. Privada</v>
          </cell>
          <cell r="F34">
            <v>9</v>
          </cell>
          <cell r="G34">
            <v>53</v>
          </cell>
          <cell r="H34">
            <v>0.16981132075471697</v>
          </cell>
          <cell r="I34">
            <v>21</v>
          </cell>
          <cell r="J34">
            <v>52</v>
          </cell>
          <cell r="K34">
            <v>0.40384615384615385</v>
          </cell>
        </row>
        <row r="35">
          <cell r="D35" t="str">
            <v>UMA</v>
          </cell>
          <cell r="E35" t="str">
            <v>U. Privada</v>
          </cell>
          <cell r="F35">
            <v>42</v>
          </cell>
          <cell r="G35">
            <v>660</v>
          </cell>
          <cell r="H35">
            <v>6.363636363636363E-2</v>
          </cell>
          <cell r="I35">
            <v>174</v>
          </cell>
          <cell r="J35">
            <v>549</v>
          </cell>
          <cell r="K35">
            <v>0.31693989071038253</v>
          </cell>
        </row>
        <row r="36">
          <cell r="D36" t="str">
            <v>UDD</v>
          </cell>
          <cell r="E36" t="str">
            <v>U. Privada</v>
          </cell>
          <cell r="F36">
            <v>83</v>
          </cell>
          <cell r="G36">
            <v>324</v>
          </cell>
          <cell r="H36">
            <v>0.25617283950617287</v>
          </cell>
          <cell r="I36">
            <v>91</v>
          </cell>
          <cell r="J36">
            <v>303</v>
          </cell>
          <cell r="K36">
            <v>0.30033003300330036</v>
          </cell>
        </row>
        <row r="37">
          <cell r="D37" t="str">
            <v>UCS</v>
          </cell>
          <cell r="E37" t="str">
            <v>U. Privada</v>
          </cell>
          <cell r="F37">
            <v>44</v>
          </cell>
          <cell r="G37">
            <v>132</v>
          </cell>
          <cell r="H37">
            <v>0.33333333333333331</v>
          </cell>
          <cell r="I37">
            <v>42</v>
          </cell>
          <cell r="J37">
            <v>141</v>
          </cell>
          <cell r="K37">
            <v>0.2978723404255319</v>
          </cell>
        </row>
        <row r="38">
          <cell r="D38" t="str">
            <v>UAB</v>
          </cell>
          <cell r="E38" t="str">
            <v>U. Privada</v>
          </cell>
          <cell r="F38">
            <v>299</v>
          </cell>
          <cell r="G38">
            <v>961</v>
          </cell>
          <cell r="H38">
            <v>0.31113423517169614</v>
          </cell>
          <cell r="I38">
            <v>317</v>
          </cell>
          <cell r="J38">
            <v>1082</v>
          </cell>
          <cell r="K38">
            <v>0.29297597042513862</v>
          </cell>
        </row>
        <row r="39">
          <cell r="D39" t="e">
            <v>#N/A</v>
          </cell>
          <cell r="E39" t="str">
            <v>U. Privada</v>
          </cell>
          <cell r="F39">
            <v>2</v>
          </cell>
          <cell r="G39">
            <v>6</v>
          </cell>
          <cell r="H39">
            <v>0.33333333333333331</v>
          </cell>
          <cell r="I39">
            <v>1</v>
          </cell>
          <cell r="J39">
            <v>4</v>
          </cell>
          <cell r="K39">
            <v>0.25</v>
          </cell>
        </row>
        <row r="40">
          <cell r="D40" t="str">
            <v>UCE</v>
          </cell>
          <cell r="E40" t="str">
            <v>U. Privada</v>
          </cell>
          <cell r="F40">
            <v>62</v>
          </cell>
          <cell r="G40">
            <v>266</v>
          </cell>
          <cell r="H40">
            <v>0.23308270676691728</v>
          </cell>
          <cell r="I40">
            <v>70</v>
          </cell>
          <cell r="J40">
            <v>285</v>
          </cell>
          <cell r="K40">
            <v>0.24561403508771928</v>
          </cell>
        </row>
        <row r="41">
          <cell r="D41" t="str">
            <v>UFT</v>
          </cell>
          <cell r="E41" t="str">
            <v>U. Privada</v>
          </cell>
          <cell r="F41">
            <v>22</v>
          </cell>
          <cell r="G41">
            <v>105</v>
          </cell>
          <cell r="H41">
            <v>0.20952380952380953</v>
          </cell>
          <cell r="I41">
            <v>28</v>
          </cell>
          <cell r="J41">
            <v>122</v>
          </cell>
          <cell r="K41">
            <v>0.22950819672131148</v>
          </cell>
        </row>
        <row r="42">
          <cell r="D42" t="str">
            <v>UAU</v>
          </cell>
          <cell r="E42" t="str">
            <v>U. Privada</v>
          </cell>
          <cell r="F42">
            <v>84</v>
          </cell>
          <cell r="G42">
            <v>453</v>
          </cell>
          <cell r="H42">
            <v>0.18543046357615894</v>
          </cell>
          <cell r="I42">
            <v>128</v>
          </cell>
          <cell r="J42">
            <v>569</v>
          </cell>
          <cell r="K42">
            <v>0.22495606326889278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ielo.Chile"/>
      <sheetName val="WOS"/>
      <sheetName val="SCOPUS"/>
    </sheetNames>
    <sheetDataSet>
      <sheetData sheetId="0" refreshError="1"/>
      <sheetData sheetId="1" refreshError="1"/>
      <sheetData sheetId="2" refreshError="1">
        <row r="38">
          <cell r="B38">
            <v>0</v>
          </cell>
          <cell r="C38">
            <v>381</v>
          </cell>
          <cell r="D38">
            <v>5865</v>
          </cell>
          <cell r="E38">
            <v>491</v>
          </cell>
          <cell r="F38">
            <v>5541</v>
          </cell>
          <cell r="G38">
            <v>503</v>
          </cell>
          <cell r="H38">
            <v>3723</v>
          </cell>
          <cell r="I38">
            <v>547</v>
          </cell>
          <cell r="J38">
            <v>3169</v>
          </cell>
          <cell r="K38">
            <v>657</v>
          </cell>
          <cell r="L38">
            <v>1580</v>
          </cell>
          <cell r="M38">
            <v>2579</v>
          </cell>
          <cell r="N38">
            <v>19878</v>
          </cell>
        </row>
        <row r="39">
          <cell r="B39" t="str">
            <v>UDP</v>
          </cell>
          <cell r="C39">
            <v>219</v>
          </cell>
          <cell r="D39">
            <v>2529</v>
          </cell>
          <cell r="E39">
            <v>322</v>
          </cell>
          <cell r="F39">
            <v>3643</v>
          </cell>
          <cell r="G39">
            <v>435</v>
          </cell>
          <cell r="H39">
            <v>2791</v>
          </cell>
          <cell r="I39">
            <v>339</v>
          </cell>
          <cell r="J39">
            <v>4697</v>
          </cell>
          <cell r="K39">
            <v>371</v>
          </cell>
          <cell r="L39">
            <v>1358</v>
          </cell>
          <cell r="M39">
            <v>1686</v>
          </cell>
          <cell r="N39">
            <v>15018</v>
          </cell>
        </row>
        <row r="40">
          <cell r="B40">
            <v>0</v>
          </cell>
          <cell r="C40">
            <v>167</v>
          </cell>
          <cell r="D40">
            <v>1966</v>
          </cell>
          <cell r="E40">
            <v>203</v>
          </cell>
          <cell r="F40">
            <v>1669</v>
          </cell>
          <cell r="G40">
            <v>215</v>
          </cell>
          <cell r="H40">
            <v>2363</v>
          </cell>
          <cell r="I40">
            <v>213</v>
          </cell>
          <cell r="J40">
            <v>2124</v>
          </cell>
          <cell r="K40">
            <v>273</v>
          </cell>
          <cell r="L40">
            <v>617</v>
          </cell>
          <cell r="M40">
            <v>1071</v>
          </cell>
          <cell r="N40">
            <v>8739</v>
          </cell>
        </row>
        <row r="41">
          <cell r="B41">
            <v>0</v>
          </cell>
          <cell r="C41">
            <v>133</v>
          </cell>
          <cell r="D41">
            <v>1506</v>
          </cell>
          <cell r="E41">
            <v>171</v>
          </cell>
          <cell r="F41">
            <v>1449</v>
          </cell>
          <cell r="G41">
            <v>203</v>
          </cell>
          <cell r="H41">
            <v>1068</v>
          </cell>
          <cell r="I41">
            <v>213</v>
          </cell>
          <cell r="J41">
            <v>992</v>
          </cell>
          <cell r="K41">
            <v>236</v>
          </cell>
          <cell r="L41">
            <v>400</v>
          </cell>
          <cell r="M41">
            <v>956</v>
          </cell>
          <cell r="N41">
            <v>5415</v>
          </cell>
        </row>
        <row r="42">
          <cell r="B42">
            <v>0</v>
          </cell>
          <cell r="C42">
            <v>101</v>
          </cell>
          <cell r="D42">
            <v>1291</v>
          </cell>
          <cell r="E42">
            <v>135</v>
          </cell>
          <cell r="F42">
            <v>968</v>
          </cell>
          <cell r="G42">
            <v>166</v>
          </cell>
          <cell r="H42">
            <v>848</v>
          </cell>
          <cell r="I42">
            <v>225</v>
          </cell>
          <cell r="J42">
            <v>1212</v>
          </cell>
          <cell r="K42">
            <v>264</v>
          </cell>
          <cell r="L42">
            <v>421</v>
          </cell>
          <cell r="M42">
            <v>891</v>
          </cell>
          <cell r="N42">
            <v>4740</v>
          </cell>
        </row>
        <row r="43">
          <cell r="B43" t="str">
            <v>UAU</v>
          </cell>
          <cell r="C43">
            <v>98</v>
          </cell>
          <cell r="D43">
            <v>581</v>
          </cell>
          <cell r="E43">
            <v>238</v>
          </cell>
          <cell r="F43">
            <v>1310</v>
          </cell>
          <cell r="G43">
            <v>383</v>
          </cell>
          <cell r="H43">
            <v>2481</v>
          </cell>
          <cell r="I43">
            <v>376</v>
          </cell>
          <cell r="J43">
            <v>4162</v>
          </cell>
          <cell r="K43">
            <v>413</v>
          </cell>
          <cell r="L43">
            <v>814</v>
          </cell>
          <cell r="M43">
            <v>1508</v>
          </cell>
          <cell r="N43">
            <v>9348</v>
          </cell>
        </row>
        <row r="44">
          <cell r="B44" t="str">
            <v>UAH</v>
          </cell>
          <cell r="C44">
            <v>75</v>
          </cell>
          <cell r="D44">
            <v>214</v>
          </cell>
          <cell r="E44">
            <v>78</v>
          </cell>
          <cell r="F44">
            <v>227</v>
          </cell>
          <cell r="G44">
            <v>74</v>
          </cell>
          <cell r="H44">
            <v>175</v>
          </cell>
          <cell r="I44">
            <v>99</v>
          </cell>
          <cell r="J44">
            <v>103</v>
          </cell>
          <cell r="K44">
            <v>122</v>
          </cell>
          <cell r="L44">
            <v>88</v>
          </cell>
          <cell r="M44">
            <v>448</v>
          </cell>
          <cell r="N44">
            <v>807</v>
          </cell>
        </row>
        <row r="45">
          <cell r="B45">
            <v>0</v>
          </cell>
          <cell r="C45">
            <v>50</v>
          </cell>
          <cell r="D45">
            <v>1187</v>
          </cell>
          <cell r="E45">
            <v>72</v>
          </cell>
          <cell r="F45">
            <v>549</v>
          </cell>
          <cell r="G45">
            <v>112</v>
          </cell>
          <cell r="H45">
            <v>421</v>
          </cell>
          <cell r="I45">
            <v>98</v>
          </cell>
          <cell r="J45">
            <v>275</v>
          </cell>
          <cell r="K45">
            <v>117</v>
          </cell>
          <cell r="L45">
            <v>175</v>
          </cell>
          <cell r="M45">
            <v>449</v>
          </cell>
          <cell r="N45">
            <v>2607</v>
          </cell>
        </row>
        <row r="46">
          <cell r="B46" t="str">
            <v>UFT</v>
          </cell>
          <cell r="C46">
            <v>49</v>
          </cell>
          <cell r="D46">
            <v>302</v>
          </cell>
          <cell r="E46">
            <v>58</v>
          </cell>
          <cell r="F46">
            <v>369</v>
          </cell>
          <cell r="G46">
            <v>94</v>
          </cell>
          <cell r="H46">
            <v>361</v>
          </cell>
          <cell r="I46">
            <v>52</v>
          </cell>
          <cell r="J46">
            <v>103</v>
          </cell>
          <cell r="K46">
            <v>66</v>
          </cell>
          <cell r="L46">
            <v>34</v>
          </cell>
          <cell r="M46">
            <v>319</v>
          </cell>
          <cell r="N46">
            <v>1169</v>
          </cell>
        </row>
        <row r="47">
          <cell r="B47">
            <v>0</v>
          </cell>
          <cell r="C47">
            <v>45</v>
          </cell>
          <cell r="D47">
            <v>226</v>
          </cell>
          <cell r="E47">
            <v>62</v>
          </cell>
          <cell r="F47">
            <v>515</v>
          </cell>
          <cell r="G47">
            <v>78</v>
          </cell>
          <cell r="H47">
            <v>451</v>
          </cell>
          <cell r="I47">
            <v>78</v>
          </cell>
          <cell r="J47">
            <v>269</v>
          </cell>
          <cell r="K47">
            <v>94</v>
          </cell>
          <cell r="L47">
            <v>178</v>
          </cell>
          <cell r="M47">
            <v>357</v>
          </cell>
          <cell r="N47">
            <v>1639</v>
          </cell>
        </row>
        <row r="48">
          <cell r="B48">
            <v>0</v>
          </cell>
          <cell r="C48">
            <v>34</v>
          </cell>
          <cell r="D48">
            <v>259</v>
          </cell>
          <cell r="E48">
            <v>30</v>
          </cell>
          <cell r="F48">
            <v>129</v>
          </cell>
          <cell r="G48">
            <v>71</v>
          </cell>
          <cell r="H48">
            <v>219</v>
          </cell>
          <cell r="I48">
            <v>97</v>
          </cell>
          <cell r="J48">
            <v>162</v>
          </cell>
          <cell r="K48">
            <v>57</v>
          </cell>
          <cell r="L48">
            <v>86</v>
          </cell>
          <cell r="M48">
            <v>289</v>
          </cell>
          <cell r="N48">
            <v>855</v>
          </cell>
        </row>
        <row r="49">
          <cell r="B49">
            <v>0</v>
          </cell>
          <cell r="C49">
            <v>33</v>
          </cell>
          <cell r="D49">
            <v>370</v>
          </cell>
          <cell r="E49">
            <v>81</v>
          </cell>
          <cell r="F49">
            <v>620</v>
          </cell>
          <cell r="G49">
            <v>208</v>
          </cell>
          <cell r="H49">
            <v>774</v>
          </cell>
          <cell r="I49">
            <v>216</v>
          </cell>
          <cell r="J49">
            <v>540</v>
          </cell>
          <cell r="K49">
            <v>174</v>
          </cell>
          <cell r="L49">
            <v>181</v>
          </cell>
          <cell r="M49">
            <v>712</v>
          </cell>
          <cell r="N49">
            <v>2485</v>
          </cell>
        </row>
        <row r="50">
          <cell r="B50" t="str">
            <v>UCS</v>
          </cell>
          <cell r="C50">
            <v>23</v>
          </cell>
          <cell r="D50">
            <v>47</v>
          </cell>
          <cell r="E50">
            <v>13</v>
          </cell>
          <cell r="F50">
            <v>26</v>
          </cell>
          <cell r="G50">
            <v>13</v>
          </cell>
          <cell r="H50">
            <v>20</v>
          </cell>
          <cell r="I50">
            <v>12</v>
          </cell>
          <cell r="J50">
            <v>7</v>
          </cell>
          <cell r="K50">
            <v>11</v>
          </cell>
          <cell r="L50">
            <v>1</v>
          </cell>
          <cell r="M50">
            <v>72</v>
          </cell>
          <cell r="N50">
            <v>101</v>
          </cell>
        </row>
        <row r="51">
          <cell r="B51" t="str">
            <v>AHC</v>
          </cell>
          <cell r="C51">
            <v>16</v>
          </cell>
          <cell r="D51">
            <v>43</v>
          </cell>
          <cell r="E51">
            <v>6</v>
          </cell>
          <cell r="F51">
            <v>10</v>
          </cell>
          <cell r="G51">
            <v>14</v>
          </cell>
          <cell r="H51">
            <v>26</v>
          </cell>
          <cell r="I51">
            <v>29</v>
          </cell>
          <cell r="J51">
            <v>16</v>
          </cell>
          <cell r="K51">
            <v>20</v>
          </cell>
          <cell r="L51">
            <v>5</v>
          </cell>
          <cell r="M51">
            <v>85</v>
          </cell>
          <cell r="N51">
            <v>100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ielo.Chile"/>
      <sheetName val="WOS"/>
      <sheetName val="SCOPUS"/>
    </sheetNames>
    <sheetDataSet>
      <sheetData sheetId="0"/>
      <sheetData sheetId="1">
        <row r="42">
          <cell r="C42" t="str">
            <v>UAU</v>
          </cell>
          <cell r="D42">
            <v>53</v>
          </cell>
          <cell r="E42">
            <v>370</v>
          </cell>
          <cell r="F42">
            <v>163</v>
          </cell>
          <cell r="G42">
            <v>931</v>
          </cell>
          <cell r="H42">
            <v>330</v>
          </cell>
          <cell r="I42">
            <v>1862</v>
          </cell>
          <cell r="J42">
            <v>313</v>
          </cell>
          <cell r="K42">
            <v>2287</v>
          </cell>
          <cell r="L42">
            <v>360</v>
          </cell>
          <cell r="M42">
            <v>499</v>
          </cell>
          <cell r="N42">
            <v>1219</v>
          </cell>
          <cell r="O42">
            <v>5949</v>
          </cell>
        </row>
        <row r="43">
          <cell r="C43" t="str">
            <v>UDP</v>
          </cell>
          <cell r="D43">
            <v>179</v>
          </cell>
          <cell r="E43">
            <v>1390</v>
          </cell>
          <cell r="F43">
            <v>241</v>
          </cell>
          <cell r="G43">
            <v>2227</v>
          </cell>
          <cell r="H43">
            <v>325</v>
          </cell>
          <cell r="I43">
            <v>5142</v>
          </cell>
          <cell r="J43">
            <v>297</v>
          </cell>
          <cell r="K43">
            <v>1807</v>
          </cell>
          <cell r="L43">
            <v>341</v>
          </cell>
          <cell r="M43">
            <v>787</v>
          </cell>
          <cell r="N43">
            <v>1383</v>
          </cell>
          <cell r="O43">
            <v>11353</v>
          </cell>
        </row>
        <row r="44">
          <cell r="C44" t="str">
            <v>UDD</v>
          </cell>
          <cell r="D44">
            <v>109</v>
          </cell>
          <cell r="E44">
            <v>1390</v>
          </cell>
          <cell r="F44">
            <v>154</v>
          </cell>
          <cell r="G44">
            <v>1210</v>
          </cell>
          <cell r="H44">
            <v>196</v>
          </cell>
          <cell r="I44">
            <v>3654</v>
          </cell>
          <cell r="J44">
            <v>201</v>
          </cell>
          <cell r="K44">
            <v>1363</v>
          </cell>
          <cell r="L44">
            <v>239</v>
          </cell>
          <cell r="M44">
            <v>322</v>
          </cell>
          <cell r="N44">
            <v>899</v>
          </cell>
          <cell r="O44">
            <v>7939</v>
          </cell>
        </row>
        <row r="45">
          <cell r="C45" t="str">
            <v>UAN</v>
          </cell>
          <cell r="D45">
            <v>82</v>
          </cell>
          <cell r="E45">
            <v>1234</v>
          </cell>
          <cell r="F45">
            <v>110</v>
          </cell>
          <cell r="G45">
            <v>1031</v>
          </cell>
          <cell r="H45">
            <v>177</v>
          </cell>
          <cell r="I45">
            <v>795</v>
          </cell>
          <cell r="J45">
            <v>173</v>
          </cell>
          <cell r="K45">
            <v>690</v>
          </cell>
          <cell r="L45">
            <v>176</v>
          </cell>
          <cell r="M45">
            <v>206</v>
          </cell>
          <cell r="N45">
            <v>718</v>
          </cell>
          <cell r="O45">
            <v>3956</v>
          </cell>
        </row>
        <row r="46">
          <cell r="C46" t="str">
            <v>UAI</v>
          </cell>
          <cell r="D46">
            <v>76</v>
          </cell>
          <cell r="E46">
            <v>961</v>
          </cell>
          <cell r="F46">
            <v>96</v>
          </cell>
          <cell r="G46">
            <v>658</v>
          </cell>
          <cell r="H46">
            <v>137</v>
          </cell>
          <cell r="I46">
            <v>612</v>
          </cell>
          <cell r="J46">
            <v>180</v>
          </cell>
          <cell r="K46">
            <v>849</v>
          </cell>
          <cell r="L46">
            <v>240</v>
          </cell>
          <cell r="M46">
            <v>235</v>
          </cell>
          <cell r="N46">
            <v>729</v>
          </cell>
          <cell r="O46">
            <v>3315</v>
          </cell>
        </row>
        <row r="47">
          <cell r="C47" t="str">
            <v>USS</v>
          </cell>
          <cell r="D47">
            <v>20</v>
          </cell>
          <cell r="E47">
            <v>249</v>
          </cell>
          <cell r="F47">
            <v>39</v>
          </cell>
          <cell r="G47">
            <v>389</v>
          </cell>
          <cell r="H47">
            <v>118</v>
          </cell>
          <cell r="I47">
            <v>467</v>
          </cell>
          <cell r="J47">
            <v>152</v>
          </cell>
          <cell r="K47">
            <v>372</v>
          </cell>
          <cell r="L47">
            <v>146</v>
          </cell>
          <cell r="M47">
            <v>96</v>
          </cell>
          <cell r="N47">
            <v>475</v>
          </cell>
          <cell r="O47">
            <v>1573</v>
          </cell>
        </row>
        <row r="48">
          <cell r="C48" t="str">
            <v>UST</v>
          </cell>
          <cell r="D48">
            <v>35</v>
          </cell>
          <cell r="E48">
            <v>1026</v>
          </cell>
          <cell r="F48">
            <v>50</v>
          </cell>
          <cell r="G48">
            <v>397</v>
          </cell>
          <cell r="H48">
            <v>86</v>
          </cell>
          <cell r="I48">
            <v>225</v>
          </cell>
          <cell r="J48">
            <v>91</v>
          </cell>
          <cell r="K48">
            <v>197</v>
          </cell>
          <cell r="L48">
            <v>84</v>
          </cell>
          <cell r="M48">
            <v>49</v>
          </cell>
          <cell r="N48">
            <v>346</v>
          </cell>
          <cell r="O48">
            <v>1894</v>
          </cell>
        </row>
        <row r="49">
          <cell r="C49" t="str">
            <v>UMA</v>
          </cell>
          <cell r="D49">
            <v>29</v>
          </cell>
          <cell r="E49">
            <v>150</v>
          </cell>
          <cell r="F49">
            <v>35</v>
          </cell>
          <cell r="G49">
            <v>142</v>
          </cell>
          <cell r="H49">
            <v>58</v>
          </cell>
          <cell r="I49">
            <v>239</v>
          </cell>
          <cell r="J49">
            <v>57</v>
          </cell>
          <cell r="K49">
            <v>176</v>
          </cell>
          <cell r="L49">
            <v>70</v>
          </cell>
          <cell r="M49">
            <v>58</v>
          </cell>
          <cell r="N49">
            <v>249</v>
          </cell>
          <cell r="O49">
            <v>765</v>
          </cell>
        </row>
        <row r="50">
          <cell r="C50" t="str">
            <v>UFT</v>
          </cell>
          <cell r="D50">
            <v>14</v>
          </cell>
          <cell r="E50">
            <v>151</v>
          </cell>
          <cell r="F50">
            <v>31</v>
          </cell>
          <cell r="G50">
            <v>216</v>
          </cell>
          <cell r="H50">
            <v>41</v>
          </cell>
          <cell r="I50">
            <v>225</v>
          </cell>
          <cell r="J50">
            <v>43</v>
          </cell>
          <cell r="K50">
            <v>60</v>
          </cell>
          <cell r="L50">
            <v>43</v>
          </cell>
          <cell r="M50">
            <v>15</v>
          </cell>
          <cell r="N50">
            <v>172</v>
          </cell>
          <cell r="O50">
            <v>667</v>
          </cell>
        </row>
        <row r="51">
          <cell r="C51" t="str">
            <v>UBO</v>
          </cell>
          <cell r="D51">
            <v>8</v>
          </cell>
          <cell r="E51">
            <v>44</v>
          </cell>
          <cell r="F51">
            <v>23</v>
          </cell>
          <cell r="G51">
            <v>224</v>
          </cell>
          <cell r="H51">
            <v>38</v>
          </cell>
          <cell r="I51">
            <v>123</v>
          </cell>
          <cell r="J51">
            <v>58</v>
          </cell>
          <cell r="K51">
            <v>54</v>
          </cell>
          <cell r="L51">
            <v>75</v>
          </cell>
          <cell r="M51">
            <v>44</v>
          </cell>
          <cell r="N51">
            <v>202</v>
          </cell>
          <cell r="O51">
            <v>489</v>
          </cell>
        </row>
        <row r="52">
          <cell r="C52" t="str">
            <v>UAH</v>
          </cell>
          <cell r="D52">
            <v>24</v>
          </cell>
          <cell r="E52">
            <v>49</v>
          </cell>
          <cell r="F52">
            <v>57</v>
          </cell>
          <cell r="G52">
            <v>71</v>
          </cell>
          <cell r="H52">
            <v>35</v>
          </cell>
          <cell r="I52">
            <v>53</v>
          </cell>
          <cell r="J52">
            <v>55</v>
          </cell>
          <cell r="K52">
            <v>46</v>
          </cell>
          <cell r="L52">
            <v>77</v>
          </cell>
          <cell r="M52">
            <v>36</v>
          </cell>
          <cell r="N52">
            <v>248</v>
          </cell>
          <cell r="O52">
            <v>255</v>
          </cell>
        </row>
        <row r="53">
          <cell r="C53" t="str">
            <v>UCE</v>
          </cell>
          <cell r="D53">
            <v>16</v>
          </cell>
          <cell r="E53">
            <v>80</v>
          </cell>
          <cell r="F53">
            <v>17</v>
          </cell>
          <cell r="G53">
            <v>63</v>
          </cell>
          <cell r="H53">
            <v>28</v>
          </cell>
          <cell r="I53">
            <v>155</v>
          </cell>
          <cell r="J53">
            <v>44</v>
          </cell>
          <cell r="K53">
            <v>74</v>
          </cell>
          <cell r="L53">
            <v>44</v>
          </cell>
          <cell r="M53">
            <v>53</v>
          </cell>
          <cell r="N53">
            <v>149</v>
          </cell>
          <cell r="O53">
            <v>425</v>
          </cell>
        </row>
        <row r="54">
          <cell r="C54" t="str">
            <v>AHC</v>
          </cell>
          <cell r="D54">
            <v>5</v>
          </cell>
          <cell r="E54">
            <v>11</v>
          </cell>
          <cell r="F54">
            <v>6</v>
          </cell>
          <cell r="G54">
            <v>4</v>
          </cell>
          <cell r="H54">
            <v>7</v>
          </cell>
          <cell r="I54">
            <v>17</v>
          </cell>
          <cell r="J54">
            <v>8</v>
          </cell>
          <cell r="K54">
            <v>9</v>
          </cell>
          <cell r="L54">
            <v>10</v>
          </cell>
          <cell r="M54">
            <v>0</v>
          </cell>
          <cell r="N54">
            <v>36</v>
          </cell>
          <cell r="O54">
            <v>41</v>
          </cell>
        </row>
        <row r="55">
          <cell r="C55" t="str">
            <v>UVM</v>
          </cell>
          <cell r="D55">
            <v>6</v>
          </cell>
          <cell r="E55">
            <v>15</v>
          </cell>
          <cell r="F55">
            <v>4</v>
          </cell>
          <cell r="G55">
            <v>7</v>
          </cell>
          <cell r="H55">
            <v>7</v>
          </cell>
          <cell r="I55">
            <v>1</v>
          </cell>
          <cell r="J55">
            <v>5</v>
          </cell>
          <cell r="K55">
            <v>7</v>
          </cell>
          <cell r="L55">
            <v>3</v>
          </cell>
          <cell r="M55">
            <v>0</v>
          </cell>
          <cell r="N55">
            <v>25</v>
          </cell>
          <cell r="O55">
            <v>30</v>
          </cell>
        </row>
        <row r="56">
          <cell r="C56" t="str">
            <v>USK</v>
          </cell>
          <cell r="D56">
            <v>3</v>
          </cell>
          <cell r="E56">
            <v>6</v>
          </cell>
          <cell r="F56">
            <v>2</v>
          </cell>
          <cell r="G56">
            <v>34</v>
          </cell>
          <cell r="H56">
            <v>7</v>
          </cell>
          <cell r="I56">
            <v>23</v>
          </cell>
          <cell r="J56">
            <v>3</v>
          </cell>
          <cell r="K56">
            <v>11</v>
          </cell>
          <cell r="L56">
            <v>3</v>
          </cell>
          <cell r="M56">
            <v>10</v>
          </cell>
          <cell r="N56">
            <v>18</v>
          </cell>
          <cell r="O56">
            <v>84</v>
          </cell>
        </row>
        <row r="57">
          <cell r="C57" t="str">
            <v>UCS</v>
          </cell>
          <cell r="D57">
            <v>3</v>
          </cell>
          <cell r="E57">
            <v>22</v>
          </cell>
          <cell r="F57">
            <v>14</v>
          </cell>
          <cell r="G57">
            <v>16</v>
          </cell>
          <cell r="H57">
            <v>5</v>
          </cell>
          <cell r="I57">
            <v>3</v>
          </cell>
          <cell r="J57">
            <v>6</v>
          </cell>
          <cell r="K57">
            <v>5</v>
          </cell>
          <cell r="L57">
            <v>2</v>
          </cell>
          <cell r="M57">
            <v>1</v>
          </cell>
          <cell r="N57">
            <v>30</v>
          </cell>
          <cell r="O57">
            <v>47</v>
          </cell>
        </row>
      </sheetData>
      <sheetData sheetId="2">
        <row r="42">
          <cell r="C42" t="str">
            <v>UAB</v>
          </cell>
          <cell r="D42" t="str">
            <v>U. Privada</v>
          </cell>
          <cell r="E42">
            <v>0</v>
          </cell>
          <cell r="F42">
            <v>381</v>
          </cell>
          <cell r="G42">
            <v>5865</v>
          </cell>
          <cell r="H42">
            <v>491</v>
          </cell>
          <cell r="I42">
            <v>5541</v>
          </cell>
          <cell r="J42">
            <v>503</v>
          </cell>
          <cell r="K42">
            <v>3723</v>
          </cell>
          <cell r="L42">
            <v>547</v>
          </cell>
          <cell r="M42">
            <v>3169</v>
          </cell>
          <cell r="N42">
            <v>657</v>
          </cell>
          <cell r="O42">
            <v>1580</v>
          </cell>
          <cell r="P42">
            <v>2579</v>
          </cell>
        </row>
        <row r="43">
          <cell r="C43" t="str">
            <v>UDP</v>
          </cell>
          <cell r="D43" t="str">
            <v>CRUCH Priv.</v>
          </cell>
          <cell r="E43" t="str">
            <v>Gratuidad 2018</v>
          </cell>
          <cell r="F43">
            <v>219</v>
          </cell>
          <cell r="G43">
            <v>2529</v>
          </cell>
          <cell r="H43">
            <v>322</v>
          </cell>
          <cell r="I43">
            <v>3643</v>
          </cell>
          <cell r="J43">
            <v>435</v>
          </cell>
          <cell r="K43">
            <v>2791</v>
          </cell>
          <cell r="L43">
            <v>339</v>
          </cell>
          <cell r="M43">
            <v>4697</v>
          </cell>
          <cell r="N43">
            <v>371</v>
          </cell>
          <cell r="O43">
            <v>1358</v>
          </cell>
          <cell r="P43">
            <v>1686</v>
          </cell>
        </row>
        <row r="44">
          <cell r="C44" t="str">
            <v>UDD</v>
          </cell>
          <cell r="D44" t="str">
            <v>U. Privada</v>
          </cell>
          <cell r="E44">
            <v>0</v>
          </cell>
          <cell r="F44">
            <v>167</v>
          </cell>
          <cell r="G44">
            <v>1966</v>
          </cell>
          <cell r="H44">
            <v>203</v>
          </cell>
          <cell r="I44">
            <v>1669</v>
          </cell>
          <cell r="J44">
            <v>215</v>
          </cell>
          <cell r="K44">
            <v>2363</v>
          </cell>
          <cell r="L44">
            <v>213</v>
          </cell>
          <cell r="M44">
            <v>2124</v>
          </cell>
          <cell r="N44">
            <v>273</v>
          </cell>
          <cell r="O44">
            <v>617</v>
          </cell>
          <cell r="P44">
            <v>1071</v>
          </cell>
        </row>
        <row r="45">
          <cell r="C45" t="str">
            <v>UAN</v>
          </cell>
          <cell r="D45" t="str">
            <v>U. Privada</v>
          </cell>
          <cell r="E45">
            <v>0</v>
          </cell>
          <cell r="F45">
            <v>133</v>
          </cell>
          <cell r="G45">
            <v>1506</v>
          </cell>
          <cell r="H45">
            <v>171</v>
          </cell>
          <cell r="I45">
            <v>1449</v>
          </cell>
          <cell r="J45">
            <v>203</v>
          </cell>
          <cell r="K45">
            <v>1068</v>
          </cell>
          <cell r="L45">
            <v>213</v>
          </cell>
          <cell r="M45">
            <v>992</v>
          </cell>
          <cell r="N45">
            <v>236</v>
          </cell>
          <cell r="O45">
            <v>400</v>
          </cell>
          <cell r="P45">
            <v>956</v>
          </cell>
        </row>
        <row r="46">
          <cell r="C46" t="str">
            <v>UAI</v>
          </cell>
          <cell r="D46" t="str">
            <v>U. Privada</v>
          </cell>
          <cell r="E46">
            <v>0</v>
          </cell>
          <cell r="F46">
            <v>101</v>
          </cell>
          <cell r="G46">
            <v>1291</v>
          </cell>
          <cell r="H46">
            <v>135</v>
          </cell>
          <cell r="I46">
            <v>968</v>
          </cell>
          <cell r="J46">
            <v>166</v>
          </cell>
          <cell r="K46">
            <v>848</v>
          </cell>
          <cell r="L46">
            <v>225</v>
          </cell>
          <cell r="M46">
            <v>1212</v>
          </cell>
          <cell r="N46">
            <v>264</v>
          </cell>
          <cell r="O46">
            <v>421</v>
          </cell>
          <cell r="P46">
            <v>891</v>
          </cell>
        </row>
        <row r="47">
          <cell r="C47" t="str">
            <v>UAU</v>
          </cell>
          <cell r="D47" t="str">
            <v>U. Privada</v>
          </cell>
          <cell r="E47" t="str">
            <v>Gratuidad 2018</v>
          </cell>
          <cell r="F47">
            <v>98</v>
          </cell>
          <cell r="G47">
            <v>581</v>
          </cell>
          <cell r="H47">
            <v>238</v>
          </cell>
          <cell r="I47">
            <v>1310</v>
          </cell>
          <cell r="J47">
            <v>383</v>
          </cell>
          <cell r="K47">
            <v>2481</v>
          </cell>
          <cell r="L47">
            <v>376</v>
          </cell>
          <cell r="M47">
            <v>4162</v>
          </cell>
          <cell r="N47">
            <v>413</v>
          </cell>
          <cell r="O47">
            <v>814</v>
          </cell>
          <cell r="P47">
            <v>1508</v>
          </cell>
        </row>
        <row r="48">
          <cell r="C48" t="str">
            <v>UAH</v>
          </cell>
          <cell r="D48" t="str">
            <v>CRUCH Priv.</v>
          </cell>
          <cell r="E48" t="str">
            <v>Gratuidad 2018</v>
          </cell>
          <cell r="F48">
            <v>75</v>
          </cell>
          <cell r="G48">
            <v>214</v>
          </cell>
          <cell r="H48">
            <v>78</v>
          </cell>
          <cell r="I48">
            <v>227</v>
          </cell>
          <cell r="J48">
            <v>74</v>
          </cell>
          <cell r="K48">
            <v>175</v>
          </cell>
          <cell r="L48">
            <v>99</v>
          </cell>
          <cell r="M48">
            <v>103</v>
          </cell>
          <cell r="N48">
            <v>122</v>
          </cell>
          <cell r="O48">
            <v>88</v>
          </cell>
          <cell r="P48">
            <v>448</v>
          </cell>
        </row>
        <row r="49">
          <cell r="C49" t="str">
            <v>UST</v>
          </cell>
          <cell r="D49" t="str">
            <v>U. Privada</v>
          </cell>
          <cell r="E49">
            <v>0</v>
          </cell>
          <cell r="F49">
            <v>50</v>
          </cell>
          <cell r="G49">
            <v>1187</v>
          </cell>
          <cell r="H49">
            <v>72</v>
          </cell>
          <cell r="I49">
            <v>549</v>
          </cell>
          <cell r="J49">
            <v>112</v>
          </cell>
          <cell r="K49">
            <v>421</v>
          </cell>
          <cell r="L49">
            <v>98</v>
          </cell>
          <cell r="M49">
            <v>275</v>
          </cell>
          <cell r="N49">
            <v>117</v>
          </cell>
          <cell r="O49">
            <v>175</v>
          </cell>
          <cell r="P49">
            <v>449</v>
          </cell>
        </row>
        <row r="50">
          <cell r="C50" t="str">
            <v>UFT</v>
          </cell>
          <cell r="D50" t="str">
            <v>U. Privada</v>
          </cell>
          <cell r="E50" t="str">
            <v>Gratuidad 2018</v>
          </cell>
          <cell r="F50">
            <v>49</v>
          </cell>
          <cell r="G50">
            <v>302</v>
          </cell>
          <cell r="H50">
            <v>58</v>
          </cell>
          <cell r="I50">
            <v>369</v>
          </cell>
          <cell r="J50">
            <v>94</v>
          </cell>
          <cell r="K50">
            <v>361</v>
          </cell>
          <cell r="L50">
            <v>52</v>
          </cell>
          <cell r="M50">
            <v>103</v>
          </cell>
          <cell r="N50">
            <v>66</v>
          </cell>
          <cell r="O50">
            <v>34</v>
          </cell>
          <cell r="P50">
            <v>319</v>
          </cell>
        </row>
        <row r="51">
          <cell r="C51" t="str">
            <v>UMA</v>
          </cell>
          <cell r="D51" t="str">
            <v>U. Privada</v>
          </cell>
          <cell r="E51">
            <v>0</v>
          </cell>
          <cell r="F51">
            <v>45</v>
          </cell>
          <cell r="G51">
            <v>226</v>
          </cell>
          <cell r="H51">
            <v>62</v>
          </cell>
          <cell r="I51">
            <v>515</v>
          </cell>
          <cell r="J51">
            <v>78</v>
          </cell>
          <cell r="K51">
            <v>451</v>
          </cell>
          <cell r="L51">
            <v>78</v>
          </cell>
          <cell r="M51">
            <v>269</v>
          </cell>
          <cell r="N51">
            <v>94</v>
          </cell>
          <cell r="O51">
            <v>178</v>
          </cell>
          <cell r="P51">
            <v>357</v>
          </cell>
        </row>
        <row r="52">
          <cell r="C52" t="str">
            <v>UCE</v>
          </cell>
          <cell r="D52" t="str">
            <v>U. Privada</v>
          </cell>
          <cell r="E52">
            <v>0</v>
          </cell>
          <cell r="F52">
            <v>34</v>
          </cell>
          <cell r="G52">
            <v>259</v>
          </cell>
          <cell r="H52">
            <v>30</v>
          </cell>
          <cell r="I52">
            <v>129</v>
          </cell>
          <cell r="J52">
            <v>71</v>
          </cell>
          <cell r="K52">
            <v>219</v>
          </cell>
          <cell r="L52">
            <v>97</v>
          </cell>
          <cell r="M52">
            <v>162</v>
          </cell>
          <cell r="N52">
            <v>57</v>
          </cell>
          <cell r="O52">
            <v>86</v>
          </cell>
          <cell r="P52">
            <v>289</v>
          </cell>
        </row>
        <row r="53">
          <cell r="C53" t="str">
            <v>USS</v>
          </cell>
          <cell r="D53" t="str">
            <v>U. Privada</v>
          </cell>
          <cell r="E53">
            <v>0</v>
          </cell>
          <cell r="F53">
            <v>33</v>
          </cell>
          <cell r="G53">
            <v>370</v>
          </cell>
          <cell r="H53">
            <v>81</v>
          </cell>
          <cell r="I53">
            <v>620</v>
          </cell>
          <cell r="J53">
            <v>208</v>
          </cell>
          <cell r="K53">
            <v>774</v>
          </cell>
          <cell r="L53">
            <v>216</v>
          </cell>
          <cell r="M53">
            <v>540</v>
          </cell>
          <cell r="N53">
            <v>174</v>
          </cell>
          <cell r="O53">
            <v>181</v>
          </cell>
          <cell r="P53">
            <v>712</v>
          </cell>
        </row>
        <row r="54">
          <cell r="C54" t="str">
            <v>UCS</v>
          </cell>
          <cell r="D54" t="str">
            <v>U. Privada</v>
          </cell>
          <cell r="E54" t="str">
            <v>Gratuidad 2018</v>
          </cell>
          <cell r="F54">
            <v>23</v>
          </cell>
          <cell r="G54">
            <v>47</v>
          </cell>
          <cell r="H54">
            <v>13</v>
          </cell>
          <cell r="I54">
            <v>26</v>
          </cell>
          <cell r="J54">
            <v>13</v>
          </cell>
          <cell r="K54">
            <v>20</v>
          </cell>
          <cell r="L54">
            <v>12</v>
          </cell>
          <cell r="M54">
            <v>7</v>
          </cell>
          <cell r="N54">
            <v>11</v>
          </cell>
          <cell r="O54">
            <v>1</v>
          </cell>
          <cell r="P54">
            <v>72</v>
          </cell>
        </row>
        <row r="55">
          <cell r="C55" t="str">
            <v>AHC</v>
          </cell>
          <cell r="D55" t="str">
            <v>U. Privada</v>
          </cell>
          <cell r="E55" t="str">
            <v>Gratuidad 2018</v>
          </cell>
          <cell r="F55">
            <v>16</v>
          </cell>
          <cell r="G55">
            <v>43</v>
          </cell>
          <cell r="H55">
            <v>6</v>
          </cell>
          <cell r="I55">
            <v>10</v>
          </cell>
          <cell r="J55">
            <v>14</v>
          </cell>
          <cell r="K55">
            <v>26</v>
          </cell>
          <cell r="L55">
            <v>29</v>
          </cell>
          <cell r="M55">
            <v>16</v>
          </cell>
          <cell r="N55">
            <v>20</v>
          </cell>
          <cell r="O55">
            <v>5</v>
          </cell>
          <cell r="P55">
            <v>85</v>
          </cell>
        </row>
        <row r="56">
          <cell r="C56" t="str">
            <v>UBO</v>
          </cell>
          <cell r="D56" t="str">
            <v>U. Privada</v>
          </cell>
          <cell r="E56">
            <v>0</v>
          </cell>
          <cell r="F56">
            <v>11</v>
          </cell>
          <cell r="G56">
            <v>21</v>
          </cell>
          <cell r="H56">
            <v>39</v>
          </cell>
          <cell r="I56">
            <v>276</v>
          </cell>
          <cell r="J56">
            <v>57</v>
          </cell>
          <cell r="K56">
            <v>225</v>
          </cell>
          <cell r="L56">
            <v>67</v>
          </cell>
          <cell r="M56">
            <v>268</v>
          </cell>
          <cell r="N56">
            <v>105</v>
          </cell>
          <cell r="O56">
            <v>110</v>
          </cell>
          <cell r="P56">
            <v>279</v>
          </cell>
        </row>
        <row r="57">
          <cell r="C57" t="str">
            <v>UVM</v>
          </cell>
          <cell r="D57" t="str">
            <v>U. Privada</v>
          </cell>
          <cell r="E57">
            <v>0</v>
          </cell>
          <cell r="F57">
            <v>9</v>
          </cell>
          <cell r="G57">
            <v>31</v>
          </cell>
          <cell r="H57">
            <v>12</v>
          </cell>
          <cell r="I57">
            <v>30</v>
          </cell>
          <cell r="J57">
            <v>9</v>
          </cell>
          <cell r="K57">
            <v>9</v>
          </cell>
          <cell r="L57">
            <v>12</v>
          </cell>
          <cell r="M57">
            <v>18</v>
          </cell>
          <cell r="N57">
            <v>8</v>
          </cell>
          <cell r="O57">
            <v>1</v>
          </cell>
          <cell r="P57">
            <v>50</v>
          </cell>
        </row>
        <row r="58">
          <cell r="C58" t="str">
            <v>UPV</v>
          </cell>
          <cell r="D58" t="str">
            <v>U. Privada</v>
          </cell>
          <cell r="E58">
            <v>0</v>
          </cell>
          <cell r="F58">
            <v>8</v>
          </cell>
          <cell r="G58">
            <v>47</v>
          </cell>
          <cell r="H58">
            <v>2</v>
          </cell>
          <cell r="I58">
            <v>2</v>
          </cell>
          <cell r="J58">
            <v>3</v>
          </cell>
          <cell r="K58">
            <v>1</v>
          </cell>
          <cell r="L58">
            <v>4</v>
          </cell>
          <cell r="M58">
            <v>3</v>
          </cell>
          <cell r="N58">
            <v>4</v>
          </cell>
          <cell r="O58">
            <v>1</v>
          </cell>
          <cell r="P58">
            <v>21</v>
          </cell>
        </row>
        <row r="59">
          <cell r="C59" t="str">
            <v>UTC</v>
          </cell>
          <cell r="D59" t="str">
            <v>U. Privada</v>
          </cell>
          <cell r="E59">
            <v>0</v>
          </cell>
          <cell r="F59">
            <v>6</v>
          </cell>
          <cell r="G59">
            <v>58</v>
          </cell>
          <cell r="H59">
            <v>3</v>
          </cell>
          <cell r="I59">
            <v>10</v>
          </cell>
          <cell r="J59">
            <v>2</v>
          </cell>
          <cell r="K59">
            <v>3</v>
          </cell>
          <cell r="L59">
            <v>8</v>
          </cell>
          <cell r="M59">
            <v>6</v>
          </cell>
          <cell r="N59">
            <v>22</v>
          </cell>
          <cell r="O59">
            <v>8</v>
          </cell>
          <cell r="P59">
            <v>41</v>
          </cell>
        </row>
        <row r="60">
          <cell r="C60" t="str">
            <v>UGM</v>
          </cell>
          <cell r="D60" t="str">
            <v>U. Privada</v>
          </cell>
          <cell r="E60">
            <v>0</v>
          </cell>
          <cell r="F60">
            <v>3</v>
          </cell>
          <cell r="G60">
            <v>57</v>
          </cell>
          <cell r="H60">
            <v>7</v>
          </cell>
          <cell r="I60">
            <v>8</v>
          </cell>
          <cell r="J60">
            <v>3</v>
          </cell>
          <cell r="K60">
            <v>27</v>
          </cell>
          <cell r="L60">
            <v>4</v>
          </cell>
          <cell r="M60">
            <v>3</v>
          </cell>
          <cell r="N60">
            <v>12</v>
          </cell>
          <cell r="O60">
            <v>6</v>
          </cell>
          <cell r="P60">
            <v>29</v>
          </cell>
        </row>
        <row r="61">
          <cell r="C61" t="str">
            <v>UAR</v>
          </cell>
          <cell r="D61" t="str">
            <v>U. Privada</v>
          </cell>
          <cell r="E61">
            <v>0</v>
          </cell>
          <cell r="F61">
            <v>3</v>
          </cell>
          <cell r="G61">
            <v>1</v>
          </cell>
          <cell r="H61">
            <v>3</v>
          </cell>
          <cell r="I61">
            <v>2</v>
          </cell>
          <cell r="J61">
            <v>3</v>
          </cell>
          <cell r="K61">
            <v>0</v>
          </cell>
          <cell r="L61">
            <v>3</v>
          </cell>
          <cell r="M61">
            <v>0</v>
          </cell>
          <cell r="N61">
            <v>2</v>
          </cell>
          <cell r="O61">
            <v>1</v>
          </cell>
          <cell r="P61">
            <v>14</v>
          </cell>
        </row>
        <row r="62">
          <cell r="C62" t="str">
            <v>ULR</v>
          </cell>
          <cell r="D62" t="str">
            <v>U. Privada</v>
          </cell>
          <cell r="E62">
            <v>0</v>
          </cell>
          <cell r="F62">
            <v>2</v>
          </cell>
          <cell r="G62">
            <v>1</v>
          </cell>
          <cell r="H62">
            <v>1</v>
          </cell>
          <cell r="I62">
            <v>7</v>
          </cell>
          <cell r="J62">
            <v>2</v>
          </cell>
          <cell r="K62">
            <v>5</v>
          </cell>
          <cell r="L62">
            <v>2</v>
          </cell>
          <cell r="M62">
            <v>3</v>
          </cell>
          <cell r="N62">
            <v>2</v>
          </cell>
          <cell r="O62">
            <v>0</v>
          </cell>
          <cell r="P62">
            <v>9</v>
          </cell>
        </row>
        <row r="63">
          <cell r="C63" t="str">
            <v>UIB</v>
          </cell>
          <cell r="D63" t="str">
            <v>U. Privada</v>
          </cell>
          <cell r="E63">
            <v>0</v>
          </cell>
          <cell r="F63">
            <v>2</v>
          </cell>
          <cell r="G63">
            <v>6</v>
          </cell>
          <cell r="H63">
            <v>3</v>
          </cell>
          <cell r="I63">
            <v>8</v>
          </cell>
          <cell r="J63">
            <v>7</v>
          </cell>
          <cell r="K63">
            <v>7</v>
          </cell>
          <cell r="L63">
            <v>9</v>
          </cell>
          <cell r="M63">
            <v>11</v>
          </cell>
          <cell r="N63">
            <v>7</v>
          </cell>
          <cell r="O63">
            <v>5</v>
          </cell>
          <cell r="P63">
            <v>28</v>
          </cell>
        </row>
        <row r="64">
          <cell r="C64" t="str">
            <v>UAC</v>
          </cell>
          <cell r="D64" t="str">
            <v>U. Privada</v>
          </cell>
          <cell r="E64">
            <v>0</v>
          </cell>
          <cell r="F64">
            <v>2</v>
          </cell>
          <cell r="G64">
            <v>6</v>
          </cell>
          <cell r="H64">
            <v>1</v>
          </cell>
          <cell r="I64">
            <v>0</v>
          </cell>
          <cell r="J64">
            <v>2</v>
          </cell>
          <cell r="K64">
            <v>3</v>
          </cell>
          <cell r="L64">
            <v>8</v>
          </cell>
          <cell r="M64">
            <v>16</v>
          </cell>
          <cell r="N64">
            <v>14</v>
          </cell>
          <cell r="O64">
            <v>2</v>
          </cell>
          <cell r="P64">
            <v>27</v>
          </cell>
        </row>
        <row r="65">
          <cell r="C65" t="str">
            <v>USK</v>
          </cell>
          <cell r="D65" t="str">
            <v>U. Privada</v>
          </cell>
          <cell r="E65">
            <v>0</v>
          </cell>
          <cell r="F65">
            <v>2</v>
          </cell>
          <cell r="G65">
            <v>7</v>
          </cell>
          <cell r="H65">
            <v>8</v>
          </cell>
          <cell r="I65">
            <v>45</v>
          </cell>
          <cell r="J65">
            <v>5</v>
          </cell>
          <cell r="K65">
            <v>125</v>
          </cell>
          <cell r="L65">
            <v>3</v>
          </cell>
          <cell r="M65">
            <v>17</v>
          </cell>
          <cell r="N65">
            <v>5</v>
          </cell>
          <cell r="O65">
            <v>15</v>
          </cell>
          <cell r="P65">
            <v>23</v>
          </cell>
        </row>
        <row r="66">
          <cell r="C66" t="str">
            <v>UPO</v>
          </cell>
          <cell r="D66" t="str">
            <v>U. Privada</v>
          </cell>
          <cell r="E66">
            <v>0</v>
          </cell>
          <cell r="F66">
            <v>1</v>
          </cell>
          <cell r="G66">
            <v>3</v>
          </cell>
          <cell r="H66">
            <v>3</v>
          </cell>
          <cell r="I66">
            <v>34</v>
          </cell>
          <cell r="J66">
            <v>2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6</v>
          </cell>
        </row>
        <row r="67">
          <cell r="C67" t="str">
            <v>UAM</v>
          </cell>
          <cell r="D67" t="str">
            <v>U. Privada</v>
          </cell>
          <cell r="E67">
            <v>0</v>
          </cell>
          <cell r="F67">
            <v>1</v>
          </cell>
          <cell r="G67">
            <v>0</v>
          </cell>
          <cell r="H67">
            <v>2</v>
          </cell>
          <cell r="I67">
            <v>14</v>
          </cell>
          <cell r="J67">
            <v>4</v>
          </cell>
          <cell r="K67">
            <v>7</v>
          </cell>
          <cell r="L67">
            <v>16</v>
          </cell>
          <cell r="M67">
            <v>10</v>
          </cell>
          <cell r="N67">
            <v>19</v>
          </cell>
          <cell r="O67">
            <v>3</v>
          </cell>
          <cell r="P67">
            <v>42</v>
          </cell>
        </row>
        <row r="68">
          <cell r="C68" t="str">
            <v>UCC</v>
          </cell>
          <cell r="D68" t="str">
            <v>U. Privada</v>
          </cell>
          <cell r="E68">
            <v>0</v>
          </cell>
          <cell r="F68">
            <v>1</v>
          </cell>
          <cell r="G68">
            <v>1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2</v>
          </cell>
        </row>
        <row r="69">
          <cell r="C69" t="str">
            <v>UCI</v>
          </cell>
          <cell r="D69" t="str">
            <v>U. Privada</v>
          </cell>
          <cell r="E69">
            <v>0</v>
          </cell>
          <cell r="F69">
            <v>1</v>
          </cell>
          <cell r="G69">
            <v>19</v>
          </cell>
          <cell r="H69">
            <v>3</v>
          </cell>
          <cell r="I69">
            <v>4</v>
          </cell>
          <cell r="J69">
            <v>0</v>
          </cell>
          <cell r="K69">
            <v>0</v>
          </cell>
          <cell r="L69">
            <v>2</v>
          </cell>
          <cell r="M69">
            <v>4</v>
          </cell>
          <cell r="N69">
            <v>1</v>
          </cell>
          <cell r="O69">
            <v>0</v>
          </cell>
          <cell r="P69">
            <v>7</v>
          </cell>
        </row>
        <row r="70">
          <cell r="C70" t="str">
            <v>UBL</v>
          </cell>
          <cell r="D70" t="str">
            <v>U. Privada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1</v>
          </cell>
          <cell r="O70">
            <v>0</v>
          </cell>
          <cell r="P70">
            <v>1</v>
          </cell>
        </row>
        <row r="71">
          <cell r="C71" t="e">
            <v>#N/A</v>
          </cell>
          <cell r="D71" t="str">
            <v>U. Privada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ECYT"/>
      <sheetName val="FONDAP"/>
      <sheetName val="Astronomía"/>
      <sheetName val="FONDEF"/>
      <sheetName val="FONIS"/>
      <sheetName val="PCI(PIC)"/>
      <sheetName val="Publicaciones SciELO"/>
      <sheetName val="Publicaciones WOS"/>
      <sheetName val="IniciativaMilenio(RAM_SinDetall"/>
      <sheetName val="PIA"/>
      <sheetName val="Copia MILENIO 2018 "/>
      <sheetName val="FI (RAM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 t="str">
            <v>AHC</v>
          </cell>
          <cell r="C4" t="str">
            <v>U. Privada</v>
          </cell>
          <cell r="D4">
            <v>18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18</v>
          </cell>
          <cell r="L4">
            <v>0</v>
          </cell>
          <cell r="M4">
            <v>18</v>
          </cell>
        </row>
        <row r="5">
          <cell r="B5" t="str">
            <v>UAH</v>
          </cell>
          <cell r="C5" t="str">
            <v>U. Privada</v>
          </cell>
          <cell r="D5">
            <v>59</v>
          </cell>
          <cell r="E5">
            <v>0</v>
          </cell>
          <cell r="F5">
            <v>0</v>
          </cell>
          <cell r="G5">
            <v>2</v>
          </cell>
          <cell r="H5">
            <v>0</v>
          </cell>
          <cell r="I5">
            <v>2</v>
          </cell>
          <cell r="J5">
            <v>2</v>
          </cell>
          <cell r="K5">
            <v>65</v>
          </cell>
          <cell r="L5">
            <v>1</v>
          </cell>
          <cell r="M5">
            <v>66</v>
          </cell>
        </row>
        <row r="6">
          <cell r="B6" t="str">
            <v>UAU</v>
          </cell>
          <cell r="C6" t="str">
            <v>U. Privada</v>
          </cell>
          <cell r="D6">
            <v>49</v>
          </cell>
          <cell r="E6">
            <v>0</v>
          </cell>
          <cell r="F6">
            <v>0</v>
          </cell>
          <cell r="G6">
            <v>2</v>
          </cell>
          <cell r="H6">
            <v>0</v>
          </cell>
          <cell r="I6">
            <v>2</v>
          </cell>
          <cell r="J6">
            <v>0</v>
          </cell>
          <cell r="K6">
            <v>53</v>
          </cell>
          <cell r="L6">
            <v>0</v>
          </cell>
          <cell r="M6">
            <v>53</v>
          </cell>
        </row>
        <row r="7">
          <cell r="B7" t="str">
            <v>UCS</v>
          </cell>
          <cell r="C7" t="str">
            <v>U. Privada</v>
          </cell>
          <cell r="D7">
            <v>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6</v>
          </cell>
          <cell r="L7">
            <v>0</v>
          </cell>
          <cell r="M7">
            <v>6</v>
          </cell>
        </row>
        <row r="8">
          <cell r="B8" t="str">
            <v>UDP</v>
          </cell>
          <cell r="C8" t="str">
            <v>U. Privada</v>
          </cell>
          <cell r="D8">
            <v>79</v>
          </cell>
          <cell r="E8">
            <v>0</v>
          </cell>
          <cell r="F8">
            <v>5</v>
          </cell>
          <cell r="G8">
            <v>1</v>
          </cell>
          <cell r="H8">
            <v>0</v>
          </cell>
          <cell r="I8">
            <v>3</v>
          </cell>
          <cell r="J8">
            <v>0</v>
          </cell>
          <cell r="K8">
            <v>88</v>
          </cell>
          <cell r="L8">
            <v>2</v>
          </cell>
          <cell r="M8">
            <v>90</v>
          </cell>
        </row>
        <row r="9">
          <cell r="B9" t="str">
            <v>UFT</v>
          </cell>
          <cell r="C9" t="str">
            <v>U. Privada</v>
          </cell>
          <cell r="D9">
            <v>8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8</v>
          </cell>
          <cell r="L9">
            <v>0</v>
          </cell>
          <cell r="M9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abSelected="1" workbookViewId="0">
      <selection activeCell="M7" sqref="M7"/>
    </sheetView>
  </sheetViews>
  <sheetFormatPr baseColWidth="10" defaultRowHeight="14" x14ac:dyDescent="0.2"/>
  <cols>
    <col min="1" max="1" width="3.1640625" style="26" customWidth="1"/>
    <col min="2" max="2" width="37.33203125" style="26" customWidth="1"/>
    <col min="3" max="3" width="9" style="26" customWidth="1"/>
    <col min="4" max="4" width="11.6640625" style="26" customWidth="1"/>
    <col min="5" max="5" width="10.1640625" style="26" customWidth="1"/>
    <col min="6" max="6" width="11.33203125" style="26" customWidth="1"/>
    <col min="7" max="7" width="13.33203125" style="26" customWidth="1"/>
    <col min="8" max="10" width="10.1640625" style="26" customWidth="1"/>
    <col min="11" max="11" width="11.5" style="26" bestFit="1" customWidth="1"/>
    <col min="12" max="12" width="11.33203125" style="26" customWidth="1"/>
    <col min="13" max="13" width="7.6640625" style="26" bestFit="1" customWidth="1"/>
    <col min="14" max="14" width="12" style="26" bestFit="1" customWidth="1"/>
    <col min="15" max="15" width="13.5" style="26" bestFit="1" customWidth="1"/>
    <col min="16" max="16" width="6.33203125" style="26" bestFit="1" customWidth="1"/>
    <col min="17" max="17" width="2.5" style="26" customWidth="1"/>
    <col min="18" max="18" width="6.33203125" style="26" bestFit="1" customWidth="1"/>
    <col min="19" max="16384" width="10.83203125" style="26"/>
  </cols>
  <sheetData>
    <row r="1" spans="1:17" ht="17" x14ac:dyDescent="0.2">
      <c r="B1" s="30" t="s">
        <v>111</v>
      </c>
    </row>
    <row r="2" spans="1:17" x14ac:dyDescent="0.2">
      <c r="B2" s="153" t="s">
        <v>110</v>
      </c>
    </row>
    <row r="3" spans="1:17" x14ac:dyDescent="0.2">
      <c r="B3" s="153" t="s">
        <v>124</v>
      </c>
    </row>
    <row r="5" spans="1:17" x14ac:dyDescent="0.2">
      <c r="B5" s="179" t="s">
        <v>121</v>
      </c>
      <c r="C5" s="185" t="s">
        <v>117</v>
      </c>
      <c r="D5" s="185"/>
    </row>
    <row r="6" spans="1:17" x14ac:dyDescent="0.2">
      <c r="B6" s="1" t="s">
        <v>118</v>
      </c>
      <c r="C6" s="184">
        <v>7785970</v>
      </c>
      <c r="D6" s="184"/>
      <c r="O6" s="42"/>
    </row>
    <row r="7" spans="1:17" x14ac:dyDescent="0.2">
      <c r="B7" s="1" t="s">
        <v>119</v>
      </c>
      <c r="C7" s="184">
        <v>0</v>
      </c>
      <c r="D7" s="184"/>
      <c r="O7" s="42"/>
    </row>
    <row r="8" spans="1:17" x14ac:dyDescent="0.2">
      <c r="B8" s="180" t="s">
        <v>120</v>
      </c>
      <c r="C8" s="186">
        <f>SUM(C6:D7)</f>
        <v>7785970</v>
      </c>
      <c r="D8" s="186"/>
      <c r="E8" s="77"/>
      <c r="F8" s="77"/>
      <c r="G8" s="77"/>
      <c r="H8" s="77"/>
      <c r="I8" s="77"/>
      <c r="J8" s="77"/>
      <c r="O8" s="43"/>
    </row>
    <row r="9" spans="1:17" ht="15" x14ac:dyDescent="0.2">
      <c r="B9" s="32"/>
      <c r="C9" s="178"/>
      <c r="D9" s="178"/>
      <c r="E9" s="178"/>
      <c r="F9" s="178"/>
      <c r="G9" s="178"/>
      <c r="H9" s="178"/>
      <c r="I9" s="178"/>
      <c r="J9" s="78"/>
    </row>
    <row r="10" spans="1:17" ht="15" x14ac:dyDescent="0.2">
      <c r="B10" s="32"/>
      <c r="C10" s="32"/>
      <c r="D10" s="47">
        <f>1/7</f>
        <v>0.14285714285714285</v>
      </c>
      <c r="E10" s="47">
        <f t="shared" ref="E10:I10" si="0">1/7</f>
        <v>0.14285714285714285</v>
      </c>
      <c r="F10" s="47">
        <f t="shared" si="0"/>
        <v>0.14285714285714285</v>
      </c>
      <c r="G10" s="47">
        <f t="shared" si="0"/>
        <v>0.14285714285714285</v>
      </c>
      <c r="H10" s="47">
        <f t="shared" si="0"/>
        <v>0.14285714285714285</v>
      </c>
      <c r="I10" s="47">
        <f t="shared" si="0"/>
        <v>0.14285714285714285</v>
      </c>
      <c r="J10" s="47">
        <f>1-SUM(D10:I10)</f>
        <v>0.14285714285714302</v>
      </c>
    </row>
    <row r="11" spans="1:17" ht="28" x14ac:dyDescent="0.2">
      <c r="C11" s="27" t="s">
        <v>15</v>
      </c>
      <c r="D11" s="28">
        <f t="shared" ref="D11:J11" si="1">$C$8*D10</f>
        <v>1112281.4285714284</v>
      </c>
      <c r="E11" s="28">
        <f t="shared" si="1"/>
        <v>1112281.4285714284</v>
      </c>
      <c r="F11" s="28">
        <f t="shared" si="1"/>
        <v>1112281.4285714284</v>
      </c>
      <c r="G11" s="28">
        <f t="shared" si="1"/>
        <v>1112281.4285714284</v>
      </c>
      <c r="H11" s="28">
        <f t="shared" si="1"/>
        <v>1112281.4285714284</v>
      </c>
      <c r="I11" s="28">
        <f t="shared" si="1"/>
        <v>1112281.4285714284</v>
      </c>
      <c r="J11" s="28">
        <f t="shared" si="1"/>
        <v>1112281.4285714298</v>
      </c>
      <c r="K11" s="28">
        <f>SUM(D11:J11)</f>
        <v>7785970</v>
      </c>
      <c r="N11" s="183" t="s">
        <v>123</v>
      </c>
    </row>
    <row r="12" spans="1:17" ht="42" x14ac:dyDescent="0.2">
      <c r="A12" s="50" t="s">
        <v>20</v>
      </c>
      <c r="B12" s="4" t="s">
        <v>1</v>
      </c>
      <c r="C12" s="50" t="s">
        <v>0</v>
      </c>
      <c r="D12" s="27" t="s">
        <v>116</v>
      </c>
      <c r="E12" s="27" t="s">
        <v>16</v>
      </c>
      <c r="F12" s="27" t="s">
        <v>17</v>
      </c>
      <c r="G12" s="27" t="s">
        <v>115</v>
      </c>
      <c r="H12" s="27" t="s">
        <v>21</v>
      </c>
      <c r="I12" s="27" t="s">
        <v>19</v>
      </c>
      <c r="J12" s="27" t="s">
        <v>18</v>
      </c>
      <c r="K12" s="27" t="s">
        <v>25</v>
      </c>
      <c r="L12" s="36" t="s">
        <v>26</v>
      </c>
      <c r="M12" s="36" t="s">
        <v>55</v>
      </c>
      <c r="N12" s="34" t="s">
        <v>52</v>
      </c>
      <c r="O12" s="39" t="s">
        <v>122</v>
      </c>
      <c r="P12" s="50" t="s">
        <v>0</v>
      </c>
    </row>
    <row r="13" spans="1:17" x14ac:dyDescent="0.2">
      <c r="A13" s="23">
        <v>1</v>
      </c>
      <c r="B13" s="51" t="s">
        <v>3</v>
      </c>
      <c r="C13" s="23" t="s">
        <v>2</v>
      </c>
      <c r="D13" s="48">
        <f>VLOOKUP(C13,'I.Acreditación Institucional'!$C$4:$K$9,9,0)*$D$11</f>
        <v>346448.31381733023</v>
      </c>
      <c r="E13" s="48">
        <f>VLOOKUP(C13,'II.Doctorados Acreditados'!$C$4:$J$9,8,0)*$E$11</f>
        <v>476692.04081632645</v>
      </c>
      <c r="F13" s="48">
        <f>VLOOKUP(C13,'III. Planta Académica'!$Y$4:$AB$9,4,0)*$F$11</f>
        <v>176964.48489843396</v>
      </c>
      <c r="G13" s="48">
        <f>VLOOKUP(C13,'IV. Publicaciones por acad.'!$C$4:$G$9,5,0)*$G$11</f>
        <v>317774.72684020642</v>
      </c>
      <c r="H13" s="49">
        <f>VLOOKUP(C13,V.Citas!$C$4:$G$10,5,0)*$H$11</f>
        <v>441076.83636674652</v>
      </c>
      <c r="I13" s="48">
        <f>VLOOKUP(C13,'VI. Proyectos'!$C$5:$E$10,3,0)*$I$11</f>
        <v>415374.80735032598</v>
      </c>
      <c r="J13" s="48">
        <f>VLOOKUP(C13,'VII. Publicaciones'!$O$5:$R$10,4,0)*$J$11</f>
        <v>325699.30291401007</v>
      </c>
      <c r="K13" s="181">
        <f>SUM(D13:J13)</f>
        <v>2500030.5130033796</v>
      </c>
      <c r="L13" s="44">
        <f t="shared" ref="L13:L18" si="2">ROUND(K13,0)</f>
        <v>2500031</v>
      </c>
      <c r="M13" s="37">
        <f>L13/$L$19</f>
        <v>0.321094353047854</v>
      </c>
      <c r="N13" s="33">
        <f>VLOOKUP(C13,[1]Hoja1!$C$7:$I$12,7,0)</f>
        <v>1023805</v>
      </c>
      <c r="O13" s="40">
        <f t="shared" ref="O13:O18" si="3">L13-N13</f>
        <v>1476226</v>
      </c>
      <c r="P13" s="23" t="str">
        <f t="shared" ref="P13:P18" si="4">+C13</f>
        <v>UDP</v>
      </c>
      <c r="Q13" s="29"/>
    </row>
    <row r="14" spans="1:17" x14ac:dyDescent="0.2">
      <c r="A14" s="23">
        <v>2</v>
      </c>
      <c r="B14" s="51" t="s">
        <v>5</v>
      </c>
      <c r="C14" s="23" t="s">
        <v>4</v>
      </c>
      <c r="D14" s="48">
        <f>VLOOKUP(C14,'I.Acreditación Institucional'!$C$4:$K$9,9,0)*$D$11</f>
        <v>346448.31381733023</v>
      </c>
      <c r="E14" s="48">
        <f>VLOOKUP(C14,'II.Doctorados Acreditados'!$C$4:$J$9,8,0)*$E$11</f>
        <v>556140.7142857142</v>
      </c>
      <c r="F14" s="48">
        <f>VLOOKUP(C14,'III. Planta Académica'!$Y$4:$AB$9,4,0)*$F$11</f>
        <v>299189.1778464684</v>
      </c>
      <c r="G14" s="48">
        <f>VLOOKUP(C14,'IV. Publicaciones por acad.'!$C$4:$G$9,5,0)*$G$11</f>
        <v>197227.39398192955</v>
      </c>
      <c r="H14" s="49">
        <f>VLOOKUP(C14,V.Citas!$C$4:$G$10,5,0)*$H$11</f>
        <v>55247.711453729251</v>
      </c>
      <c r="I14" s="48">
        <f>VLOOKUP(C14,'VI. Proyectos'!$C$5:$E$10,3,0)*$I$11</f>
        <v>304608.19205690571</v>
      </c>
      <c r="J14" s="48">
        <f>VLOOKUP(C14,'VII. Publicaciones'!$O$5:$R$10,4,0)*$J$11</f>
        <v>159768.97887455625</v>
      </c>
      <c r="K14" s="181">
        <f t="shared" ref="K14:K18" si="5">SUM(D14:J14)</f>
        <v>1918630.4823166337</v>
      </c>
      <c r="L14" s="44">
        <f t="shared" si="2"/>
        <v>1918630</v>
      </c>
      <c r="M14" s="37">
        <f t="shared" ref="M14:M18" si="6">L14/$L$19</f>
        <v>0.24642144780932884</v>
      </c>
      <c r="N14" s="33">
        <f>VLOOKUP(C14,[1]Hoja1!$C$7:$I$12,7,0)</f>
        <v>754550</v>
      </c>
      <c r="O14" s="40">
        <f t="shared" si="3"/>
        <v>1164080</v>
      </c>
      <c r="P14" s="23" t="str">
        <f t="shared" si="4"/>
        <v>UAH</v>
      </c>
      <c r="Q14" s="29"/>
    </row>
    <row r="15" spans="1:17" x14ac:dyDescent="0.2">
      <c r="A15" s="23">
        <v>4</v>
      </c>
      <c r="B15" s="51" t="s">
        <v>9</v>
      </c>
      <c r="C15" s="23" t="s">
        <v>8</v>
      </c>
      <c r="D15" s="48">
        <f>VLOOKUP(C15,'I.Acreditación Institucional'!$C$4:$K$9,9,0)*$D$11</f>
        <v>200575.3395784543</v>
      </c>
      <c r="E15" s="48">
        <f>VLOOKUP(C15,'II.Doctorados Acreditados'!$C$4:$J$9,8,0)*$E$11</f>
        <v>79448.673469387737</v>
      </c>
      <c r="F15" s="48">
        <f>VLOOKUP(C15,'III. Planta Académica'!$Y$4:$AB$9,4,0)*$F$11</f>
        <v>154904.6856178586</v>
      </c>
      <c r="G15" s="48">
        <f>VLOOKUP(C15,'IV. Publicaciones por acad.'!$C$4:$G$9,5,0)*$G$11</f>
        <v>223459.13362042632</v>
      </c>
      <c r="H15" s="49">
        <f>VLOOKUP(C15,V.Citas!$C$4:$G$10,5,0)*$H$11</f>
        <v>262220.14698220132</v>
      </c>
      <c r="I15" s="48">
        <f>VLOOKUP(C15,'VI. Proyectos'!$C$5:$E$10,3,0)*$I$11</f>
        <v>244609.60877296972</v>
      </c>
      <c r="J15" s="48">
        <f>VLOOKUP(C15,'VII. Publicaciones'!$O$5:$R$10,4,0)*$J$11</f>
        <v>393480.21033334249</v>
      </c>
      <c r="K15" s="181">
        <f t="shared" si="5"/>
        <v>1558697.7983746405</v>
      </c>
      <c r="L15" s="44">
        <f t="shared" si="2"/>
        <v>1558698</v>
      </c>
      <c r="M15" s="37">
        <f t="shared" si="6"/>
        <v>0.2001931679675108</v>
      </c>
      <c r="N15" s="33">
        <f>VLOOKUP(C15,[1]Hoja1!$C$7:$I$12,7,0)</f>
        <v>581174</v>
      </c>
      <c r="O15" s="40">
        <f t="shared" si="3"/>
        <v>977524</v>
      </c>
      <c r="P15" s="23" t="str">
        <f t="shared" si="4"/>
        <v>UAU</v>
      </c>
      <c r="Q15" s="29"/>
    </row>
    <row r="16" spans="1:17" x14ac:dyDescent="0.2">
      <c r="A16" s="23">
        <v>5</v>
      </c>
      <c r="B16" s="51" t="s">
        <v>11</v>
      </c>
      <c r="C16" s="23" t="s">
        <v>10</v>
      </c>
      <c r="D16" s="48">
        <f>VLOOKUP(C16,'I.Acreditación Institucional'!$C$4:$K$9,9,0)*$D$11</f>
        <v>72936.487119437952</v>
      </c>
      <c r="E16" s="48">
        <f>VLOOKUP(C16,'II.Doctorados Acreditados'!$C$4:$J$9,8,0)*$E$11</f>
        <v>0</v>
      </c>
      <c r="F16" s="48">
        <f>VLOOKUP(C16,'III. Planta Académica'!$Y$4:$AB$9,4,0)*$F$11</f>
        <v>128367.11165607171</v>
      </c>
      <c r="G16" s="48">
        <f>VLOOKUP(C16,'IV. Publicaciones por acad.'!$C$4:$G$9,5,0)*$G$11</f>
        <v>219591.5716923805</v>
      </c>
      <c r="H16" s="49">
        <f>VLOOKUP(C16,V.Citas!$C$4:$G$10,5,0)*$H$11</f>
        <v>208364.23706862921</v>
      </c>
      <c r="I16" s="48">
        <f>VLOOKUP(C16,'VI. Proyectos'!$C$5:$E$10,3,0)*$I$11</f>
        <v>36922.205097806749</v>
      </c>
      <c r="J16" s="48">
        <f>VLOOKUP(C16,'VII. Publicaciones'!$O$5:$R$10,4,0)*$J$11</f>
        <v>74633.10165331827</v>
      </c>
      <c r="K16" s="181">
        <f t="shared" si="5"/>
        <v>740814.71428764437</v>
      </c>
      <c r="L16" s="44">
        <f t="shared" si="2"/>
        <v>740815</v>
      </c>
      <c r="M16" s="37">
        <f t="shared" si="6"/>
        <v>9.5147425433183025E-2</v>
      </c>
      <c r="N16" s="33">
        <f>VLOOKUP(C16,[1]Hoja1!$C$7:$I$12,7,0)</f>
        <v>313755</v>
      </c>
      <c r="O16" s="40">
        <f t="shared" si="3"/>
        <v>427060</v>
      </c>
      <c r="P16" s="23" t="str">
        <f t="shared" si="4"/>
        <v>UFT</v>
      </c>
      <c r="Q16" s="29"/>
    </row>
    <row r="17" spans="1:18" x14ac:dyDescent="0.2">
      <c r="A17" s="23">
        <v>6</v>
      </c>
      <c r="B17" s="51" t="s">
        <v>13</v>
      </c>
      <c r="C17" s="23" t="s">
        <v>12</v>
      </c>
      <c r="D17" s="48">
        <f>VLOOKUP(C17,'I.Acreditación Institucional'!$C$4:$K$9,9,0)*$D$11</f>
        <v>72936.487119437952</v>
      </c>
      <c r="E17" s="48">
        <f>VLOOKUP(C17,'II.Doctorados Acreditados'!$C$4:$J$9,8,0)*$E$11</f>
        <v>0</v>
      </c>
      <c r="F17" s="48">
        <f>VLOOKUP(C17,'III. Planta Académica'!$Y$4:$AB$9,4,0)*$F$11</f>
        <v>212170.89681663798</v>
      </c>
      <c r="G17" s="48">
        <f>VLOOKUP(C17,'IV. Publicaciones por acad.'!$C$4:$G$9,5,0)*$G$11</f>
        <v>115969.45382946468</v>
      </c>
      <c r="H17" s="49">
        <f>VLOOKUP(C17,V.Citas!$C$4:$G$10,5,0)*$H$11</f>
        <v>61193.761444609911</v>
      </c>
      <c r="I17" s="48">
        <f>VLOOKUP(C17,'VI. Proyectos'!$C$5:$E$10,3,0)*$I$11</f>
        <v>83074.961470065187</v>
      </c>
      <c r="J17" s="48">
        <f>VLOOKUP(C17,'VII. Publicaciones'!$O$5:$R$10,4,0)*$J$11</f>
        <v>149110.5457096477</v>
      </c>
      <c r="K17" s="181">
        <f t="shared" si="5"/>
        <v>694456.10638986342</v>
      </c>
      <c r="L17" s="44">
        <f t="shared" si="2"/>
        <v>694456</v>
      </c>
      <c r="M17" s="37">
        <f t="shared" si="6"/>
        <v>8.9193254019730356E-2</v>
      </c>
      <c r="N17" s="33">
        <f>VLOOKUP(C17,[1]Hoja1!$C$7:$I$12,7,0)</f>
        <v>276717</v>
      </c>
      <c r="O17" s="40">
        <f t="shared" si="3"/>
        <v>417739</v>
      </c>
      <c r="P17" s="23" t="str">
        <f t="shared" si="4"/>
        <v>AHC</v>
      </c>
      <c r="Q17" s="29"/>
    </row>
    <row r="18" spans="1:18" x14ac:dyDescent="0.2">
      <c r="A18" s="23">
        <v>3</v>
      </c>
      <c r="B18" s="51" t="s">
        <v>7</v>
      </c>
      <c r="C18" s="23" t="s">
        <v>6</v>
      </c>
      <c r="D18" s="48">
        <f>VLOOKUP(C18,'I.Acreditación Institucional'!$C$4:$K$9,9,0)*$D$11</f>
        <v>72936.487119437952</v>
      </c>
      <c r="E18" s="48">
        <f>VLOOKUP(C18,'II.Doctorados Acreditados'!$C$4:$J$9,8,0)*$E$11</f>
        <v>0</v>
      </c>
      <c r="F18" s="48">
        <f>VLOOKUP(C18,'III. Planta Académica'!$Y$4:$AB$9,4,0)*$F$11</f>
        <v>140685.07173595761</v>
      </c>
      <c r="G18" s="48">
        <f>VLOOKUP(C18,'IV. Publicaciones por acad.'!$C$4:$G$9,5,0)*$G$11</f>
        <v>38259.148607020921</v>
      </c>
      <c r="H18" s="49">
        <f>VLOOKUP(C18,V.Citas!$C$4:$G$10,5,0)*$H$11</f>
        <v>84178.735255512176</v>
      </c>
      <c r="I18" s="48">
        <f>VLOOKUP(C18,'VI. Proyectos'!$C$5:$E$10,3,0)*$I$11</f>
        <v>27691.653823355064</v>
      </c>
      <c r="J18" s="48">
        <f>VLOOKUP(C18,'VII. Publicaciones'!$O$5:$R$10,4,0)*$J$11</f>
        <v>9589.2890865549198</v>
      </c>
      <c r="K18" s="181">
        <f t="shared" si="5"/>
        <v>373340.38562783861</v>
      </c>
      <c r="L18" s="44">
        <f t="shared" si="2"/>
        <v>373340</v>
      </c>
      <c r="M18" s="37">
        <f t="shared" si="6"/>
        <v>4.7950351722392974E-2</v>
      </c>
      <c r="N18" s="33">
        <f>VLOOKUP(C18,[1]Hoja1!$C$7:$I$12,7,0)</f>
        <v>164387</v>
      </c>
      <c r="O18" s="40">
        <f t="shared" si="3"/>
        <v>208953</v>
      </c>
      <c r="P18" s="23" t="str">
        <f t="shared" si="4"/>
        <v>UCS</v>
      </c>
      <c r="Q18" s="29"/>
    </row>
    <row r="19" spans="1:18" x14ac:dyDescent="0.2">
      <c r="C19" s="53" t="s">
        <v>14</v>
      </c>
      <c r="D19" s="24">
        <f>SUM(D13:D18)</f>
        <v>1112281.4285714284</v>
      </c>
      <c r="E19" s="24">
        <f t="shared" ref="E19:I19" si="7">SUM(E13:E18)</f>
        <v>1112281.4285714284</v>
      </c>
      <c r="F19" s="24">
        <f t="shared" si="7"/>
        <v>1112281.4285714282</v>
      </c>
      <c r="G19" s="24">
        <f t="shared" si="7"/>
        <v>1112281.4285714284</v>
      </c>
      <c r="H19" s="24">
        <f t="shared" si="7"/>
        <v>1112281.4285714284</v>
      </c>
      <c r="I19" s="24">
        <f t="shared" si="7"/>
        <v>1112281.4285714284</v>
      </c>
      <c r="J19" s="24">
        <f>SUM(J13:J18)</f>
        <v>1112281.4285714298</v>
      </c>
      <c r="K19" s="182">
        <f t="shared" ref="K19:O19" si="8">SUM(K13:K18)</f>
        <v>7785970</v>
      </c>
      <c r="L19" s="45">
        <f t="shared" si="8"/>
        <v>7785970</v>
      </c>
      <c r="M19" s="38">
        <f t="shared" si="8"/>
        <v>0.99999999999999989</v>
      </c>
      <c r="N19" s="35">
        <f t="shared" si="8"/>
        <v>3114388</v>
      </c>
      <c r="O19" s="41">
        <f t="shared" si="8"/>
        <v>4671582</v>
      </c>
    </row>
    <row r="20" spans="1:18" ht="15" x14ac:dyDescent="0.2">
      <c r="A20"/>
      <c r="B20"/>
      <c r="C20"/>
      <c r="D20" t="s">
        <v>88</v>
      </c>
      <c r="E20" t="s">
        <v>89</v>
      </c>
      <c r="F20" t="s">
        <v>100</v>
      </c>
      <c r="G20" t="s">
        <v>101</v>
      </c>
      <c r="H20" t="s">
        <v>102</v>
      </c>
      <c r="I20" t="s">
        <v>103</v>
      </c>
      <c r="J20" t="s">
        <v>104</v>
      </c>
      <c r="K20"/>
      <c r="L20"/>
      <c r="M20"/>
      <c r="N20"/>
      <c r="O20" s="79">
        <f>+O19+N19</f>
        <v>7785970</v>
      </c>
      <c r="P20"/>
      <c r="Q20"/>
      <c r="R20"/>
    </row>
    <row r="21" spans="1:18" ht="15" x14ac:dyDescent="0.2">
      <c r="A21"/>
      <c r="B21"/>
      <c r="C21"/>
      <c r="D21" t="s">
        <v>96</v>
      </c>
      <c r="E21" t="s">
        <v>86</v>
      </c>
      <c r="F21" t="s">
        <v>114</v>
      </c>
      <c r="G21" t="s">
        <v>84</v>
      </c>
      <c r="H21" t="s">
        <v>84</v>
      </c>
      <c r="I21" t="s">
        <v>84</v>
      </c>
      <c r="J21" t="s">
        <v>114</v>
      </c>
      <c r="K21"/>
      <c r="L21"/>
      <c r="M21"/>
      <c r="N21"/>
      <c r="O21"/>
      <c r="P21"/>
      <c r="Q21"/>
      <c r="R21"/>
    </row>
    <row r="22" spans="1:18" ht="1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1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1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1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1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1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1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1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ht="1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ht="1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ht="1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ht="1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D37" s="29"/>
      <c r="O37" s="42"/>
    </row>
    <row r="38" spans="1:18" ht="1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ht="1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ht="1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ht="1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ht="1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ht="1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ht="1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ht="1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ht="1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ht="1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ht="1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ht="15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ht="15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ht="15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ht="15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ht="15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ht="15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ht="15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ht="15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ht="1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ht="1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ht="1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ht="1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ht="1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ht="1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ht="1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ht="1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ht="1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ht="1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ht="1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ht="1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</sheetData>
  <mergeCells count="4">
    <mergeCell ref="C7:D7"/>
    <mergeCell ref="C5:D5"/>
    <mergeCell ref="C8:D8"/>
    <mergeCell ref="C6:D6"/>
  </mergeCells>
  <pageMargins left="0.31496062992125984" right="0.31496062992125984" top="0.74803149606299213" bottom="0.74803149606299213" header="0.31496062992125984" footer="0.31496062992125984"/>
  <pageSetup paperSize="14" scale="80" orientation="landscape" r:id="rId1"/>
  <headerFooter>
    <oddFooter>&amp;C&amp;F&amp;R&amp;A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13"/>
  <sheetViews>
    <sheetView workbookViewId="0">
      <selection activeCell="C22" sqref="C22"/>
    </sheetView>
  </sheetViews>
  <sheetFormatPr baseColWidth="10" defaultRowHeight="15" x14ac:dyDescent="0.2"/>
  <cols>
    <col min="1" max="1" width="2.83203125" bestFit="1" customWidth="1"/>
    <col min="2" max="2" width="37.5" bestFit="1" customWidth="1"/>
    <col min="4" max="4" width="12" customWidth="1"/>
    <col min="5" max="6" width="10.5" customWidth="1"/>
    <col min="7" max="9" width="11.5" customWidth="1"/>
    <col min="10" max="10" width="14.6640625" bestFit="1" customWidth="1"/>
    <col min="11" max="11" width="10.83203125" customWidth="1"/>
    <col min="12" max="12" width="6.33203125" bestFit="1" customWidth="1"/>
    <col min="18" max="18" width="4.1640625" customWidth="1"/>
    <col min="20" max="20" width="11" bestFit="1" customWidth="1"/>
    <col min="21" max="21" width="9.83203125" bestFit="1" customWidth="1"/>
    <col min="22" max="22" width="10.6640625" bestFit="1" customWidth="1"/>
    <col min="23" max="26" width="11.1640625" customWidth="1"/>
    <col min="27" max="27" width="11" bestFit="1" customWidth="1"/>
  </cols>
  <sheetData>
    <row r="1" spans="1:11" x14ac:dyDescent="0.2">
      <c r="C1" s="54">
        <v>1</v>
      </c>
      <c r="D1" s="54">
        <v>2</v>
      </c>
      <c r="E1" s="54">
        <v>3</v>
      </c>
      <c r="F1" s="54">
        <v>4</v>
      </c>
      <c r="G1" s="54">
        <v>5</v>
      </c>
      <c r="H1" s="54">
        <v>6</v>
      </c>
      <c r="I1" s="54">
        <v>7</v>
      </c>
      <c r="J1" s="54">
        <v>8</v>
      </c>
      <c r="K1" s="54">
        <v>9</v>
      </c>
    </row>
    <row r="2" spans="1:11" x14ac:dyDescent="0.2">
      <c r="D2" s="187" t="s">
        <v>29</v>
      </c>
      <c r="E2" s="187"/>
      <c r="F2" s="187"/>
      <c r="G2" s="187"/>
      <c r="H2" s="187"/>
      <c r="I2" s="187"/>
      <c r="J2" s="187"/>
      <c r="K2" s="187"/>
    </row>
    <row r="3" spans="1:11" ht="42" x14ac:dyDescent="0.2">
      <c r="A3" s="5" t="s">
        <v>20</v>
      </c>
      <c r="B3" s="4" t="s">
        <v>1</v>
      </c>
      <c r="C3" s="160" t="s">
        <v>0</v>
      </c>
      <c r="D3" s="6" t="s">
        <v>30</v>
      </c>
      <c r="E3" s="6" t="s">
        <v>34</v>
      </c>
      <c r="F3" s="6" t="s">
        <v>31</v>
      </c>
      <c r="G3" s="55" t="s">
        <v>58</v>
      </c>
      <c r="H3" s="55" t="s">
        <v>57</v>
      </c>
      <c r="I3" s="55" t="s">
        <v>59</v>
      </c>
      <c r="J3" s="6" t="s">
        <v>32</v>
      </c>
      <c r="K3" s="63" t="s">
        <v>113</v>
      </c>
    </row>
    <row r="4" spans="1:11" x14ac:dyDescent="0.2">
      <c r="A4" s="1">
        <v>1</v>
      </c>
      <c r="B4" s="3" t="s">
        <v>3</v>
      </c>
      <c r="C4" s="161" t="s">
        <v>2</v>
      </c>
      <c r="D4" s="14" t="str">
        <f>VLOOKUP(C4,[2]IES!$G$49:$X$83,6,0)</f>
        <v>SÍ</v>
      </c>
      <c r="E4" s="14">
        <f>VLOOKUP(C4,[2]IES!$G$49:$X$83,18,0)</f>
        <v>5</v>
      </c>
      <c r="F4" s="14">
        <f>VLOOKUP(C4,[2]IES!$G$49:$X$83,10,0)</f>
        <v>5</v>
      </c>
      <c r="G4" s="176">
        <f>IF(D4="sí",100,0)</f>
        <v>100</v>
      </c>
      <c r="H4" s="176">
        <f>IF(E4=5,100,0)</f>
        <v>100</v>
      </c>
      <c r="I4" s="177">
        <f>F4*100/7</f>
        <v>71.428571428571431</v>
      </c>
      <c r="J4" s="16">
        <f>SUM(G4:I4)</f>
        <v>271.42857142857144</v>
      </c>
      <c r="K4" s="174">
        <f>+J4/$J$10</f>
        <v>0.31147540983606564</v>
      </c>
    </row>
    <row r="5" spans="1:11" x14ac:dyDescent="0.2">
      <c r="A5" s="1">
        <v>2</v>
      </c>
      <c r="B5" s="3" t="s">
        <v>5</v>
      </c>
      <c r="C5" s="161" t="s">
        <v>4</v>
      </c>
      <c r="D5" s="14" t="str">
        <f>VLOOKUP(C5,[2]IES!$G$49:$X$83,6,0)</f>
        <v>SÍ</v>
      </c>
      <c r="E5" s="14">
        <f>VLOOKUP(C5,[2]IES!$G$49:$X$83,18,0)</f>
        <v>5</v>
      </c>
      <c r="F5" s="14">
        <f>VLOOKUP(C5,[2]IES!$G$49:$X$83,10,0)</f>
        <v>5</v>
      </c>
      <c r="G5" s="176">
        <f t="shared" ref="G5:G9" si="0">IF(D5="sí",100,0)</f>
        <v>100</v>
      </c>
      <c r="H5" s="176">
        <f t="shared" ref="H5:H9" si="1">IF(E5=5,100,0)</f>
        <v>100</v>
      </c>
      <c r="I5" s="177">
        <f t="shared" ref="I5:I9" si="2">F5*100/7</f>
        <v>71.428571428571431</v>
      </c>
      <c r="J5" s="16">
        <f t="shared" ref="J5:J9" si="3">SUM(G5:I5)</f>
        <v>271.42857142857144</v>
      </c>
      <c r="K5" s="174">
        <f t="shared" ref="K5:K9" si="4">+J5/$J$10</f>
        <v>0.31147540983606564</v>
      </c>
    </row>
    <row r="6" spans="1:11" x14ac:dyDescent="0.2">
      <c r="A6" s="1">
        <v>3</v>
      </c>
      <c r="B6" s="3" t="s">
        <v>7</v>
      </c>
      <c r="C6" s="161" t="s">
        <v>6</v>
      </c>
      <c r="D6" s="14" t="str">
        <f>VLOOKUP(C6,[2]IES!$G$49:$X$83,6,0)</f>
        <v>NO</v>
      </c>
      <c r="E6" s="14">
        <f>VLOOKUP(C6,[2]IES!$G$49:$X$83,18,0)</f>
        <v>2</v>
      </c>
      <c r="F6" s="14">
        <f>VLOOKUP(C6,[2]IES!$G$49:$X$83,10,0)</f>
        <v>4</v>
      </c>
      <c r="G6" s="176">
        <f t="shared" si="0"/>
        <v>0</v>
      </c>
      <c r="H6" s="176">
        <f t="shared" si="1"/>
        <v>0</v>
      </c>
      <c r="I6" s="177">
        <f t="shared" si="2"/>
        <v>57.142857142857146</v>
      </c>
      <c r="J6" s="16">
        <f t="shared" si="3"/>
        <v>57.142857142857146</v>
      </c>
      <c r="K6" s="174">
        <f t="shared" si="4"/>
        <v>6.5573770491803296E-2</v>
      </c>
    </row>
    <row r="7" spans="1:11" x14ac:dyDescent="0.2">
      <c r="A7" s="1">
        <v>4</v>
      </c>
      <c r="B7" s="3" t="s">
        <v>9</v>
      </c>
      <c r="C7" s="161" t="s">
        <v>8</v>
      </c>
      <c r="D7" s="14" t="str">
        <f>VLOOKUP(C7,[2]IES!$G$49:$X$83,6,0)</f>
        <v>SÍ</v>
      </c>
      <c r="E7" s="14">
        <f>VLOOKUP(C7,[2]IES!$G$49:$X$83,18,0)</f>
        <v>4</v>
      </c>
      <c r="F7" s="14">
        <f>VLOOKUP(C7,[2]IES!$G$49:$X$83,10,0)</f>
        <v>4</v>
      </c>
      <c r="G7" s="176">
        <f t="shared" si="0"/>
        <v>100</v>
      </c>
      <c r="H7" s="176">
        <f t="shared" si="1"/>
        <v>0</v>
      </c>
      <c r="I7" s="177">
        <f t="shared" si="2"/>
        <v>57.142857142857146</v>
      </c>
      <c r="J7" s="16">
        <f t="shared" si="3"/>
        <v>157.14285714285714</v>
      </c>
      <c r="K7" s="174">
        <f t="shared" si="4"/>
        <v>0.18032786885245902</v>
      </c>
    </row>
    <row r="8" spans="1:11" x14ac:dyDescent="0.2">
      <c r="A8" s="1">
        <v>5</v>
      </c>
      <c r="B8" s="3" t="s">
        <v>11</v>
      </c>
      <c r="C8" s="161" t="s">
        <v>10</v>
      </c>
      <c r="D8" s="14" t="str">
        <f>VLOOKUP(C8,[2]IES!$G$49:$X$83,6,0)</f>
        <v>NO</v>
      </c>
      <c r="E8" s="14">
        <f>VLOOKUP(C8,[2]IES!$G$49:$X$83,18,0)</f>
        <v>3</v>
      </c>
      <c r="F8" s="14">
        <f>VLOOKUP(C8,[2]IES!$G$49:$X$83,10,0)</f>
        <v>4</v>
      </c>
      <c r="G8" s="176">
        <f t="shared" si="0"/>
        <v>0</v>
      </c>
      <c r="H8" s="176">
        <f t="shared" si="1"/>
        <v>0</v>
      </c>
      <c r="I8" s="177">
        <f t="shared" si="2"/>
        <v>57.142857142857146</v>
      </c>
      <c r="J8" s="16">
        <f t="shared" si="3"/>
        <v>57.142857142857146</v>
      </c>
      <c r="K8" s="174">
        <f t="shared" si="4"/>
        <v>6.5573770491803296E-2</v>
      </c>
    </row>
    <row r="9" spans="1:11" x14ac:dyDescent="0.2">
      <c r="A9" s="1">
        <v>6</v>
      </c>
      <c r="B9" s="3" t="s">
        <v>13</v>
      </c>
      <c r="C9" s="161" t="s">
        <v>12</v>
      </c>
      <c r="D9" s="14" t="str">
        <f>VLOOKUP(C9,[2]IES!$G$49:$X$83,6,0)</f>
        <v>NO</v>
      </c>
      <c r="E9" s="14">
        <f>VLOOKUP(C9,[2]IES!$G$49:$X$83,18,0)</f>
        <v>3</v>
      </c>
      <c r="F9" s="14">
        <f>VLOOKUP(C9,[2]IES!$G$49:$X$83,10,0)</f>
        <v>4</v>
      </c>
      <c r="G9" s="176">
        <f t="shared" si="0"/>
        <v>0</v>
      </c>
      <c r="H9" s="176">
        <f t="shared" si="1"/>
        <v>0</v>
      </c>
      <c r="I9" s="177">
        <f t="shared" si="2"/>
        <v>57.142857142857146</v>
      </c>
      <c r="J9" s="16">
        <f t="shared" si="3"/>
        <v>57.142857142857146</v>
      </c>
      <c r="K9" s="174">
        <f t="shared" si="4"/>
        <v>6.5573770491803296E-2</v>
      </c>
    </row>
    <row r="10" spans="1:11" x14ac:dyDescent="0.2">
      <c r="A10" s="2"/>
      <c r="B10" s="2"/>
      <c r="C10" s="162" t="s">
        <v>14</v>
      </c>
      <c r="D10" s="7"/>
      <c r="E10" s="7"/>
      <c r="F10" s="7"/>
      <c r="G10" s="177">
        <f>SUM(G4:G9)</f>
        <v>300</v>
      </c>
      <c r="H10" s="176">
        <f>SUM(H4:H9)</f>
        <v>200</v>
      </c>
      <c r="I10" s="177">
        <f>SUM(I4:I9)</f>
        <v>371.4285714285715</v>
      </c>
      <c r="J10" s="16">
        <f>SUM(J4:J9)</f>
        <v>871.42857142857133</v>
      </c>
      <c r="K10" s="175">
        <f>SUM(K4:K9)</f>
        <v>1.0000000000000002</v>
      </c>
    </row>
    <row r="12" spans="1:11" x14ac:dyDescent="0.2">
      <c r="D12" t="s">
        <v>81</v>
      </c>
      <c r="E12" t="s">
        <v>81</v>
      </c>
      <c r="F12" t="s">
        <v>81</v>
      </c>
      <c r="G12" t="s">
        <v>82</v>
      </c>
      <c r="H12" t="s">
        <v>83</v>
      </c>
      <c r="I12" t="s">
        <v>84</v>
      </c>
      <c r="J12" t="s">
        <v>112</v>
      </c>
      <c r="K12" t="s">
        <v>87</v>
      </c>
    </row>
    <row r="13" spans="1:11" x14ac:dyDescent="0.2">
      <c r="J13" t="s">
        <v>86</v>
      </c>
    </row>
  </sheetData>
  <mergeCells count="2">
    <mergeCell ref="D2:F2"/>
    <mergeCell ref="G2:K2"/>
  </mergeCells>
  <pageMargins left="0.70866141732283472" right="0.70866141732283472" top="0.74803149606299213" bottom="0.74803149606299213" header="0.31496062992125984" footer="0.31496062992125984"/>
  <pageSetup paperSize="14" scale="99" orientation="landscape" verticalDpi="0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K1" sqref="K1"/>
    </sheetView>
  </sheetViews>
  <sheetFormatPr baseColWidth="10" defaultRowHeight="15" x14ac:dyDescent="0.2"/>
  <cols>
    <col min="1" max="1" width="2.83203125" bestFit="1" customWidth="1"/>
    <col min="2" max="2" width="37.5" bestFit="1" customWidth="1"/>
    <col min="4" max="4" width="10.5" customWidth="1"/>
    <col min="5" max="5" width="10.83203125" customWidth="1"/>
    <col min="6" max="7" width="10.5" customWidth="1"/>
    <col min="8" max="8" width="10" customWidth="1"/>
  </cols>
  <sheetData>
    <row r="1" spans="1:12" x14ac:dyDescent="0.2">
      <c r="C1" s="57">
        <v>1</v>
      </c>
      <c r="D1" s="57">
        <v>2</v>
      </c>
      <c r="E1" s="57">
        <v>3</v>
      </c>
      <c r="F1" s="57">
        <v>4</v>
      </c>
      <c r="G1" s="57">
        <v>5</v>
      </c>
      <c r="H1" s="57">
        <v>6</v>
      </c>
      <c r="I1" s="57">
        <v>7</v>
      </c>
      <c r="J1" s="57">
        <v>8</v>
      </c>
      <c r="K1" s="57"/>
    </row>
    <row r="2" spans="1:12" x14ac:dyDescent="0.2">
      <c r="D2">
        <v>2</v>
      </c>
      <c r="E2">
        <v>3</v>
      </c>
      <c r="F2">
        <v>4</v>
      </c>
      <c r="G2">
        <v>5</v>
      </c>
    </row>
    <row r="3" spans="1:12" ht="56" x14ac:dyDescent="0.2">
      <c r="A3" s="5" t="s">
        <v>20</v>
      </c>
      <c r="B3" s="4" t="s">
        <v>1</v>
      </c>
      <c r="C3" s="154" t="s">
        <v>0</v>
      </c>
      <c r="D3" s="55" t="s">
        <v>105</v>
      </c>
      <c r="E3" s="55" t="s">
        <v>106</v>
      </c>
      <c r="F3" s="55" t="s">
        <v>107</v>
      </c>
      <c r="G3" s="55" t="s">
        <v>108</v>
      </c>
      <c r="H3" s="55" t="s">
        <v>109</v>
      </c>
      <c r="I3" s="56" t="s">
        <v>80</v>
      </c>
      <c r="J3" s="168" t="s">
        <v>79</v>
      </c>
      <c r="L3" s="149"/>
    </row>
    <row r="4" spans="1:12" x14ac:dyDescent="0.2">
      <c r="A4" s="1">
        <v>1</v>
      </c>
      <c r="B4" s="3" t="s">
        <v>3</v>
      </c>
      <c r="C4" s="155" t="s">
        <v>2</v>
      </c>
      <c r="D4" s="144">
        <f>IFERROR(VLOOKUP(C4,[3]Hoja1!$A$6:$C$8,3,0),0)</f>
        <v>1</v>
      </c>
      <c r="E4" s="144">
        <f>IFERROR(VLOOKUP(C4,[3]Hoja1!$A$6:$E$8,5,0),0)</f>
        <v>2</v>
      </c>
      <c r="F4" s="144">
        <f>IFERROR(VLOOKUP(C4,[3]Hoja1!$A$6:$G$8,7,0),0)</f>
        <v>1</v>
      </c>
      <c r="G4" s="144">
        <f>IFERROR(VLOOKUP(C4,[3]Hoja1!$A$6:$I$8,9,0),0)</f>
        <v>0</v>
      </c>
      <c r="H4" s="144">
        <f>SUM(D4:G4)</f>
        <v>4</v>
      </c>
      <c r="I4" s="150">
        <f>D4*$D$2+E4*$E$2+F4*$F$2+G4*$G$2</f>
        <v>12</v>
      </c>
      <c r="J4" s="172">
        <f>I4/$I$10</f>
        <v>0.42857142857142855</v>
      </c>
      <c r="K4" s="46"/>
      <c r="L4" s="152"/>
    </row>
    <row r="5" spans="1:12" x14ac:dyDescent="0.2">
      <c r="A5" s="1">
        <v>2</v>
      </c>
      <c r="B5" s="3" t="s">
        <v>5</v>
      </c>
      <c r="C5" s="155" t="s">
        <v>4</v>
      </c>
      <c r="D5" s="144">
        <f>IFERROR(VLOOKUP(C5,[3]Hoja1!$A$6:$C$8,3,0),0)</f>
        <v>1</v>
      </c>
      <c r="E5" s="144">
        <f>IFERROR(VLOOKUP(C5,[3]Hoja1!$A$6:$E$8,5,0),0)</f>
        <v>1</v>
      </c>
      <c r="F5" s="144">
        <f>IFERROR(VLOOKUP(C5,[3]Hoja1!$A$6:$G$8,7,0),0)</f>
        <v>1</v>
      </c>
      <c r="G5" s="144">
        <f>IFERROR(VLOOKUP(C5,[3]Hoja1!$A$6:$I$8,9,0),0)</f>
        <v>1</v>
      </c>
      <c r="H5" s="144">
        <f t="shared" ref="H5:H9" si="0">SUM(D5:G5)</f>
        <v>4</v>
      </c>
      <c r="I5" s="150">
        <f t="shared" ref="I5:I9" si="1">D5*$D$2+E5*$E$2+F5*$F$2+G5*$G$2</f>
        <v>14</v>
      </c>
      <c r="J5" s="172">
        <f t="shared" ref="J5:J9" si="2">I5/$I$10</f>
        <v>0.5</v>
      </c>
      <c r="K5" s="46"/>
      <c r="L5" s="152"/>
    </row>
    <row r="6" spans="1:12" x14ac:dyDescent="0.2">
      <c r="A6" s="1">
        <v>3</v>
      </c>
      <c r="B6" s="3" t="s">
        <v>7</v>
      </c>
      <c r="C6" s="155" t="s">
        <v>6</v>
      </c>
      <c r="D6" s="144">
        <f>IFERROR(VLOOKUP(C6,[3]Hoja1!$A$6:$C$8,3,0),0)</f>
        <v>0</v>
      </c>
      <c r="E6" s="144">
        <f>IFERROR(VLOOKUP(C6,[3]Hoja1!$A$6:$E$8,5,0),0)</f>
        <v>0</v>
      </c>
      <c r="F6" s="144">
        <f>IFERROR(VLOOKUP(C6,[3]Hoja1!$A$6:$G$8,7,0),0)</f>
        <v>0</v>
      </c>
      <c r="G6" s="144">
        <f>IFERROR(VLOOKUP(C6,[3]Hoja1!$A$6:$I$8,9,0),0)</f>
        <v>0</v>
      </c>
      <c r="H6" s="144">
        <f t="shared" si="0"/>
        <v>0</v>
      </c>
      <c r="I6" s="150">
        <f t="shared" si="1"/>
        <v>0</v>
      </c>
      <c r="J6" s="172">
        <f t="shared" si="2"/>
        <v>0</v>
      </c>
      <c r="K6" s="46"/>
      <c r="L6" s="152"/>
    </row>
    <row r="7" spans="1:12" x14ac:dyDescent="0.2">
      <c r="A7" s="1">
        <v>4</v>
      </c>
      <c r="B7" s="3" t="s">
        <v>9</v>
      </c>
      <c r="C7" s="155" t="s">
        <v>8</v>
      </c>
      <c r="D7" s="144">
        <f>IFERROR(VLOOKUP(C7,[3]Hoja1!$A$6:$C$8,3,0),0)</f>
        <v>1</v>
      </c>
      <c r="E7" s="144">
        <f>IFERROR(VLOOKUP(C7,[3]Hoja1!$A$6:$E$8,5,0),0)</f>
        <v>0</v>
      </c>
      <c r="F7" s="144">
        <f>IFERROR(VLOOKUP(C7,[3]Hoja1!$A$6:$G$8,7,0),0)</f>
        <v>0</v>
      </c>
      <c r="G7" s="144">
        <f>IFERROR(VLOOKUP(C7,[3]Hoja1!$A$6:$I$8,9,0),0)</f>
        <v>0</v>
      </c>
      <c r="H7" s="144">
        <f t="shared" si="0"/>
        <v>1</v>
      </c>
      <c r="I7" s="150">
        <f t="shared" si="1"/>
        <v>2</v>
      </c>
      <c r="J7" s="172">
        <f t="shared" si="2"/>
        <v>7.1428571428571425E-2</v>
      </c>
      <c r="K7" s="46"/>
      <c r="L7" s="152"/>
    </row>
    <row r="8" spans="1:12" x14ac:dyDescent="0.2">
      <c r="A8" s="1">
        <v>5</v>
      </c>
      <c r="B8" s="3" t="s">
        <v>11</v>
      </c>
      <c r="C8" s="155" t="s">
        <v>10</v>
      </c>
      <c r="D8" s="144">
        <f>IFERROR(VLOOKUP(C8,[3]Hoja1!$A$6:$C$8,3,0),0)</f>
        <v>0</v>
      </c>
      <c r="E8" s="144">
        <f>IFERROR(VLOOKUP(C8,[3]Hoja1!$A$6:$E$8,5,0),0)</f>
        <v>0</v>
      </c>
      <c r="F8" s="144">
        <f>IFERROR(VLOOKUP(C8,[3]Hoja1!$A$6:$G$8,7,0),0)</f>
        <v>0</v>
      </c>
      <c r="G8" s="144">
        <f>IFERROR(VLOOKUP(C8,[3]Hoja1!$A$6:$I$8,9,0),0)</f>
        <v>0</v>
      </c>
      <c r="H8" s="144">
        <f t="shared" si="0"/>
        <v>0</v>
      </c>
      <c r="I8" s="150">
        <f t="shared" si="1"/>
        <v>0</v>
      </c>
      <c r="J8" s="172">
        <f t="shared" si="2"/>
        <v>0</v>
      </c>
      <c r="K8" s="46"/>
      <c r="L8" s="152"/>
    </row>
    <row r="9" spans="1:12" x14ac:dyDescent="0.2">
      <c r="A9" s="1">
        <v>6</v>
      </c>
      <c r="B9" s="3" t="s">
        <v>13</v>
      </c>
      <c r="C9" s="155" t="s">
        <v>12</v>
      </c>
      <c r="D9" s="144">
        <f>IFERROR(VLOOKUP(C9,[3]Hoja1!$A$6:$C$8,3,0),0)</f>
        <v>0</v>
      </c>
      <c r="E9" s="144">
        <f>IFERROR(VLOOKUP(C9,[3]Hoja1!$A$6:$E$8,5,0),0)</f>
        <v>0</v>
      </c>
      <c r="F9" s="144">
        <f>IFERROR(VLOOKUP(C9,[3]Hoja1!$A$6:$G$8,7,0),0)</f>
        <v>0</v>
      </c>
      <c r="G9" s="144">
        <f>IFERROR(VLOOKUP(C9,[3]Hoja1!$A$6:$I$8,9,0),0)</f>
        <v>0</v>
      </c>
      <c r="H9" s="144">
        <f t="shared" si="0"/>
        <v>0</v>
      </c>
      <c r="I9" s="150">
        <f t="shared" si="1"/>
        <v>0</v>
      </c>
      <c r="J9" s="172">
        <f t="shared" si="2"/>
        <v>0</v>
      </c>
      <c r="K9" s="46"/>
      <c r="L9" s="152"/>
    </row>
    <row r="10" spans="1:12" x14ac:dyDescent="0.2">
      <c r="A10" s="2"/>
      <c r="B10" s="2"/>
      <c r="C10" s="156" t="s">
        <v>14</v>
      </c>
      <c r="D10" s="145">
        <f>SUM(D4:D9)</f>
        <v>3</v>
      </c>
      <c r="E10" s="145">
        <f>SUM(E4:E9)</f>
        <v>3</v>
      </c>
      <c r="F10" s="145">
        <f t="shared" ref="F10:H10" si="3">SUM(F4:F9)</f>
        <v>2</v>
      </c>
      <c r="G10" s="145">
        <f t="shared" si="3"/>
        <v>1</v>
      </c>
      <c r="H10" s="145">
        <f t="shared" si="3"/>
        <v>9</v>
      </c>
      <c r="I10" s="151">
        <f>SUM(I4:I9)</f>
        <v>28</v>
      </c>
      <c r="J10" s="173">
        <f>SUM(J4:J9)</f>
        <v>1</v>
      </c>
      <c r="K10" s="46"/>
      <c r="L10" s="152"/>
    </row>
    <row r="11" spans="1:12" x14ac:dyDescent="0.2">
      <c r="I11" s="25"/>
      <c r="J11" s="25"/>
      <c r="L11" s="149"/>
    </row>
    <row r="12" spans="1:12" x14ac:dyDescent="0.2">
      <c r="D12" t="s">
        <v>81</v>
      </c>
      <c r="E12" t="s">
        <v>81</v>
      </c>
      <c r="F12" t="s">
        <v>81</v>
      </c>
      <c r="G12" t="s">
        <v>81</v>
      </c>
      <c r="I12" s="25" t="s">
        <v>83</v>
      </c>
      <c r="J12" s="25" t="s">
        <v>85</v>
      </c>
      <c r="L12" s="149"/>
    </row>
    <row r="13" spans="1:12" x14ac:dyDescent="0.2">
      <c r="D13" t="s">
        <v>82</v>
      </c>
      <c r="E13" t="s">
        <v>82</v>
      </c>
      <c r="F13" t="s">
        <v>82</v>
      </c>
      <c r="G13" t="s">
        <v>82</v>
      </c>
      <c r="I13" s="25" t="s">
        <v>84</v>
      </c>
      <c r="J13" s="146"/>
      <c r="L13" s="149"/>
    </row>
    <row r="14" spans="1:12" x14ac:dyDescent="0.2">
      <c r="L14" s="149"/>
    </row>
    <row r="15" spans="1:12" x14ac:dyDescent="0.2">
      <c r="H15" s="149"/>
      <c r="I15" s="147"/>
      <c r="J15" s="146"/>
      <c r="L15" s="149"/>
    </row>
    <row r="16" spans="1:12" x14ac:dyDescent="0.2">
      <c r="H16" s="149"/>
      <c r="L16" s="149"/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14"/>
  <sheetViews>
    <sheetView topLeftCell="J1" workbookViewId="0">
      <selection activeCell="Y1" sqref="Y1:AB1"/>
    </sheetView>
  </sheetViews>
  <sheetFormatPr baseColWidth="10" defaultRowHeight="15" x14ac:dyDescent="0.2"/>
  <cols>
    <col min="1" max="1" width="2.83203125" bestFit="1" customWidth="1"/>
    <col min="2" max="2" width="32" bestFit="1" customWidth="1"/>
    <col min="3" max="3" width="8.5" bestFit="1" customWidth="1"/>
    <col min="12" max="12" width="4" customWidth="1"/>
    <col min="14" max="17" width="10.6640625" customWidth="1"/>
    <col min="21" max="21" width="9.33203125" bestFit="1" customWidth="1"/>
    <col min="22" max="22" width="12.5" customWidth="1"/>
    <col min="24" max="24" width="2" customWidth="1"/>
    <col min="25" max="25" width="6.5" bestFit="1" customWidth="1"/>
  </cols>
  <sheetData>
    <row r="1" spans="1:28" x14ac:dyDescent="0.2"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>
        <v>1</v>
      </c>
      <c r="Z1" s="57">
        <v>2</v>
      </c>
      <c r="AA1" s="57">
        <v>3</v>
      </c>
      <c r="AB1" s="57">
        <v>4</v>
      </c>
    </row>
    <row r="2" spans="1:28" ht="16" thickBot="1" x14ac:dyDescent="0.25">
      <c r="Q2" s="188"/>
      <c r="R2" s="188"/>
      <c r="S2" s="188"/>
      <c r="T2" s="188"/>
      <c r="U2" s="188"/>
      <c r="V2" s="188"/>
      <c r="W2" s="188"/>
      <c r="X2" s="61"/>
      <c r="Z2">
        <v>0.7</v>
      </c>
      <c r="AA2">
        <v>0.3</v>
      </c>
    </row>
    <row r="3" spans="1:28" ht="113" thickBot="1" x14ac:dyDescent="0.25">
      <c r="A3" s="22" t="s">
        <v>20</v>
      </c>
      <c r="B3" s="22" t="s">
        <v>33</v>
      </c>
      <c r="C3" s="84" t="s">
        <v>39</v>
      </c>
      <c r="D3" s="91" t="s">
        <v>46</v>
      </c>
      <c r="E3" s="92" t="s">
        <v>47</v>
      </c>
      <c r="F3" s="91" t="s">
        <v>44</v>
      </c>
      <c r="G3" s="92" t="s">
        <v>45</v>
      </c>
      <c r="H3" s="91" t="s">
        <v>40</v>
      </c>
      <c r="I3" s="92" t="s">
        <v>41</v>
      </c>
      <c r="J3" s="91" t="s">
        <v>42</v>
      </c>
      <c r="K3" s="92" t="s">
        <v>43</v>
      </c>
      <c r="M3" s="93" t="s">
        <v>0</v>
      </c>
      <c r="N3" s="97" t="s">
        <v>22</v>
      </c>
      <c r="O3" s="98" t="s">
        <v>23</v>
      </c>
      <c r="P3" s="99" t="s">
        <v>24</v>
      </c>
      <c r="Q3" s="97" t="s">
        <v>48</v>
      </c>
      <c r="R3" s="98" t="s">
        <v>49</v>
      </c>
      <c r="S3" s="98" t="s">
        <v>50</v>
      </c>
      <c r="T3" s="107" t="s">
        <v>60</v>
      </c>
      <c r="U3" s="96" t="s">
        <v>72</v>
      </c>
      <c r="V3" s="65" t="s">
        <v>73</v>
      </c>
      <c r="W3" s="12" t="s">
        <v>61</v>
      </c>
      <c r="X3" s="61"/>
      <c r="Y3" s="160" t="s">
        <v>0</v>
      </c>
      <c r="Z3" s="31" t="s">
        <v>69</v>
      </c>
      <c r="AA3" s="31" t="s">
        <v>64</v>
      </c>
      <c r="AB3" s="168" t="s">
        <v>70</v>
      </c>
    </row>
    <row r="4" spans="1:28" x14ac:dyDescent="0.2">
      <c r="A4" s="1">
        <v>1</v>
      </c>
      <c r="B4" s="20" t="s">
        <v>3</v>
      </c>
      <c r="C4" s="19" t="s">
        <v>2</v>
      </c>
      <c r="D4" s="89">
        <f>VLOOKUP($C4,[4]UPRIV_JC_39Hrs!$D$4:$R$35,7,0)</f>
        <v>148</v>
      </c>
      <c r="E4" s="90">
        <f>VLOOKUP($C4,[4]UPRIV_JC_39Hrs!$D$4:$R$35,13,0)</f>
        <v>327</v>
      </c>
      <c r="F4" s="89">
        <f>VLOOKUP($C4,[4]UPRIV_JC_39Hrs!$D$4:$R$35,8,0)</f>
        <v>152</v>
      </c>
      <c r="G4" s="90">
        <f>VLOOKUP($C4,[4]UPRIV_JC_39Hrs!$D$4:$R$35,14,0)</f>
        <v>317</v>
      </c>
      <c r="H4" s="89">
        <f>VLOOKUP($C4,[4]UPRIV_JC_39Hrs!$D$4:$R$35,9,0)</f>
        <v>160</v>
      </c>
      <c r="I4" s="90">
        <f>VLOOKUP($C4,[4]UPRIV_JC_39Hrs!$D$4:$R$35,15,0)</f>
        <v>381</v>
      </c>
      <c r="J4" s="89">
        <f>VLOOKUP($C4,'[5]Indicador b.1)'!$D$30:$K$42,6,0)</f>
        <v>155</v>
      </c>
      <c r="K4" s="90">
        <f>VLOOKUP($C4,'[5]Indicador b.1)'!$D$30:$K$42,7,0)</f>
        <v>326</v>
      </c>
      <c r="M4" s="94" t="s">
        <v>2</v>
      </c>
      <c r="N4" s="100">
        <f>D4+F4+H4</f>
        <v>460</v>
      </c>
      <c r="O4" s="23">
        <f t="shared" ref="N4:O9" si="0">E4+G4+I4</f>
        <v>1025</v>
      </c>
      <c r="P4" s="101">
        <f t="shared" ref="P4:P9" si="1">N4/O4</f>
        <v>0.44878048780487806</v>
      </c>
      <c r="Q4" s="108">
        <f>SUM(F4,H4,J4)</f>
        <v>467</v>
      </c>
      <c r="R4" s="21">
        <f t="shared" ref="Q4:R9" si="2">SUM(G4,I4,K4)</f>
        <v>1024</v>
      </c>
      <c r="S4" s="8">
        <f t="shared" ref="S4:S9" si="3">Q4/R4</f>
        <v>0.4560546875</v>
      </c>
      <c r="T4" s="109">
        <f t="shared" ref="T4:T9" si="4">S4/$S$10</f>
        <v>0.21296576067571815</v>
      </c>
      <c r="U4" s="105">
        <f>+S4/P4-1</f>
        <v>1.6208814538043459E-2</v>
      </c>
      <c r="V4" s="15">
        <f>IF(U4&lt;0,0,U4)</f>
        <v>1.6208814538043459E-2</v>
      </c>
      <c r="W4" s="17">
        <f>+V4/$V$10</f>
        <v>3.3414752319541087E-2</v>
      </c>
      <c r="X4" s="61"/>
      <c r="Y4" s="171" t="s">
        <v>2</v>
      </c>
      <c r="Z4" s="68">
        <f>T4*$Z$2</f>
        <v>0.14907603247300269</v>
      </c>
      <c r="AA4" s="68">
        <f>W4*$AA$2</f>
        <v>1.0024425695862326E-2</v>
      </c>
      <c r="AB4" s="169">
        <f>SUM(Z4:AA4)</f>
        <v>0.15910045816886501</v>
      </c>
    </row>
    <row r="5" spans="1:28" x14ac:dyDescent="0.2">
      <c r="A5" s="1">
        <v>2</v>
      </c>
      <c r="B5" s="20" t="s">
        <v>5</v>
      </c>
      <c r="C5" s="19" t="s">
        <v>4</v>
      </c>
      <c r="D5" s="85">
        <f>VLOOKUP($C5,[4]UPRIV_JC_39Hrs!$D$4:$R$35,7,0)</f>
        <v>89</v>
      </c>
      <c r="E5" s="86">
        <f>VLOOKUP($C5,[4]UPRIV_JC_39Hrs!$D$4:$R$35,13,0)</f>
        <v>136</v>
      </c>
      <c r="F5" s="85">
        <f>VLOOKUP($C5,[4]UPRIV_JC_39Hrs!$D$4:$R$35,8,0)</f>
        <v>91</v>
      </c>
      <c r="G5" s="86">
        <f>VLOOKUP($C5,[4]UPRIV_JC_39Hrs!$D$4:$R$35,14,0)</f>
        <v>134</v>
      </c>
      <c r="H5" s="85">
        <f>VLOOKUP($C5,[4]UPRIV_JC_39Hrs!$D$4:$R$35,9,0)</f>
        <v>102</v>
      </c>
      <c r="I5" s="86">
        <f>VLOOKUP($C5,[4]UPRIV_JC_39Hrs!$D$4:$R$35,15,0)</f>
        <v>152</v>
      </c>
      <c r="J5" s="85">
        <f>VLOOKUP($C5,'[5]Indicador b.1)'!$D$30:$K$42,6,0)</f>
        <v>128</v>
      </c>
      <c r="K5" s="86">
        <f>VLOOKUP($C5,'[5]Indicador b.1)'!$D$30:$K$42,7,0)</f>
        <v>167</v>
      </c>
      <c r="M5" s="94" t="s">
        <v>4</v>
      </c>
      <c r="N5" s="100">
        <f t="shared" si="0"/>
        <v>282</v>
      </c>
      <c r="O5" s="23">
        <f t="shared" si="0"/>
        <v>422</v>
      </c>
      <c r="P5" s="101">
        <f t="shared" si="1"/>
        <v>0.66824644549763035</v>
      </c>
      <c r="Q5" s="108">
        <f t="shared" si="2"/>
        <v>321</v>
      </c>
      <c r="R5" s="21">
        <f t="shared" si="2"/>
        <v>453</v>
      </c>
      <c r="S5" s="8">
        <f t="shared" si="3"/>
        <v>0.70860927152317876</v>
      </c>
      <c r="T5" s="109">
        <f t="shared" si="4"/>
        <v>0.33090222876351921</v>
      </c>
      <c r="U5" s="105">
        <f t="shared" ref="U5:U9" si="5">+S5/P5-1</f>
        <v>6.0401108449579466E-2</v>
      </c>
      <c r="V5" s="15">
        <f t="shared" ref="V5:V9" si="6">IF(U5&lt;0,0,U5)</f>
        <v>6.0401108449579466E-2</v>
      </c>
      <c r="W5" s="17">
        <f t="shared" ref="W5:W9" si="7">+V5/$V$10</f>
        <v>0.12451793275389421</v>
      </c>
      <c r="X5" s="61"/>
      <c r="Y5" s="171" t="s">
        <v>4</v>
      </c>
      <c r="Z5" s="68">
        <f t="shared" ref="Z5:Z9" si="8">T5*$Z$2</f>
        <v>0.23163156013446343</v>
      </c>
      <c r="AA5" s="68">
        <f t="shared" ref="AA5:AA9" si="9">W5*$AA$2</f>
        <v>3.735537982616826E-2</v>
      </c>
      <c r="AB5" s="169">
        <f t="shared" ref="AB5:AB9" si="10">SUM(Z5:AA5)</f>
        <v>0.26898693996063167</v>
      </c>
    </row>
    <row r="6" spans="1:28" x14ac:dyDescent="0.2">
      <c r="A6" s="1">
        <v>3</v>
      </c>
      <c r="B6" s="20" t="s">
        <v>7</v>
      </c>
      <c r="C6" s="19" t="s">
        <v>6</v>
      </c>
      <c r="D6" s="85">
        <f>VLOOKUP($C6,[4]UPRIV_JC_39Hrs!$D$4:$R$35,7,0)</f>
        <v>29</v>
      </c>
      <c r="E6" s="86">
        <f>VLOOKUP($C6,[4]UPRIV_JC_39Hrs!$D$4:$R$35,13,0)</f>
        <v>114</v>
      </c>
      <c r="F6" s="85">
        <f>VLOOKUP($C6,[4]UPRIV_JC_39Hrs!$D$4:$R$35,8,0)</f>
        <v>33</v>
      </c>
      <c r="G6" s="86">
        <f>VLOOKUP($C6,[4]UPRIV_JC_39Hrs!$D$4:$R$35,14,0)</f>
        <v>125</v>
      </c>
      <c r="H6" s="85">
        <f>VLOOKUP($C6,[4]UPRIV_JC_39Hrs!$D$4:$R$35,9,0)</f>
        <v>44</v>
      </c>
      <c r="I6" s="86">
        <f>VLOOKUP($C6,[4]UPRIV_JC_39Hrs!$D$4:$R$35,15,0)</f>
        <v>132</v>
      </c>
      <c r="J6" s="85">
        <f>VLOOKUP($C6,'[5]Indicador b.1)'!$D$30:$K$42,6,0)</f>
        <v>42</v>
      </c>
      <c r="K6" s="86">
        <f>VLOOKUP($C6,'[5]Indicador b.1)'!$D$30:$K$42,7,0)</f>
        <v>141</v>
      </c>
      <c r="M6" s="94" t="s">
        <v>6</v>
      </c>
      <c r="N6" s="100">
        <f t="shared" si="0"/>
        <v>106</v>
      </c>
      <c r="O6" s="23">
        <f t="shared" si="0"/>
        <v>371</v>
      </c>
      <c r="P6" s="101">
        <f t="shared" si="1"/>
        <v>0.2857142857142857</v>
      </c>
      <c r="Q6" s="108">
        <f t="shared" si="2"/>
        <v>119</v>
      </c>
      <c r="R6" s="21">
        <f t="shared" si="2"/>
        <v>398</v>
      </c>
      <c r="S6" s="8">
        <f t="shared" si="3"/>
        <v>0.29899497487437188</v>
      </c>
      <c r="T6" s="109">
        <f t="shared" si="4"/>
        <v>0.13962293121334893</v>
      </c>
      <c r="U6" s="105">
        <f t="shared" si="5"/>
        <v>4.648241206030157E-2</v>
      </c>
      <c r="V6" s="15">
        <f t="shared" si="6"/>
        <v>4.648241206030157E-2</v>
      </c>
      <c r="W6" s="17">
        <f t="shared" si="7"/>
        <v>9.582429872118893E-2</v>
      </c>
      <c r="X6" s="61"/>
      <c r="Y6" s="171" t="s">
        <v>6</v>
      </c>
      <c r="Z6" s="68">
        <f t="shared" si="8"/>
        <v>9.7736051849344238E-2</v>
      </c>
      <c r="AA6" s="68">
        <f t="shared" si="9"/>
        <v>2.8747289616356676E-2</v>
      </c>
      <c r="AB6" s="169">
        <f t="shared" si="10"/>
        <v>0.12648334146570092</v>
      </c>
    </row>
    <row r="7" spans="1:28" x14ac:dyDescent="0.2">
      <c r="A7" s="1">
        <v>4</v>
      </c>
      <c r="B7" s="20" t="s">
        <v>9</v>
      </c>
      <c r="C7" s="19" t="s">
        <v>8</v>
      </c>
      <c r="D7" s="85">
        <f>VLOOKUP($C7,[4]UPRIV_JC_39Hrs!$D$4:$R$35,7,0)</f>
        <v>77</v>
      </c>
      <c r="E7" s="86">
        <f>VLOOKUP($C7,[4]UPRIV_JC_39Hrs!$D$4:$R$35,13,0)</f>
        <v>459</v>
      </c>
      <c r="F7" s="85">
        <f>VLOOKUP($C7,[4]UPRIV_JC_39Hrs!$D$4:$R$35,8,0)</f>
        <v>82</v>
      </c>
      <c r="G7" s="86">
        <f>VLOOKUP($C7,[4]UPRIV_JC_39Hrs!$D$4:$R$35,14,0)</f>
        <v>435</v>
      </c>
      <c r="H7" s="85">
        <f>VLOOKUP($C7,[4]UPRIV_JC_39Hrs!$D$4:$R$35,9,0)</f>
        <v>84</v>
      </c>
      <c r="I7" s="86">
        <f>VLOOKUP($C7,[4]UPRIV_JC_39Hrs!$D$4:$R$35,15,0)</f>
        <v>453</v>
      </c>
      <c r="J7" s="85">
        <f>VLOOKUP($C7,'[5]Indicador b.1)'!$D$30:$K$42,6,0)</f>
        <v>128</v>
      </c>
      <c r="K7" s="86">
        <f>VLOOKUP($C7,'[5]Indicador b.1)'!$D$30:$K$42,7,0)</f>
        <v>569</v>
      </c>
      <c r="M7" s="94" t="s">
        <v>8</v>
      </c>
      <c r="N7" s="100">
        <f t="shared" si="0"/>
        <v>243</v>
      </c>
      <c r="O7" s="23">
        <f t="shared" si="0"/>
        <v>1347</v>
      </c>
      <c r="P7" s="101">
        <f t="shared" si="1"/>
        <v>0.18040089086859687</v>
      </c>
      <c r="Q7" s="108">
        <f t="shared" si="2"/>
        <v>294</v>
      </c>
      <c r="R7" s="21">
        <f t="shared" si="2"/>
        <v>1457</v>
      </c>
      <c r="S7" s="8">
        <f t="shared" si="3"/>
        <v>0.20178448867536034</v>
      </c>
      <c r="T7" s="109">
        <f t="shared" si="4"/>
        <v>9.4228144784300555E-2</v>
      </c>
      <c r="U7" s="105">
        <f t="shared" si="5"/>
        <v>0.11853377055847902</v>
      </c>
      <c r="V7" s="15">
        <f t="shared" si="6"/>
        <v>0.11853377055847902</v>
      </c>
      <c r="W7" s="17">
        <f t="shared" si="7"/>
        <v>0.24435942402922867</v>
      </c>
      <c r="X7" s="61"/>
      <c r="Y7" s="171" t="s">
        <v>8</v>
      </c>
      <c r="Z7" s="68">
        <f t="shared" si="8"/>
        <v>6.5959701349010386E-2</v>
      </c>
      <c r="AA7" s="68">
        <f t="shared" si="9"/>
        <v>7.3307827208768592E-2</v>
      </c>
      <c r="AB7" s="169">
        <f>SUM(Z7:AA7)</f>
        <v>0.13926752855777896</v>
      </c>
    </row>
    <row r="8" spans="1:28" x14ac:dyDescent="0.2">
      <c r="A8" s="1">
        <v>5</v>
      </c>
      <c r="B8" s="20" t="s">
        <v>11</v>
      </c>
      <c r="C8" s="19" t="s">
        <v>10</v>
      </c>
      <c r="D8" s="85">
        <f>VLOOKUP($C8,[4]UPRIV_JC_39Hrs!$D$4:$R$35,7,0)</f>
        <v>20</v>
      </c>
      <c r="E8" s="86">
        <f>VLOOKUP($C8,[4]UPRIV_JC_39Hrs!$D$4:$R$35,13,0)</f>
        <v>106</v>
      </c>
      <c r="F8" s="85">
        <f>VLOOKUP($C8,[4]UPRIV_JC_39Hrs!$D$4:$R$35,8,0)</f>
        <v>17</v>
      </c>
      <c r="G8" s="86">
        <f>VLOOKUP($C8,[4]UPRIV_JC_39Hrs!$D$4:$R$35,14,0)</f>
        <v>111</v>
      </c>
      <c r="H8" s="85">
        <f>VLOOKUP($C8,[4]UPRIV_JC_39Hrs!$D$4:$R$35,9,0)</f>
        <v>22</v>
      </c>
      <c r="I8" s="86">
        <f>VLOOKUP($C8,[4]UPRIV_JC_39Hrs!$D$4:$R$35,15,0)</f>
        <v>105</v>
      </c>
      <c r="J8" s="85">
        <f>VLOOKUP($C8,'[5]Indicador b.1)'!$D$30:$K$42,6,0)</f>
        <v>28</v>
      </c>
      <c r="K8" s="86">
        <f>VLOOKUP($C8,'[5]Indicador b.1)'!$D$30:$K$42,7,0)</f>
        <v>122</v>
      </c>
      <c r="M8" s="94" t="s">
        <v>10</v>
      </c>
      <c r="N8" s="100">
        <f t="shared" si="0"/>
        <v>59</v>
      </c>
      <c r="O8" s="23">
        <f t="shared" si="0"/>
        <v>322</v>
      </c>
      <c r="P8" s="101">
        <f t="shared" si="1"/>
        <v>0.18322981366459629</v>
      </c>
      <c r="Q8" s="108">
        <f t="shared" si="2"/>
        <v>67</v>
      </c>
      <c r="R8" s="21">
        <f t="shared" si="2"/>
        <v>338</v>
      </c>
      <c r="S8" s="8">
        <f t="shared" si="3"/>
        <v>0.19822485207100593</v>
      </c>
      <c r="T8" s="109">
        <f t="shared" si="4"/>
        <v>9.2565886423727373E-2</v>
      </c>
      <c r="U8" s="105">
        <f t="shared" si="5"/>
        <v>8.1837328251930685E-2</v>
      </c>
      <c r="V8" s="15">
        <f t="shared" si="6"/>
        <v>8.1837328251930685E-2</v>
      </c>
      <c r="W8" s="17">
        <f t="shared" si="7"/>
        <v>0.16870907169756119</v>
      </c>
      <c r="X8" s="61"/>
      <c r="Y8" s="171" t="s">
        <v>10</v>
      </c>
      <c r="Z8" s="68">
        <f t="shared" si="8"/>
        <v>6.4796120496609155E-2</v>
      </c>
      <c r="AA8" s="68">
        <f t="shared" si="9"/>
        <v>5.0612721509268356E-2</v>
      </c>
      <c r="AB8" s="169">
        <f t="shared" si="10"/>
        <v>0.1154088420058775</v>
      </c>
    </row>
    <row r="9" spans="1:28" x14ac:dyDescent="0.2">
      <c r="A9" s="1">
        <v>6</v>
      </c>
      <c r="B9" s="20" t="s">
        <v>13</v>
      </c>
      <c r="C9" s="19" t="s">
        <v>12</v>
      </c>
      <c r="D9" s="85">
        <f>VLOOKUP($C9,[4]UPRIV_JC_39Hrs!$D$4:$R$35,7,0)</f>
        <v>14</v>
      </c>
      <c r="E9" s="86">
        <f>VLOOKUP($C9,[4]UPRIV_JC_39Hrs!$D$4:$R$35,13,0)</f>
        <v>46</v>
      </c>
      <c r="F9" s="85">
        <f>VLOOKUP($C9,[4]UPRIV_JC_39Hrs!$D$4:$R$35,8,0)</f>
        <v>10</v>
      </c>
      <c r="G9" s="86">
        <f>VLOOKUP($C9,[4]UPRIV_JC_39Hrs!$D$4:$R$35,14,0)</f>
        <v>39</v>
      </c>
      <c r="H9" s="85">
        <f>VLOOKUP($C9,[4]UPRIV_JC_39Hrs!$D$4:$R$35,9,0)</f>
        <v>9</v>
      </c>
      <c r="I9" s="86">
        <f>VLOOKUP($C9,[4]UPRIV_JC_39Hrs!$D$4:$R$35,15,0)</f>
        <v>53</v>
      </c>
      <c r="J9" s="85">
        <f>VLOOKUP($C9,'[5]Indicador b.1)'!$D$30:$K$42,6,0)</f>
        <v>21</v>
      </c>
      <c r="K9" s="86">
        <f>VLOOKUP($C9,'[5]Indicador b.1)'!$D$30:$K$42,7,0)</f>
        <v>52</v>
      </c>
      <c r="M9" s="94" t="s">
        <v>12</v>
      </c>
      <c r="N9" s="100">
        <f t="shared" si="0"/>
        <v>33</v>
      </c>
      <c r="O9" s="23">
        <f t="shared" si="0"/>
        <v>138</v>
      </c>
      <c r="P9" s="101">
        <f t="shared" si="1"/>
        <v>0.2391304347826087</v>
      </c>
      <c r="Q9" s="108">
        <f t="shared" si="2"/>
        <v>40</v>
      </c>
      <c r="R9" s="21">
        <f t="shared" si="2"/>
        <v>144</v>
      </c>
      <c r="S9" s="8">
        <f t="shared" si="3"/>
        <v>0.27777777777777779</v>
      </c>
      <c r="T9" s="109">
        <f t="shared" si="4"/>
        <v>0.12971504813938578</v>
      </c>
      <c r="U9" s="105">
        <f t="shared" si="5"/>
        <v>0.16161616161616155</v>
      </c>
      <c r="V9" s="15">
        <f t="shared" si="6"/>
        <v>0.16161616161616155</v>
      </c>
      <c r="W9" s="17">
        <f t="shared" si="7"/>
        <v>0.33317452047858592</v>
      </c>
      <c r="X9" s="61"/>
      <c r="Y9" s="171" t="s">
        <v>12</v>
      </c>
      <c r="Z9" s="68">
        <f t="shared" si="8"/>
        <v>9.0800533697570046E-2</v>
      </c>
      <c r="AA9" s="68">
        <f t="shared" si="9"/>
        <v>9.9952356143575768E-2</v>
      </c>
      <c r="AB9" s="169">
        <f t="shared" si="10"/>
        <v>0.1907528898411458</v>
      </c>
    </row>
    <row r="10" spans="1:28" ht="16" thickBot="1" x14ac:dyDescent="0.25">
      <c r="A10" s="2"/>
      <c r="C10" s="18"/>
      <c r="D10" s="87">
        <f t="shared" ref="D10:F10" si="11">SUM(D4:D9)</f>
        <v>377</v>
      </c>
      <c r="E10" s="88">
        <f t="shared" si="11"/>
        <v>1188</v>
      </c>
      <c r="F10" s="87">
        <f t="shared" si="11"/>
        <v>385</v>
      </c>
      <c r="G10" s="88">
        <f>SUM(G4:G9)</f>
        <v>1161</v>
      </c>
      <c r="H10" s="87">
        <f>SUM(H4:H9)</f>
        <v>421</v>
      </c>
      <c r="I10" s="88">
        <f t="shared" ref="I10" si="12">SUM(I4:I9)</f>
        <v>1276</v>
      </c>
      <c r="J10" s="87">
        <f t="shared" ref="J10:K10" si="13">SUM(J4:J9)</f>
        <v>502</v>
      </c>
      <c r="K10" s="88">
        <f t="shared" si="13"/>
        <v>1377</v>
      </c>
      <c r="M10" s="95" t="s">
        <v>14</v>
      </c>
      <c r="N10" s="102">
        <f t="shared" ref="N10:P10" si="14">SUM(N4:N9)</f>
        <v>1183</v>
      </c>
      <c r="O10" s="103">
        <f t="shared" si="14"/>
        <v>3625</v>
      </c>
      <c r="P10" s="104">
        <f t="shared" si="14"/>
        <v>2.0055023583325959</v>
      </c>
      <c r="Q10" s="110">
        <f t="shared" ref="Q10:W10" si="15">SUM(Q4:Q9)</f>
        <v>1308</v>
      </c>
      <c r="R10" s="111">
        <f t="shared" si="15"/>
        <v>3814</v>
      </c>
      <c r="S10" s="112">
        <f t="shared" si="15"/>
        <v>2.1414460524216947</v>
      </c>
      <c r="T10" s="113">
        <f t="shared" si="15"/>
        <v>1</v>
      </c>
      <c r="U10" s="106"/>
      <c r="V10" s="62">
        <f>SUM(V4:V9)</f>
        <v>0.48507959547449575</v>
      </c>
      <c r="W10" s="67">
        <f t="shared" si="15"/>
        <v>1</v>
      </c>
      <c r="X10" s="61"/>
      <c r="Y10" s="171" t="str">
        <f>+M10</f>
        <v>TOTAL</v>
      </c>
      <c r="Z10" s="69">
        <f t="shared" ref="Z10:AA10" si="16">SUM(Z4:Z9)</f>
        <v>0.69999999999999984</v>
      </c>
      <c r="AA10" s="69">
        <f t="shared" si="16"/>
        <v>0.29999999999999993</v>
      </c>
      <c r="AB10" s="170">
        <f>SUM(AB4:AB9)</f>
        <v>1</v>
      </c>
    </row>
    <row r="11" spans="1:28" x14ac:dyDescent="0.2">
      <c r="N11" t="s">
        <v>95</v>
      </c>
      <c r="O11" t="s">
        <v>95</v>
      </c>
      <c r="P11" t="s">
        <v>95</v>
      </c>
      <c r="Q11" t="s">
        <v>94</v>
      </c>
      <c r="R11" t="s">
        <v>94</v>
      </c>
      <c r="S11" t="s">
        <v>94</v>
      </c>
      <c r="T11" t="s">
        <v>94</v>
      </c>
      <c r="X11" s="61"/>
      <c r="Z11" t="s">
        <v>94</v>
      </c>
      <c r="AA11" t="s">
        <v>95</v>
      </c>
    </row>
    <row r="12" spans="1:28" x14ac:dyDescent="0.2">
      <c r="N12" t="s">
        <v>85</v>
      </c>
      <c r="O12" t="s">
        <v>85</v>
      </c>
      <c r="P12" t="s">
        <v>85</v>
      </c>
      <c r="Q12" t="s">
        <v>81</v>
      </c>
      <c r="R12" t="s">
        <v>81</v>
      </c>
      <c r="S12" t="s">
        <v>81</v>
      </c>
      <c r="T12" t="s">
        <v>83</v>
      </c>
      <c r="U12" t="s">
        <v>86</v>
      </c>
      <c r="V12" t="s">
        <v>87</v>
      </c>
      <c r="W12" t="s">
        <v>97</v>
      </c>
      <c r="X12" s="61"/>
      <c r="Z12" t="s">
        <v>84</v>
      </c>
      <c r="AA12" t="s">
        <v>98</v>
      </c>
    </row>
    <row r="13" spans="1:28" x14ac:dyDescent="0.2">
      <c r="N13" t="s">
        <v>93</v>
      </c>
      <c r="O13" t="s">
        <v>91</v>
      </c>
      <c r="P13" t="s">
        <v>92</v>
      </c>
      <c r="Q13" t="s">
        <v>90</v>
      </c>
      <c r="R13" t="s">
        <v>91</v>
      </c>
      <c r="S13" t="s">
        <v>92</v>
      </c>
      <c r="V13" t="s">
        <v>96</v>
      </c>
      <c r="X13" s="61"/>
    </row>
    <row r="14" spans="1:28" x14ac:dyDescent="0.2">
      <c r="P14" s="148"/>
      <c r="S14" t="s">
        <v>82</v>
      </c>
    </row>
  </sheetData>
  <mergeCells count="1">
    <mergeCell ref="Q2:W2"/>
  </mergeCells>
  <pageMargins left="0.70866141732283472" right="0.70866141732283472" top="0.74803149606299213" bottom="0.74803149606299213" header="0.31496062992125984" footer="0.31496062992125984"/>
  <pageSetup paperSize="14" scale="47" orientation="landscape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G14"/>
  <sheetViews>
    <sheetView workbookViewId="0">
      <selection activeCell="J17" sqref="J17"/>
    </sheetView>
  </sheetViews>
  <sheetFormatPr baseColWidth="10" defaultRowHeight="15" x14ac:dyDescent="0.2"/>
  <cols>
    <col min="1" max="1" width="2.83203125" bestFit="1" customWidth="1"/>
    <col min="2" max="2" width="37.5" bestFit="1" customWidth="1"/>
    <col min="3" max="3" width="6.33203125" bestFit="1" customWidth="1"/>
    <col min="7" max="7" width="11.5" customWidth="1"/>
  </cols>
  <sheetData>
    <row r="2" spans="1:7" x14ac:dyDescent="0.2">
      <c r="C2" s="57">
        <v>1</v>
      </c>
      <c r="D2" s="57">
        <v>2</v>
      </c>
      <c r="E2" s="57">
        <v>3</v>
      </c>
      <c r="F2" s="57">
        <v>4</v>
      </c>
      <c r="G2" s="57">
        <v>5</v>
      </c>
    </row>
    <row r="3" spans="1:7" ht="70" x14ac:dyDescent="0.2">
      <c r="A3" s="5" t="s">
        <v>20</v>
      </c>
      <c r="B3" s="4" t="s">
        <v>1</v>
      </c>
      <c r="C3" s="160" t="s">
        <v>0</v>
      </c>
      <c r="D3" s="27" t="s">
        <v>27</v>
      </c>
      <c r="E3" s="27" t="s">
        <v>35</v>
      </c>
      <c r="F3" s="6" t="s">
        <v>67</v>
      </c>
      <c r="G3" s="63" t="s">
        <v>28</v>
      </c>
    </row>
    <row r="4" spans="1:7" x14ac:dyDescent="0.2">
      <c r="A4" s="1">
        <v>1</v>
      </c>
      <c r="B4" s="3" t="s">
        <v>3</v>
      </c>
      <c r="C4" s="161" t="s">
        <v>2</v>
      </c>
      <c r="D4" s="13">
        <f>VLOOKUP(C4,[6]SCOPUS!$B$38:$N$51,12,0)</f>
        <v>1686</v>
      </c>
      <c r="E4" s="13">
        <f>VLOOKUP(C4,[4]UPRIV_JC_39Hrs!$T$4:$U$35,2,0)</f>
        <v>1607</v>
      </c>
      <c r="F4" s="10">
        <f t="shared" ref="F4:F8" si="0">D4/E4</f>
        <v>1.0491599253266957</v>
      </c>
      <c r="G4" s="164">
        <f>F4/$F$10</f>
        <v>0.28569633428865576</v>
      </c>
    </row>
    <row r="5" spans="1:7" x14ac:dyDescent="0.2">
      <c r="A5" s="1">
        <v>2</v>
      </c>
      <c r="B5" s="3" t="s">
        <v>5</v>
      </c>
      <c r="C5" s="161" t="s">
        <v>4</v>
      </c>
      <c r="D5" s="13">
        <f>VLOOKUP(C5,[6]SCOPUS!$B$38:$N$51,12,0)</f>
        <v>448</v>
      </c>
      <c r="E5" s="13">
        <f>VLOOKUP(C5,[4]UPRIV_JC_39Hrs!$T$4:$U$35,2,0)</f>
        <v>688</v>
      </c>
      <c r="F5" s="10">
        <f t="shared" si="0"/>
        <v>0.65116279069767447</v>
      </c>
      <c r="G5" s="164">
        <f t="shared" ref="G5:G9" si="1">F5/$F$10</f>
        <v>0.17731788818522382</v>
      </c>
    </row>
    <row r="6" spans="1:7" x14ac:dyDescent="0.2">
      <c r="A6" s="1">
        <v>3</v>
      </c>
      <c r="B6" s="3" t="s">
        <v>7</v>
      </c>
      <c r="C6" s="161" t="s">
        <v>6</v>
      </c>
      <c r="D6" s="13">
        <f>VLOOKUP(C6,[6]SCOPUS!$B$38:$N$51,12,0)</f>
        <v>72</v>
      </c>
      <c r="E6" s="13">
        <f>VLOOKUP(C6,[4]UPRIV_JC_39Hrs!$T$4:$U$35,2,0)</f>
        <v>570</v>
      </c>
      <c r="F6" s="10">
        <f t="shared" si="0"/>
        <v>0.12631578947368421</v>
      </c>
      <c r="G6" s="164">
        <f t="shared" si="1"/>
        <v>3.4397003873524623E-2</v>
      </c>
    </row>
    <row r="7" spans="1:7" x14ac:dyDescent="0.2">
      <c r="A7" s="1">
        <v>4</v>
      </c>
      <c r="B7" s="3" t="s">
        <v>9</v>
      </c>
      <c r="C7" s="161" t="s">
        <v>8</v>
      </c>
      <c r="D7" s="13">
        <f>VLOOKUP(C7,[6]SCOPUS!$B$38:$N$51,12,0)</f>
        <v>1508</v>
      </c>
      <c r="E7" s="13">
        <f>VLOOKUP(C7,[4]UPRIV_JC_39Hrs!$T$4:$U$35,2,0)</f>
        <v>2044</v>
      </c>
      <c r="F7" s="10">
        <f t="shared" si="0"/>
        <v>0.73776908023483367</v>
      </c>
      <c r="G7" s="164">
        <f t="shared" si="1"/>
        <v>0.20090161345895047</v>
      </c>
    </row>
    <row r="8" spans="1:7" x14ac:dyDescent="0.2">
      <c r="A8" s="1">
        <v>5</v>
      </c>
      <c r="B8" s="3" t="s">
        <v>11</v>
      </c>
      <c r="C8" s="161" t="s">
        <v>10</v>
      </c>
      <c r="D8" s="13">
        <f>VLOOKUP(C8,[6]SCOPUS!$B$38:$N$51,12,0)</f>
        <v>319</v>
      </c>
      <c r="E8" s="13">
        <f>VLOOKUP(C8,[4]UPRIV_JC_39Hrs!$T$4:$U$35,2,0)</f>
        <v>440</v>
      </c>
      <c r="F8" s="10">
        <f t="shared" si="0"/>
        <v>0.72499999999999998</v>
      </c>
      <c r="G8" s="164">
        <f t="shared" si="1"/>
        <v>0.19742447014908401</v>
      </c>
    </row>
    <row r="9" spans="1:7" x14ac:dyDescent="0.2">
      <c r="A9" s="1">
        <v>6</v>
      </c>
      <c r="B9" s="3" t="s">
        <v>13</v>
      </c>
      <c r="C9" s="161" t="s">
        <v>12</v>
      </c>
      <c r="D9" s="13">
        <f>VLOOKUP(C9,[6]SCOPUS!$B$38:$N$51,12,0)</f>
        <v>85</v>
      </c>
      <c r="E9" s="13">
        <f>VLOOKUP(C9,[4]UPRIV_JC_39Hrs!$T$4:$U$35,2,0)</f>
        <v>222</v>
      </c>
      <c r="F9" s="10">
        <f>D9/E9</f>
        <v>0.38288288288288286</v>
      </c>
      <c r="G9" s="164">
        <f t="shared" si="1"/>
        <v>0.10426269004456129</v>
      </c>
    </row>
    <row r="10" spans="1:7" x14ac:dyDescent="0.2">
      <c r="A10" s="2"/>
      <c r="B10" s="2"/>
      <c r="C10" s="162" t="s">
        <v>14</v>
      </c>
      <c r="D10" s="9">
        <f>SUM(D4:D9)</f>
        <v>4118</v>
      </c>
      <c r="E10" s="9">
        <f>SUM(E4:E9)</f>
        <v>5571</v>
      </c>
      <c r="F10" s="11">
        <f>SUM(F4:F9)</f>
        <v>3.6722904686157709</v>
      </c>
      <c r="G10" s="165">
        <f>SUM(G4:G9)</f>
        <v>1</v>
      </c>
    </row>
    <row r="12" spans="1:7" x14ac:dyDescent="0.2">
      <c r="D12" t="s">
        <v>81</v>
      </c>
      <c r="E12" t="s">
        <v>81</v>
      </c>
      <c r="F12" t="s">
        <v>81</v>
      </c>
      <c r="G12" t="s">
        <v>83</v>
      </c>
    </row>
    <row r="13" spans="1:7" x14ac:dyDescent="0.2">
      <c r="D13" t="s">
        <v>90</v>
      </c>
      <c r="E13" t="s">
        <v>91</v>
      </c>
      <c r="F13" t="s">
        <v>92</v>
      </c>
    </row>
    <row r="14" spans="1:7" x14ac:dyDescent="0.2">
      <c r="F14" t="s">
        <v>82</v>
      </c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13"/>
  <sheetViews>
    <sheetView workbookViewId="0">
      <selection activeCell="J14" sqref="J14"/>
    </sheetView>
  </sheetViews>
  <sheetFormatPr baseColWidth="10" defaultRowHeight="15" x14ac:dyDescent="0.2"/>
  <cols>
    <col min="1" max="1" width="2.83203125" bestFit="1" customWidth="1"/>
    <col min="2" max="2" width="37.5" bestFit="1" customWidth="1"/>
  </cols>
  <sheetData>
    <row r="1" spans="1:7" x14ac:dyDescent="0.2">
      <c r="C1" s="60">
        <v>1</v>
      </c>
      <c r="D1" s="60">
        <v>2</v>
      </c>
      <c r="E1" s="60">
        <v>3</v>
      </c>
      <c r="F1" s="60">
        <v>4</v>
      </c>
      <c r="G1" s="60">
        <v>5</v>
      </c>
    </row>
    <row r="3" spans="1:7" ht="70" x14ac:dyDescent="0.2">
      <c r="A3" s="5" t="s">
        <v>20</v>
      </c>
      <c r="B3" s="4" t="s">
        <v>1</v>
      </c>
      <c r="C3" s="160" t="s">
        <v>0</v>
      </c>
      <c r="D3" s="6" t="s">
        <v>36</v>
      </c>
      <c r="E3" s="6" t="s">
        <v>37</v>
      </c>
      <c r="F3" s="6" t="s">
        <v>38</v>
      </c>
      <c r="G3" s="63" t="s">
        <v>63</v>
      </c>
    </row>
    <row r="4" spans="1:7" x14ac:dyDescent="0.2">
      <c r="A4" s="1">
        <v>1</v>
      </c>
      <c r="B4" s="3" t="s">
        <v>3</v>
      </c>
      <c r="C4" s="161" t="s">
        <v>2</v>
      </c>
      <c r="D4" s="13">
        <f>VLOOKUP(C4,[7]WOS!$C$42:$O$57,13,0)</f>
        <v>11353</v>
      </c>
      <c r="E4" s="13">
        <f>VLOOKUP(C4,[7]WOS!$C$42:$O$57,12,0)</f>
        <v>1383</v>
      </c>
      <c r="F4" s="58">
        <f t="shared" ref="F4" si="0">D4/E4</f>
        <v>8.208966015907448</v>
      </c>
      <c r="G4" s="166">
        <f>F4/$F$10</f>
        <v>0.39655147073097202</v>
      </c>
    </row>
    <row r="5" spans="1:7" x14ac:dyDescent="0.2">
      <c r="A5" s="1">
        <v>2</v>
      </c>
      <c r="B5" s="3" t="s">
        <v>5</v>
      </c>
      <c r="C5" s="161" t="s">
        <v>4</v>
      </c>
      <c r="D5" s="13">
        <f>VLOOKUP(C5,[7]WOS!$C$42:$O$57,13,0)</f>
        <v>255</v>
      </c>
      <c r="E5" s="13">
        <f>VLOOKUP(C5,[7]WOS!$C$42:$O$57,12,0)</f>
        <v>248</v>
      </c>
      <c r="F5" s="58">
        <f t="shared" ref="F5:F9" si="1">D5/E5</f>
        <v>1.028225806451613</v>
      </c>
      <c r="G5" s="166">
        <f t="shared" ref="G5:G9" si="2">F5/$F$10</f>
        <v>4.9670622950782603E-2</v>
      </c>
    </row>
    <row r="6" spans="1:7" x14ac:dyDescent="0.2">
      <c r="A6" s="1">
        <v>3</v>
      </c>
      <c r="B6" s="3" t="s">
        <v>7</v>
      </c>
      <c r="C6" s="161" t="s">
        <v>6</v>
      </c>
      <c r="D6" s="13">
        <f>VLOOKUP(C6,[7]WOS!$C$42:$O$57,13,0)</f>
        <v>47</v>
      </c>
      <c r="E6" s="13">
        <f>VLOOKUP(C6,[7]WOS!$C$42:$O$57,12,0)</f>
        <v>30</v>
      </c>
      <c r="F6" s="58">
        <f t="shared" si="1"/>
        <v>1.5666666666666667</v>
      </c>
      <c r="G6" s="166">
        <f t="shared" si="2"/>
        <v>7.5681147858081305E-2</v>
      </c>
    </row>
    <row r="7" spans="1:7" x14ac:dyDescent="0.2">
      <c r="A7" s="1">
        <v>4</v>
      </c>
      <c r="B7" s="3" t="s">
        <v>9</v>
      </c>
      <c r="C7" s="161" t="s">
        <v>8</v>
      </c>
      <c r="D7" s="13">
        <f>VLOOKUP(C7,[7]WOS!$C$42:$O$57,13,0)</f>
        <v>5949</v>
      </c>
      <c r="E7" s="13">
        <f>VLOOKUP(C7,[7]WOS!$C$42:$O$57,12,0)</f>
        <v>1219</v>
      </c>
      <c r="F7" s="58">
        <f t="shared" si="1"/>
        <v>4.8802296964725187</v>
      </c>
      <c r="G7" s="166">
        <f t="shared" si="2"/>
        <v>0.23574982036604422</v>
      </c>
    </row>
    <row r="8" spans="1:7" x14ac:dyDescent="0.2">
      <c r="A8" s="1">
        <v>5</v>
      </c>
      <c r="B8" s="3" t="s">
        <v>11</v>
      </c>
      <c r="C8" s="161" t="s">
        <v>10</v>
      </c>
      <c r="D8" s="13">
        <f>VLOOKUP(C8,[7]WOS!$C$42:$O$57,13,0)</f>
        <v>667</v>
      </c>
      <c r="E8" s="13">
        <f>VLOOKUP(C8,[7]WOS!$C$42:$O$57,12,0)</f>
        <v>172</v>
      </c>
      <c r="F8" s="58">
        <f t="shared" si="1"/>
        <v>3.8779069767441858</v>
      </c>
      <c r="G8" s="166">
        <f t="shared" si="2"/>
        <v>0.18733050082140115</v>
      </c>
    </row>
    <row r="9" spans="1:7" x14ac:dyDescent="0.2">
      <c r="A9" s="1">
        <v>6</v>
      </c>
      <c r="B9" s="3" t="s">
        <v>13</v>
      </c>
      <c r="C9" s="161" t="s">
        <v>12</v>
      </c>
      <c r="D9" s="13">
        <f>VLOOKUP(C9,[7]WOS!$C$42:$O$57,13,0)</f>
        <v>41</v>
      </c>
      <c r="E9" s="13">
        <f>VLOOKUP(C9,[7]WOS!$C$42:$O$57,12,0)</f>
        <v>36</v>
      </c>
      <c r="F9" s="58">
        <f t="shared" si="1"/>
        <v>1.1388888888888888</v>
      </c>
      <c r="G9" s="166">
        <f t="shared" si="2"/>
        <v>5.5016437272718675E-2</v>
      </c>
    </row>
    <row r="10" spans="1:7" x14ac:dyDescent="0.2">
      <c r="A10" s="2"/>
      <c r="B10" s="2"/>
      <c r="C10" s="162" t="s">
        <v>14</v>
      </c>
      <c r="D10" s="9">
        <f t="shared" ref="D10:G10" si="3">SUM(D4:D9)</f>
        <v>18312</v>
      </c>
      <c r="E10" s="9">
        <f t="shared" si="3"/>
        <v>3088</v>
      </c>
      <c r="F10" s="59">
        <f t="shared" si="3"/>
        <v>20.700884051131322</v>
      </c>
      <c r="G10" s="167">
        <f t="shared" si="3"/>
        <v>0.99999999999999989</v>
      </c>
    </row>
    <row r="11" spans="1:7" x14ac:dyDescent="0.2">
      <c r="D11" t="s">
        <v>81</v>
      </c>
      <c r="E11" t="s">
        <v>81</v>
      </c>
      <c r="F11" t="s">
        <v>81</v>
      </c>
      <c r="G11" t="s">
        <v>83</v>
      </c>
    </row>
    <row r="12" spans="1:7" x14ac:dyDescent="0.2">
      <c r="D12" t="s">
        <v>90</v>
      </c>
      <c r="E12" t="s">
        <v>91</v>
      </c>
      <c r="F12" t="s">
        <v>92</v>
      </c>
    </row>
    <row r="13" spans="1:7" x14ac:dyDescent="0.2">
      <c r="F13" t="s">
        <v>82</v>
      </c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H17"/>
  <sheetViews>
    <sheetView workbookViewId="0">
      <selection activeCell="C3" sqref="C3:E3"/>
    </sheetView>
  </sheetViews>
  <sheetFormatPr baseColWidth="10" defaultRowHeight="15" x14ac:dyDescent="0.2"/>
  <cols>
    <col min="1" max="1" width="2.83203125" bestFit="1" customWidth="1"/>
    <col min="2" max="2" width="37.5" bestFit="1" customWidth="1"/>
  </cols>
  <sheetData>
    <row r="2" spans="1:8" x14ac:dyDescent="0.2">
      <c r="F2" s="57"/>
      <c r="G2" s="57"/>
      <c r="H2" s="57"/>
    </row>
    <row r="3" spans="1:8" x14ac:dyDescent="0.2">
      <c r="C3" s="71">
        <v>1</v>
      </c>
      <c r="D3" s="71">
        <v>2</v>
      </c>
      <c r="E3" s="71">
        <v>3</v>
      </c>
      <c r="F3" s="57"/>
      <c r="G3" s="57"/>
      <c r="H3" s="57"/>
    </row>
    <row r="4" spans="1:8" ht="28" x14ac:dyDescent="0.2">
      <c r="A4" s="5" t="s">
        <v>20</v>
      </c>
      <c r="B4" s="4" t="s">
        <v>1</v>
      </c>
      <c r="C4" s="160" t="s">
        <v>0</v>
      </c>
      <c r="D4" s="56" t="s">
        <v>56</v>
      </c>
      <c r="E4" s="63" t="s">
        <v>51</v>
      </c>
      <c r="F4" s="57"/>
    </row>
    <row r="5" spans="1:8" x14ac:dyDescent="0.2">
      <c r="A5" s="1">
        <v>1</v>
      </c>
      <c r="B5" s="3" t="s">
        <v>3</v>
      </c>
      <c r="C5" s="161" t="s">
        <v>2</v>
      </c>
      <c r="D5" s="83">
        <f>VLOOKUP(C5,'[8]FI (RAM)'!$B$4:$M$9,12,0)</f>
        <v>90</v>
      </c>
      <c r="E5" s="64">
        <f>+D5/$D$11</f>
        <v>0.37344398340248963</v>
      </c>
      <c r="F5" s="57"/>
    </row>
    <row r="6" spans="1:8" x14ac:dyDescent="0.2">
      <c r="A6" s="1">
        <v>2</v>
      </c>
      <c r="B6" s="3" t="s">
        <v>5</v>
      </c>
      <c r="C6" s="161" t="s">
        <v>4</v>
      </c>
      <c r="D6" s="83">
        <f>VLOOKUP(C6,'[8]FI (RAM)'!$B$4:$M$9,12,0)</f>
        <v>66</v>
      </c>
      <c r="E6" s="64">
        <f t="shared" ref="E6:E10" si="0">+D6/$D$11</f>
        <v>0.27385892116182575</v>
      </c>
      <c r="F6" s="57"/>
    </row>
    <row r="7" spans="1:8" x14ac:dyDescent="0.2">
      <c r="A7" s="1">
        <v>3</v>
      </c>
      <c r="B7" s="3" t="s">
        <v>7</v>
      </c>
      <c r="C7" s="161" t="s">
        <v>6</v>
      </c>
      <c r="D7" s="83">
        <f>VLOOKUP(C7,'[8]FI (RAM)'!$B$4:$M$9,12,0)</f>
        <v>6</v>
      </c>
      <c r="E7" s="64">
        <f t="shared" si="0"/>
        <v>2.4896265560165973E-2</v>
      </c>
      <c r="F7" s="57"/>
    </row>
    <row r="8" spans="1:8" x14ac:dyDescent="0.2">
      <c r="A8" s="1">
        <v>4</v>
      </c>
      <c r="B8" s="3" t="s">
        <v>9</v>
      </c>
      <c r="C8" s="161" t="s">
        <v>8</v>
      </c>
      <c r="D8" s="83">
        <f>VLOOKUP(C8,'[8]FI (RAM)'!$B$4:$M$9,12,0)</f>
        <v>53</v>
      </c>
      <c r="E8" s="64">
        <f t="shared" si="0"/>
        <v>0.21991701244813278</v>
      </c>
      <c r="F8" s="57"/>
    </row>
    <row r="9" spans="1:8" x14ac:dyDescent="0.2">
      <c r="A9" s="1">
        <v>5</v>
      </c>
      <c r="B9" s="3" t="s">
        <v>11</v>
      </c>
      <c r="C9" s="161" t="s">
        <v>10</v>
      </c>
      <c r="D9" s="83">
        <f>VLOOKUP(C9,'[8]FI (RAM)'!$B$4:$M$9,12,0)</f>
        <v>8</v>
      </c>
      <c r="E9" s="64">
        <f t="shared" si="0"/>
        <v>3.3195020746887967E-2</v>
      </c>
      <c r="F9" s="57"/>
    </row>
    <row r="10" spans="1:8" x14ac:dyDescent="0.2">
      <c r="A10" s="1">
        <v>6</v>
      </c>
      <c r="B10" s="3" t="s">
        <v>13</v>
      </c>
      <c r="C10" s="161" t="s">
        <v>12</v>
      </c>
      <c r="D10" s="83">
        <f>VLOOKUP(C10,'[8]FI (RAM)'!$B$4:$M$9,12,0)</f>
        <v>18</v>
      </c>
      <c r="E10" s="64">
        <f t="shared" si="0"/>
        <v>7.4688796680497924E-2</v>
      </c>
      <c r="F10" s="57"/>
    </row>
    <row r="11" spans="1:8" x14ac:dyDescent="0.2">
      <c r="A11" s="2"/>
      <c r="B11" s="2"/>
      <c r="C11" s="162" t="s">
        <v>14</v>
      </c>
      <c r="D11" s="83">
        <f>SUM(D5:D10)</f>
        <v>241</v>
      </c>
      <c r="E11" s="163">
        <f>SUM(E5:E10)</f>
        <v>1</v>
      </c>
      <c r="F11" s="57"/>
    </row>
    <row r="12" spans="1:8" x14ac:dyDescent="0.2">
      <c r="F12" s="57"/>
    </row>
    <row r="13" spans="1:8" x14ac:dyDescent="0.2">
      <c r="D13" t="s">
        <v>81</v>
      </c>
      <c r="E13" t="s">
        <v>83</v>
      </c>
      <c r="F13" s="57"/>
    </row>
    <row r="14" spans="1:8" x14ac:dyDescent="0.2">
      <c r="D14" t="s">
        <v>82</v>
      </c>
    </row>
    <row r="17" spans="4:4" x14ac:dyDescent="0.2">
      <c r="D17" s="46"/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23"/>
  <sheetViews>
    <sheetView workbookViewId="0">
      <selection activeCell="J7" sqref="J7"/>
    </sheetView>
  </sheetViews>
  <sheetFormatPr baseColWidth="10" defaultRowHeight="14" x14ac:dyDescent="0.2"/>
  <cols>
    <col min="1" max="1" width="2.83203125" style="26" bestFit="1" customWidth="1"/>
    <col min="2" max="2" width="37.5" style="26" bestFit="1" customWidth="1"/>
    <col min="3" max="3" width="11.5" style="26" customWidth="1"/>
    <col min="4" max="7" width="10" style="26" customWidth="1"/>
    <col min="8" max="8" width="11.33203125" style="26" customWidth="1"/>
    <col min="9" max="10" width="10.83203125" style="26"/>
    <col min="11" max="11" width="12.1640625" style="26" customWidth="1"/>
    <col min="12" max="12" width="14" style="26" customWidth="1"/>
    <col min="13" max="13" width="10.83203125" style="26"/>
    <col min="14" max="14" width="4.83203125" style="26" customWidth="1"/>
    <col min="15" max="15" width="6.33203125" style="26" bestFit="1" customWidth="1"/>
    <col min="16" max="17" width="7.5" style="26" customWidth="1"/>
    <col min="18" max="16384" width="10.83203125" style="26"/>
  </cols>
  <sheetData>
    <row r="1" spans="1:19" x14ac:dyDescent="0.2">
      <c r="O1" s="71">
        <v>1</v>
      </c>
      <c r="P1" s="71">
        <v>2</v>
      </c>
      <c r="Q1" s="71">
        <v>3</v>
      </c>
      <c r="R1" s="71">
        <v>4</v>
      </c>
    </row>
    <row r="2" spans="1:19" s="2" customFormat="1" x14ac:dyDescent="0.2"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P2" s="2" t="s">
        <v>68</v>
      </c>
    </row>
    <row r="3" spans="1:19" s="2" customFormat="1" ht="16" thickBot="1" x14ac:dyDescent="0.25">
      <c r="C3"/>
      <c r="D3"/>
      <c r="E3"/>
      <c r="F3"/>
      <c r="G3"/>
      <c r="H3"/>
      <c r="I3"/>
      <c r="J3"/>
      <c r="K3"/>
      <c r="L3"/>
      <c r="M3"/>
      <c r="P3" s="2">
        <v>0.7</v>
      </c>
      <c r="Q3" s="2">
        <v>0.3</v>
      </c>
    </row>
    <row r="4" spans="1:19" s="2" customFormat="1" ht="112" x14ac:dyDescent="0.2">
      <c r="A4" s="5" t="s">
        <v>20</v>
      </c>
      <c r="B4" s="4" t="s">
        <v>1</v>
      </c>
      <c r="C4" s="123" t="s">
        <v>0</v>
      </c>
      <c r="D4" s="129" t="s">
        <v>66</v>
      </c>
      <c r="E4" s="117" t="s">
        <v>65</v>
      </c>
      <c r="F4" s="118" t="s">
        <v>53</v>
      </c>
      <c r="G4" s="126" t="s">
        <v>54</v>
      </c>
      <c r="H4" s="114" t="s">
        <v>74</v>
      </c>
      <c r="I4" s="63" t="s">
        <v>76</v>
      </c>
      <c r="J4" s="6" t="s">
        <v>75</v>
      </c>
      <c r="K4" s="6" t="s">
        <v>77</v>
      </c>
      <c r="L4" s="55" t="s">
        <v>78</v>
      </c>
      <c r="M4" s="63" t="s">
        <v>62</v>
      </c>
      <c r="O4" s="154" t="s">
        <v>0</v>
      </c>
      <c r="P4" s="80" t="s">
        <v>69</v>
      </c>
      <c r="Q4" s="81" t="s">
        <v>64</v>
      </c>
      <c r="R4" s="157" t="s">
        <v>71</v>
      </c>
      <c r="S4" s="82"/>
    </row>
    <row r="5" spans="1:19" s="2" customFormat="1" x14ac:dyDescent="0.2">
      <c r="A5" s="1">
        <v>1</v>
      </c>
      <c r="B5" s="3" t="s">
        <v>3</v>
      </c>
      <c r="C5" s="124" t="s">
        <v>2</v>
      </c>
      <c r="D5" s="130">
        <f>VLOOKUP($C5,[7]SCOPUS!$C$42:$P$71,6,0)</f>
        <v>322</v>
      </c>
      <c r="E5" s="119">
        <f>VLOOKUP($C5,[7]SCOPUS!$C$42:$P$71,8,0)</f>
        <v>435</v>
      </c>
      <c r="F5" s="120">
        <f>VLOOKUP($C5,[7]SCOPUS!$C$42:$P$71,10,0)</f>
        <v>339</v>
      </c>
      <c r="G5" s="127">
        <f>VLOOKUP($C5,[7]SCOPUS!$C$42:$P$71,12,0)</f>
        <v>371</v>
      </c>
      <c r="H5" s="115">
        <f t="shared" ref="H5:H10" si="0">SUM(E5:G5)</f>
        <v>1145</v>
      </c>
      <c r="I5" s="64">
        <f t="shared" ref="I5:I10" si="1">+H5/$H$11</f>
        <v>0.39172083475880942</v>
      </c>
      <c r="J5" s="48">
        <f t="shared" ref="J5:J10" si="2">SUM(D5:F5)</f>
        <v>1096</v>
      </c>
      <c r="K5" s="8">
        <f t="shared" ref="K5:K10" si="3">+H5/J5-1</f>
        <v>4.4708029197080279E-2</v>
      </c>
      <c r="L5" s="8">
        <f t="shared" ref="L5:L10" si="4">IF(K5&lt;0,0,K5)</f>
        <v>4.4708029197080279E-2</v>
      </c>
      <c r="M5" s="64">
        <f t="shared" ref="M5:M10" si="5">+L5/$L$11</f>
        <v>6.2054547231809185E-2</v>
      </c>
      <c r="O5" s="155" t="s">
        <v>2</v>
      </c>
      <c r="P5" s="66">
        <f t="shared" ref="P5:P10" si="6">+I5*$P$3</f>
        <v>0.27420458433116657</v>
      </c>
      <c r="Q5" s="66">
        <f t="shared" ref="Q5:Q10" si="7">+M5*$Q$3</f>
        <v>1.8616364169542755E-2</v>
      </c>
      <c r="R5" s="158">
        <f>SUM(P5:Q5)</f>
        <v>0.29282094850070933</v>
      </c>
    </row>
    <row r="6" spans="1:19" s="2" customFormat="1" x14ac:dyDescent="0.2">
      <c r="A6" s="1">
        <v>2</v>
      </c>
      <c r="B6" s="3" t="s">
        <v>5</v>
      </c>
      <c r="C6" s="124" t="s">
        <v>4</v>
      </c>
      <c r="D6" s="130">
        <f>VLOOKUP($C6,[7]SCOPUS!$C$42:$P$71,6,0)</f>
        <v>78</v>
      </c>
      <c r="E6" s="119">
        <f>VLOOKUP($C6,[7]SCOPUS!$C$42:$P$71,8,0)</f>
        <v>74</v>
      </c>
      <c r="F6" s="120">
        <f>VLOOKUP($C6,[7]SCOPUS!$C$42:$P$71,10,0)</f>
        <v>99</v>
      </c>
      <c r="G6" s="127">
        <f>VLOOKUP($C6,[7]SCOPUS!$C$42:$P$71,12,0)</f>
        <v>122</v>
      </c>
      <c r="H6" s="115">
        <f t="shared" si="0"/>
        <v>295</v>
      </c>
      <c r="I6" s="64">
        <f t="shared" si="1"/>
        <v>0.10092370851864522</v>
      </c>
      <c r="J6" s="48">
        <f t="shared" si="2"/>
        <v>251</v>
      </c>
      <c r="K6" s="8">
        <f t="shared" si="3"/>
        <v>0.17529880478087656</v>
      </c>
      <c r="L6" s="8">
        <f t="shared" si="4"/>
        <v>0.17529880478087656</v>
      </c>
      <c r="M6" s="64">
        <f>+L6/$L$11</f>
        <v>0.2433139674531887</v>
      </c>
      <c r="O6" s="155" t="s">
        <v>4</v>
      </c>
      <c r="P6" s="66">
        <f t="shared" si="6"/>
        <v>7.0646595963051659E-2</v>
      </c>
      <c r="Q6" s="66">
        <f t="shared" si="7"/>
        <v>7.2994190235956602E-2</v>
      </c>
      <c r="R6" s="158">
        <f t="shared" ref="R6:R10" si="8">SUM(P6:Q6)</f>
        <v>0.14364078619900827</v>
      </c>
    </row>
    <row r="7" spans="1:19" s="2" customFormat="1" x14ac:dyDescent="0.2">
      <c r="A7" s="1">
        <v>3</v>
      </c>
      <c r="B7" s="3" t="s">
        <v>7</v>
      </c>
      <c r="C7" s="124" t="s">
        <v>6</v>
      </c>
      <c r="D7" s="130">
        <f>VLOOKUP($C7,[7]SCOPUS!$C$42:$P$71,6,0)</f>
        <v>13</v>
      </c>
      <c r="E7" s="119">
        <f>VLOOKUP($C7,[7]SCOPUS!$C$42:$P$71,8,0)</f>
        <v>13</v>
      </c>
      <c r="F7" s="120">
        <f>VLOOKUP($C7,[7]SCOPUS!$C$42:$P$71,10,0)</f>
        <v>12</v>
      </c>
      <c r="G7" s="127">
        <f>VLOOKUP($C7,[7]SCOPUS!$C$42:$P$71,12,0)</f>
        <v>11</v>
      </c>
      <c r="H7" s="115">
        <f t="shared" si="0"/>
        <v>36</v>
      </c>
      <c r="I7" s="64">
        <f t="shared" si="1"/>
        <v>1.2316113581936367E-2</v>
      </c>
      <c r="J7" s="48">
        <f t="shared" si="2"/>
        <v>38</v>
      </c>
      <c r="K7" s="70">
        <f t="shared" si="3"/>
        <v>-5.2631578947368474E-2</v>
      </c>
      <c r="L7" s="70">
        <f t="shared" si="4"/>
        <v>0</v>
      </c>
      <c r="M7" s="64">
        <f t="shared" si="5"/>
        <v>0</v>
      </c>
      <c r="O7" s="155" t="s">
        <v>6</v>
      </c>
      <c r="P7" s="66">
        <f t="shared" si="6"/>
        <v>8.621279507355457E-3</v>
      </c>
      <c r="Q7" s="66">
        <f t="shared" si="7"/>
        <v>0</v>
      </c>
      <c r="R7" s="158">
        <f t="shared" si="8"/>
        <v>8.621279507355457E-3</v>
      </c>
    </row>
    <row r="8" spans="1:19" s="2" customFormat="1" x14ac:dyDescent="0.2">
      <c r="A8" s="1">
        <v>4</v>
      </c>
      <c r="B8" s="3" t="s">
        <v>9</v>
      </c>
      <c r="C8" s="124" t="s">
        <v>8</v>
      </c>
      <c r="D8" s="130">
        <f>VLOOKUP($C8,[7]SCOPUS!$C$42:$P$71,6,0)</f>
        <v>238</v>
      </c>
      <c r="E8" s="119">
        <f>VLOOKUP($C8,[7]SCOPUS!$C$42:$P$71,8,0)</f>
        <v>383</v>
      </c>
      <c r="F8" s="120">
        <f>VLOOKUP($C8,[7]SCOPUS!$C$42:$P$71,10,0)</f>
        <v>376</v>
      </c>
      <c r="G8" s="127">
        <f>VLOOKUP($C8,[7]SCOPUS!$C$42:$P$71,12,0)</f>
        <v>413</v>
      </c>
      <c r="H8" s="115">
        <f t="shared" si="0"/>
        <v>1172</v>
      </c>
      <c r="I8" s="64">
        <f t="shared" si="1"/>
        <v>0.4009579199452617</v>
      </c>
      <c r="J8" s="48">
        <f t="shared" si="2"/>
        <v>997</v>
      </c>
      <c r="K8" s="8">
        <f t="shared" si="3"/>
        <v>0.17552657973921759</v>
      </c>
      <c r="L8" s="8">
        <f t="shared" si="4"/>
        <v>0.17552657973921759</v>
      </c>
      <c r="M8" s="64">
        <f t="shared" si="5"/>
        <v>0.2436301180902094</v>
      </c>
      <c r="O8" s="155" t="s">
        <v>8</v>
      </c>
      <c r="P8" s="66">
        <f t="shared" si="6"/>
        <v>0.28067054396168317</v>
      </c>
      <c r="Q8" s="66">
        <f t="shared" si="7"/>
        <v>7.3089035427062812E-2</v>
      </c>
      <c r="R8" s="158">
        <f t="shared" si="8"/>
        <v>0.35375957938874597</v>
      </c>
    </row>
    <row r="9" spans="1:19" s="2" customFormat="1" x14ac:dyDescent="0.2">
      <c r="A9" s="1">
        <v>5</v>
      </c>
      <c r="B9" s="3" t="s">
        <v>11</v>
      </c>
      <c r="C9" s="124" t="s">
        <v>10</v>
      </c>
      <c r="D9" s="130">
        <f>VLOOKUP($C9,[7]SCOPUS!$C$42:$P$71,6,0)</f>
        <v>58</v>
      </c>
      <c r="E9" s="119">
        <f>VLOOKUP($C9,[7]SCOPUS!$C$42:$P$71,8,0)</f>
        <v>94</v>
      </c>
      <c r="F9" s="120">
        <f>VLOOKUP($C9,[7]SCOPUS!$C$42:$P$71,10,0)</f>
        <v>52</v>
      </c>
      <c r="G9" s="127">
        <f>VLOOKUP($C9,[7]SCOPUS!$C$42:$P$71,12,0)</f>
        <v>66</v>
      </c>
      <c r="H9" s="115">
        <f t="shared" si="0"/>
        <v>212</v>
      </c>
      <c r="I9" s="64">
        <f t="shared" si="1"/>
        <v>7.252822442695861E-2</v>
      </c>
      <c r="J9" s="48">
        <f t="shared" si="2"/>
        <v>204</v>
      </c>
      <c r="K9" s="8">
        <f t="shared" si="3"/>
        <v>3.9215686274509887E-2</v>
      </c>
      <c r="L9" s="8">
        <f t="shared" si="4"/>
        <v>3.9215686274509887E-2</v>
      </c>
      <c r="M9" s="64">
        <f t="shared" si="5"/>
        <v>5.4431199492647478E-2</v>
      </c>
      <c r="O9" s="155" t="s">
        <v>10</v>
      </c>
      <c r="P9" s="66">
        <f t="shared" si="6"/>
        <v>5.0769757098871021E-2</v>
      </c>
      <c r="Q9" s="66">
        <f t="shared" si="7"/>
        <v>1.6329359847794243E-2</v>
      </c>
      <c r="R9" s="158">
        <f t="shared" si="8"/>
        <v>6.709911694666526E-2</v>
      </c>
    </row>
    <row r="10" spans="1:19" s="2" customFormat="1" x14ac:dyDescent="0.2">
      <c r="A10" s="1">
        <v>6</v>
      </c>
      <c r="B10" s="3" t="s">
        <v>13</v>
      </c>
      <c r="C10" s="124" t="s">
        <v>12</v>
      </c>
      <c r="D10" s="130">
        <f>VLOOKUP($C10,[7]SCOPUS!$C$42:$P$71,6,0)</f>
        <v>6</v>
      </c>
      <c r="E10" s="119">
        <f>VLOOKUP($C10,[7]SCOPUS!$C$42:$P$71,8,0)</f>
        <v>14</v>
      </c>
      <c r="F10" s="120">
        <f>VLOOKUP($C10,[7]SCOPUS!$C$42:$P$71,10,0)</f>
        <v>29</v>
      </c>
      <c r="G10" s="127">
        <f>VLOOKUP($C10,[7]SCOPUS!$C$42:$P$71,12,0)</f>
        <v>20</v>
      </c>
      <c r="H10" s="115">
        <f t="shared" si="0"/>
        <v>63</v>
      </c>
      <c r="I10" s="64">
        <f t="shared" si="1"/>
        <v>2.1553198768388643E-2</v>
      </c>
      <c r="J10" s="48">
        <f t="shared" si="2"/>
        <v>49</v>
      </c>
      <c r="K10" s="8">
        <f t="shared" si="3"/>
        <v>0.28571428571428581</v>
      </c>
      <c r="L10" s="8">
        <f t="shared" si="4"/>
        <v>0.28571428571428581</v>
      </c>
      <c r="M10" s="64">
        <f t="shared" si="5"/>
        <v>0.39657016773214521</v>
      </c>
      <c r="O10" s="155" t="s">
        <v>12</v>
      </c>
      <c r="P10" s="66">
        <f t="shared" si="6"/>
        <v>1.5087239137872049E-2</v>
      </c>
      <c r="Q10" s="66">
        <f t="shared" si="7"/>
        <v>0.11897105031964356</v>
      </c>
      <c r="R10" s="158">
        <f t="shared" si="8"/>
        <v>0.13405828945751561</v>
      </c>
    </row>
    <row r="11" spans="1:19" s="2" customFormat="1" ht="15" thickBot="1" x14ac:dyDescent="0.25">
      <c r="C11" s="125" t="s">
        <v>14</v>
      </c>
      <c r="D11" s="131">
        <f t="shared" ref="D11:M11" si="9">SUM(D5:D10)</f>
        <v>715</v>
      </c>
      <c r="E11" s="121">
        <f t="shared" si="9"/>
        <v>1013</v>
      </c>
      <c r="F11" s="122">
        <f t="shared" si="9"/>
        <v>907</v>
      </c>
      <c r="G11" s="128">
        <f t="shared" si="9"/>
        <v>1003</v>
      </c>
      <c r="H11" s="116">
        <f>SUM(H5:H10)</f>
        <v>2923</v>
      </c>
      <c r="I11" s="72">
        <f t="shared" si="9"/>
        <v>1</v>
      </c>
      <c r="J11" s="52">
        <f>SUM(J5:J10)</f>
        <v>2635</v>
      </c>
      <c r="K11" s="52">
        <f>SUM(K5:K10)</f>
        <v>0.66783180675860165</v>
      </c>
      <c r="L11" s="73">
        <f>SUM(L5:L10)</f>
        <v>0.72046338570597013</v>
      </c>
      <c r="M11" s="74">
        <f t="shared" si="9"/>
        <v>1</v>
      </c>
      <c r="O11" s="156" t="s">
        <v>14</v>
      </c>
      <c r="P11" s="75">
        <f t="shared" ref="P11:Q11" si="10">SUM(P5:P10)</f>
        <v>0.7</v>
      </c>
      <c r="Q11" s="75">
        <f t="shared" si="10"/>
        <v>0.29999999999999993</v>
      </c>
      <c r="R11" s="159">
        <f>SUM(R5:R10)</f>
        <v>0.99999999999999989</v>
      </c>
    </row>
    <row r="12" spans="1:19" s="2" customFormat="1" x14ac:dyDescent="0.2">
      <c r="C12" s="76"/>
      <c r="D12" s="132"/>
      <c r="E12" s="133" t="s">
        <v>94</v>
      </c>
      <c r="F12" s="134" t="s">
        <v>94</v>
      </c>
      <c r="G12" s="76" t="s">
        <v>94</v>
      </c>
      <c r="H12" s="76" t="s">
        <v>94</v>
      </c>
      <c r="I12" s="76" t="s">
        <v>94</v>
      </c>
      <c r="J12" s="76"/>
      <c r="K12" s="76"/>
      <c r="L12" s="76"/>
      <c r="M12" s="76"/>
      <c r="P12" s="76" t="s">
        <v>94</v>
      </c>
      <c r="Q12" s="2" t="s">
        <v>95</v>
      </c>
    </row>
    <row r="13" spans="1:19" x14ac:dyDescent="0.2">
      <c r="D13" s="135"/>
      <c r="E13" s="136" t="s">
        <v>81</v>
      </c>
      <c r="F13" s="137" t="s">
        <v>81</v>
      </c>
      <c r="G13" s="26" t="s">
        <v>81</v>
      </c>
      <c r="H13" s="26" t="s">
        <v>81</v>
      </c>
      <c r="I13" s="26" t="s">
        <v>83</v>
      </c>
      <c r="P13" s="26" t="s">
        <v>84</v>
      </c>
      <c r="Q13" s="26" t="s">
        <v>99</v>
      </c>
    </row>
    <row r="14" spans="1:19" ht="15" x14ac:dyDescent="0.2">
      <c r="C14"/>
      <c r="D14" s="138"/>
      <c r="E14" s="139"/>
      <c r="F14" s="140"/>
      <c r="G14"/>
      <c r="H14" t="s">
        <v>82</v>
      </c>
    </row>
    <row r="15" spans="1:19" ht="15" x14ac:dyDescent="0.2">
      <c r="C15"/>
      <c r="D15" s="138"/>
      <c r="E15" s="139"/>
      <c r="F15" s="140"/>
      <c r="G15"/>
      <c r="H15"/>
    </row>
    <row r="16" spans="1:19" ht="16" thickBot="1" x14ac:dyDescent="0.25">
      <c r="C16"/>
      <c r="D16" s="141"/>
      <c r="E16" s="142"/>
      <c r="F16" s="143"/>
      <c r="G16"/>
      <c r="H16"/>
    </row>
    <row r="17" spans="3:13" ht="15" x14ac:dyDescent="0.2">
      <c r="C17"/>
      <c r="D17" t="s">
        <v>85</v>
      </c>
      <c r="E17" t="s">
        <v>85</v>
      </c>
      <c r="F17" t="s">
        <v>85</v>
      </c>
      <c r="G17"/>
      <c r="H17"/>
      <c r="J17" s="26" t="s">
        <v>85</v>
      </c>
      <c r="K17" s="26" t="s">
        <v>87</v>
      </c>
      <c r="L17" s="26" t="s">
        <v>96</v>
      </c>
      <c r="M17" s="26" t="s">
        <v>98</v>
      </c>
    </row>
    <row r="18" spans="3:13" ht="15" x14ac:dyDescent="0.2">
      <c r="C18"/>
      <c r="D18"/>
      <c r="E18"/>
      <c r="F18"/>
      <c r="G18"/>
      <c r="H18"/>
      <c r="J18" s="26" t="s">
        <v>86</v>
      </c>
      <c r="L18" s="26" t="s">
        <v>97</v>
      </c>
    </row>
    <row r="19" spans="3:13" ht="15" x14ac:dyDescent="0.2">
      <c r="C19"/>
      <c r="D19"/>
      <c r="E19"/>
      <c r="F19"/>
      <c r="G19"/>
      <c r="H19"/>
    </row>
    <row r="20" spans="3:13" ht="15" x14ac:dyDescent="0.2">
      <c r="C20"/>
      <c r="D20"/>
      <c r="E20"/>
      <c r="F20"/>
      <c r="G20"/>
      <c r="H20"/>
    </row>
    <row r="21" spans="3:13" ht="15" x14ac:dyDescent="0.2">
      <c r="C21"/>
      <c r="D21"/>
      <c r="E21"/>
      <c r="F21"/>
      <c r="G21"/>
      <c r="H21"/>
    </row>
    <row r="22" spans="3:13" ht="15" x14ac:dyDescent="0.2">
      <c r="C22"/>
      <c r="D22"/>
      <c r="E22"/>
      <c r="F22"/>
      <c r="G22"/>
      <c r="H22"/>
    </row>
    <row r="23" spans="3:13" ht="15" x14ac:dyDescent="0.2">
      <c r="C23"/>
      <c r="D23"/>
      <c r="E23"/>
      <c r="F23"/>
      <c r="G23"/>
      <c r="H23"/>
    </row>
  </sheetData>
  <pageMargins left="0.70866141732283472" right="0.70866141732283472" top="0.74803149606299213" bottom="0.74803149606299213" header="0.31496062992125984" footer="0.31496062992125984"/>
  <pageSetup paperSize="14" scale="73" orientation="landscape" verticalDpi="0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FI 2019</vt:lpstr>
      <vt:lpstr>I.Acreditación Institucional</vt:lpstr>
      <vt:lpstr>II.Doctorados Acreditados</vt:lpstr>
      <vt:lpstr>III. Planta Académica</vt:lpstr>
      <vt:lpstr>IV. Publicaciones por acad.</vt:lpstr>
      <vt:lpstr>V.Citas</vt:lpstr>
      <vt:lpstr>VI. Proyectos</vt:lpstr>
      <vt:lpstr>VII. Publicaciones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Usuario de Microsoft Office</cp:lastModifiedBy>
  <cp:lastPrinted>2019-10-09T20:13:10Z</cp:lastPrinted>
  <dcterms:created xsi:type="dcterms:W3CDTF">2018-10-10T19:04:28Z</dcterms:created>
  <dcterms:modified xsi:type="dcterms:W3CDTF">2020-10-22T12:19:01Z</dcterms:modified>
</cp:coreProperties>
</file>