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rlos.gatica/Documents/DFI/2017/academica/CM/"/>
    </mc:Choice>
  </mc:AlternateContent>
  <bookViews>
    <workbookView xWindow="0" yWindow="460" windowWidth="51200" windowHeight="28340" tabRatio="857"/>
  </bookViews>
  <sheets>
    <sheet name="CM_Calculo 2017" sheetId="5" r:id="rId1"/>
    <sheet name="AFI 2016" sheetId="7" r:id="rId2"/>
    <sheet name="Complejidad IES" sheetId="6" r:id="rId3"/>
    <sheet name="Desempeño" sheetId="2" r:id="rId4"/>
    <sheet name="Categoria 2017" sheetId="4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3" hidden="1">Desempeño!$A$5:$BC$23</definedName>
    <definedName name="_xlnm.Print_Area" localSheetId="1">'AFI 2016'!#REF!</definedName>
    <definedName name="_xlnm.Print_Area" localSheetId="4">'Categoria 2017'!$A$1:$M$28</definedName>
    <definedName name="_xlnm.Print_Area" localSheetId="0">'CM_Calculo 2017'!$A$1:$R$33</definedName>
    <definedName name="_xlnm.Print_Area" localSheetId="2">'Complejidad IES'!$A$1:$AS$26</definedName>
    <definedName name="_xlnm.Print_Area" localSheetId="3">Desempeño!$BA$1:$BA$21</definedName>
  </definedName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5" l="1"/>
  <c r="P25" i="5"/>
  <c r="P10" i="5"/>
  <c r="P11" i="5"/>
  <c r="P12" i="5"/>
  <c r="P13" i="5"/>
  <c r="P14" i="5"/>
  <c r="P15" i="5"/>
  <c r="P17" i="5"/>
  <c r="P18" i="5"/>
  <c r="P19" i="5"/>
  <c r="P20" i="5"/>
  <c r="P21" i="5"/>
  <c r="P22" i="5"/>
  <c r="P23" i="5"/>
  <c r="P24" i="5"/>
  <c r="P26" i="5"/>
  <c r="P9" i="5"/>
  <c r="T27" i="5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7" i="7"/>
  <c r="W10" i="5"/>
  <c r="W11" i="5"/>
  <c r="W12" i="5"/>
  <c r="W13" i="5"/>
  <c r="W14" i="5"/>
  <c r="W15" i="5"/>
  <c r="W16" i="5"/>
  <c r="W17" i="5"/>
  <c r="W18" i="5"/>
  <c r="W22" i="5"/>
  <c r="W23" i="5"/>
  <c r="W24" i="5"/>
  <c r="W25" i="5"/>
  <c r="W26" i="5"/>
  <c r="W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9" i="5"/>
  <c r="B21" i="5"/>
  <c r="E23" i="7"/>
  <c r="E24" i="7"/>
  <c r="B9" i="5"/>
  <c r="L9" i="4"/>
  <c r="B25" i="5"/>
  <c r="B26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9" i="5"/>
  <c r="D25" i="7"/>
  <c r="C24" i="7"/>
  <c r="C23" i="7"/>
  <c r="B24" i="5"/>
  <c r="C22" i="7"/>
  <c r="B23" i="5"/>
  <c r="C21" i="7"/>
  <c r="B22" i="5"/>
  <c r="C20" i="7"/>
  <c r="C19" i="7"/>
  <c r="B20" i="5"/>
  <c r="C18" i="7"/>
  <c r="B19" i="5"/>
  <c r="C17" i="7"/>
  <c r="B18" i="5"/>
  <c r="C16" i="7"/>
  <c r="B17" i="5"/>
  <c r="C15" i="7"/>
  <c r="B16" i="5"/>
  <c r="C14" i="7"/>
  <c r="B15" i="5"/>
  <c r="C13" i="7"/>
  <c r="B14" i="5"/>
  <c r="C12" i="7"/>
  <c r="B13" i="5"/>
  <c r="C11" i="7"/>
  <c r="B12" i="5"/>
  <c r="C10" i="7"/>
  <c r="B11" i="5"/>
  <c r="C9" i="7"/>
  <c r="B10" i="5"/>
  <c r="C8" i="7"/>
  <c r="C7" i="7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8" i="6"/>
  <c r="E25" i="7"/>
  <c r="E26" i="7"/>
  <c r="G26" i="6"/>
  <c r="M24" i="6"/>
  <c r="M25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R26" i="6"/>
  <c r="Q26" i="6"/>
  <c r="S10" i="6"/>
  <c r="S12" i="6"/>
  <c r="S14" i="6"/>
  <c r="S16" i="6"/>
  <c r="S18" i="6"/>
  <c r="S20" i="6"/>
  <c r="S22" i="6"/>
  <c r="S24" i="6"/>
  <c r="S8" i="6"/>
  <c r="S9" i="6"/>
  <c r="S11" i="6"/>
  <c r="S13" i="6"/>
  <c r="S15" i="6"/>
  <c r="S17" i="6"/>
  <c r="S19" i="6"/>
  <c r="S21" i="6"/>
  <c r="S23" i="6"/>
  <c r="S25" i="6"/>
  <c r="T8" i="6"/>
  <c r="T10" i="6"/>
  <c r="T12" i="6"/>
  <c r="T14" i="6"/>
  <c r="T16" i="6"/>
  <c r="T18" i="6"/>
  <c r="T20" i="6"/>
  <c r="T22" i="6"/>
  <c r="T24" i="6"/>
  <c r="T9" i="6"/>
  <c r="T11" i="6"/>
  <c r="T13" i="6"/>
  <c r="T15" i="6"/>
  <c r="T17" i="6"/>
  <c r="T19" i="6"/>
  <c r="T21" i="6"/>
  <c r="T23" i="6"/>
  <c r="T25" i="6"/>
  <c r="AS8" i="6"/>
  <c r="AI8" i="6"/>
  <c r="AI25" i="6"/>
  <c r="AI21" i="6"/>
  <c r="AI17" i="6"/>
  <c r="AI13" i="6"/>
  <c r="AI9" i="6"/>
  <c r="AI24" i="6"/>
  <c r="AI20" i="6"/>
  <c r="AI16" i="6"/>
  <c r="AI12" i="6"/>
  <c r="AI23" i="6"/>
  <c r="AI19" i="6"/>
  <c r="AI15" i="6"/>
  <c r="AI11" i="6"/>
  <c r="AI22" i="6"/>
  <c r="AI18" i="6"/>
  <c r="AI14" i="6"/>
  <c r="AI10" i="6"/>
  <c r="AG24" i="6"/>
  <c r="AG20" i="6"/>
  <c r="AG16" i="6"/>
  <c r="AG12" i="6"/>
  <c r="AG23" i="6"/>
  <c r="AG19" i="6"/>
  <c r="AG15" i="6"/>
  <c r="AG11" i="6"/>
  <c r="AG8" i="6"/>
  <c r="AG22" i="6"/>
  <c r="AG18" i="6"/>
  <c r="AG14" i="6"/>
  <c r="AG10" i="6"/>
  <c r="AG25" i="6"/>
  <c r="AG21" i="6"/>
  <c r="AG17" i="6"/>
  <c r="AG13" i="6"/>
  <c r="AG9" i="6"/>
  <c r="T26" i="6"/>
  <c r="S26" i="6"/>
  <c r="AI26" i="6"/>
  <c r="AG26" i="6"/>
  <c r="J7" i="6"/>
  <c r="K7" i="6"/>
  <c r="J9" i="6"/>
  <c r="L9" i="6"/>
  <c r="J10" i="6"/>
  <c r="L10" i="6"/>
  <c r="J11" i="6"/>
  <c r="L11" i="6"/>
  <c r="J12" i="6"/>
  <c r="L12" i="6"/>
  <c r="J13" i="6"/>
  <c r="L13" i="6"/>
  <c r="J14" i="6"/>
  <c r="L14" i="6"/>
  <c r="J15" i="6"/>
  <c r="L15" i="6"/>
  <c r="J16" i="6"/>
  <c r="L16" i="6"/>
  <c r="J17" i="6"/>
  <c r="L17" i="6"/>
  <c r="J18" i="6"/>
  <c r="L18" i="6"/>
  <c r="J19" i="6"/>
  <c r="L19" i="6"/>
  <c r="J20" i="6"/>
  <c r="L20" i="6"/>
  <c r="J21" i="6"/>
  <c r="L21" i="6"/>
  <c r="J22" i="6"/>
  <c r="L22" i="6"/>
  <c r="J23" i="6"/>
  <c r="L23" i="6"/>
  <c r="L8" i="6"/>
  <c r="J8" i="6"/>
  <c r="K12" i="6"/>
  <c r="M12" i="6"/>
  <c r="K21" i="6"/>
  <c r="M21" i="6"/>
  <c r="K17" i="6"/>
  <c r="M17" i="6"/>
  <c r="K13" i="6"/>
  <c r="M13" i="6"/>
  <c r="K9" i="6"/>
  <c r="M9" i="6"/>
  <c r="K16" i="6"/>
  <c r="M16" i="6"/>
  <c r="K18" i="6"/>
  <c r="M18" i="6"/>
  <c r="K14" i="6"/>
  <c r="M14" i="6"/>
  <c r="K10" i="6"/>
  <c r="M10" i="6"/>
  <c r="K20" i="6"/>
  <c r="M20" i="6"/>
  <c r="K8" i="6"/>
  <c r="M8" i="6"/>
  <c r="K23" i="6"/>
  <c r="M23" i="6"/>
  <c r="K19" i="6"/>
  <c r="M19" i="6"/>
  <c r="K15" i="6"/>
  <c r="M15" i="6"/>
  <c r="K11" i="6"/>
  <c r="M11" i="6"/>
  <c r="J26" i="6"/>
  <c r="L26" i="6"/>
  <c r="K22" i="6"/>
  <c r="M22" i="6"/>
  <c r="K26" i="6"/>
  <c r="M26" i="6"/>
  <c r="N8" i="6"/>
  <c r="AF25" i="6"/>
  <c r="AF24" i="6"/>
  <c r="AF8" i="6"/>
  <c r="AF22" i="6"/>
  <c r="AF19" i="6"/>
  <c r="AF23" i="6"/>
  <c r="AF12" i="6"/>
  <c r="AF18" i="6"/>
  <c r="AF15" i="6"/>
  <c r="AF10" i="6"/>
  <c r="AF14" i="6"/>
  <c r="AF17" i="6"/>
  <c r="AF21" i="6"/>
  <c r="AF13" i="6"/>
  <c r="AF20" i="6"/>
  <c r="AF16" i="6"/>
  <c r="AF9" i="6"/>
  <c r="AF11" i="6"/>
  <c r="N11" i="6"/>
  <c r="N25" i="6"/>
  <c r="N24" i="6"/>
  <c r="N22" i="6"/>
  <c r="N19" i="6"/>
  <c r="N23" i="6"/>
  <c r="N18" i="6"/>
  <c r="N20" i="6"/>
  <c r="N12" i="6"/>
  <c r="N10" i="6"/>
  <c r="N13" i="6"/>
  <c r="N17" i="6"/>
  <c r="N14" i="6"/>
  <c r="N15" i="6"/>
  <c r="N16" i="6"/>
  <c r="N9" i="6"/>
  <c r="N21" i="6"/>
  <c r="C27" i="5"/>
  <c r="AF26" i="6"/>
  <c r="N26" i="6"/>
  <c r="BE2" i="2"/>
  <c r="BE3" i="2"/>
  <c r="BE4" i="2"/>
  <c r="X26" i="6"/>
  <c r="Y11" i="6"/>
  <c r="Y15" i="6"/>
  <c r="Y19" i="6"/>
  <c r="Y23" i="6"/>
  <c r="Y13" i="6"/>
  <c r="Y17" i="6"/>
  <c r="Y21" i="6"/>
  <c r="Y25" i="6"/>
  <c r="Y10" i="6"/>
  <c r="Y18" i="6"/>
  <c r="Y8" i="6"/>
  <c r="Y12" i="6"/>
  <c r="Y16" i="6"/>
  <c r="Y20" i="6"/>
  <c r="Y24" i="6"/>
  <c r="Y22" i="6"/>
  <c r="Y9" i="6"/>
  <c r="Y14" i="6"/>
  <c r="AH9" i="6"/>
  <c r="AH13" i="6"/>
  <c r="AH17" i="6"/>
  <c r="AH21" i="6"/>
  <c r="AH25" i="6"/>
  <c r="AH20" i="6"/>
  <c r="AH10" i="6"/>
  <c r="AH14" i="6"/>
  <c r="AH18" i="6"/>
  <c r="AH22" i="6"/>
  <c r="AH8" i="6"/>
  <c r="AH11" i="6"/>
  <c r="AH15" i="6"/>
  <c r="AH19" i="6"/>
  <c r="AH23" i="6"/>
  <c r="AH24" i="6"/>
  <c r="AH12" i="6"/>
  <c r="AH16" i="6"/>
  <c r="AA26" i="6"/>
  <c r="AB15" i="6"/>
  <c r="C26" i="6"/>
  <c r="D10" i="6"/>
  <c r="D11" i="6"/>
  <c r="D23" i="6"/>
  <c r="D17" i="6"/>
  <c r="D9" i="6"/>
  <c r="D19" i="6"/>
  <c r="AB20" i="6"/>
  <c r="AB17" i="6"/>
  <c r="AB10" i="6"/>
  <c r="AB18" i="6"/>
  <c r="D18" i="6"/>
  <c r="D12" i="6"/>
  <c r="D20" i="6"/>
  <c r="AB12" i="6"/>
  <c r="AB11" i="6"/>
  <c r="AB9" i="6"/>
  <c r="AE14" i="6"/>
  <c r="D24" i="6"/>
  <c r="D25" i="6"/>
  <c r="D13" i="6"/>
  <c r="D21" i="6"/>
  <c r="AB23" i="6"/>
  <c r="AB13" i="6"/>
  <c r="AB21" i="6"/>
  <c r="D15" i="6"/>
  <c r="D14" i="6"/>
  <c r="AB25" i="6"/>
  <c r="AB24" i="6"/>
  <c r="AB14" i="6"/>
  <c r="AB22" i="6"/>
  <c r="D8" i="6"/>
  <c r="D16" i="6"/>
  <c r="AB8" i="6"/>
  <c r="AB16" i="6"/>
  <c r="D22" i="6"/>
  <c r="AB19" i="6"/>
  <c r="AH26" i="6"/>
  <c r="AJ8" i="6"/>
  <c r="AE15" i="6"/>
  <c r="AE12" i="6"/>
  <c r="AE17" i="6"/>
  <c r="AJ20" i="6"/>
  <c r="AE8" i="6"/>
  <c r="AE20" i="6"/>
  <c r="AE13" i="6"/>
  <c r="AE25" i="6"/>
  <c r="AE24" i="6"/>
  <c r="AE11" i="6"/>
  <c r="AE16" i="6"/>
  <c r="AE9" i="6"/>
  <c r="AE10" i="6"/>
  <c r="AE19" i="6"/>
  <c r="AE23" i="6"/>
  <c r="AE21" i="6"/>
  <c r="AE18" i="6"/>
  <c r="AE22" i="6"/>
  <c r="AJ10" i="6"/>
  <c r="AJ12" i="6"/>
  <c r="AJ14" i="6"/>
  <c r="AJ15" i="6"/>
  <c r="AJ17" i="6"/>
  <c r="AJ16" i="6"/>
  <c r="AJ11" i="6"/>
  <c r="AJ18" i="6"/>
  <c r="AJ19" i="6"/>
  <c r="AJ21" i="6"/>
  <c r="AJ24" i="6"/>
  <c r="AJ25" i="6"/>
  <c r="AJ13" i="6"/>
  <c r="AJ22" i="6"/>
  <c r="AJ23" i="6"/>
  <c r="AJ9" i="6"/>
  <c r="AE26" i="6"/>
  <c r="AJ26" i="6"/>
  <c r="M20" i="5"/>
  <c r="W20" i="5"/>
  <c r="M21" i="5"/>
  <c r="W21" i="5"/>
  <c r="M19" i="5"/>
  <c r="W19" i="5"/>
  <c r="W27" i="5"/>
  <c r="L20" i="4"/>
  <c r="L12" i="4"/>
  <c r="K26" i="4"/>
  <c r="E26" i="4"/>
  <c r="I24" i="4"/>
  <c r="I25" i="4"/>
  <c r="H27" i="5"/>
  <c r="J25" i="5"/>
  <c r="J26" i="5"/>
  <c r="A32" i="5"/>
  <c r="D27" i="5"/>
  <c r="E27" i="5"/>
  <c r="AV13" i="2"/>
  <c r="AV16" i="2"/>
  <c r="AV17" i="2"/>
  <c r="AV18" i="2"/>
  <c r="AV19" i="2"/>
  <c r="AV21" i="2"/>
  <c r="F31" i="5"/>
  <c r="AE3" i="6"/>
  <c r="V5" i="5"/>
  <c r="V6" i="5"/>
  <c r="J22" i="5"/>
  <c r="J11" i="5"/>
  <c r="J16" i="5"/>
  <c r="J13" i="5"/>
  <c r="J15" i="5"/>
  <c r="J18" i="5"/>
  <c r="J14" i="5"/>
  <c r="J24" i="5"/>
  <c r="J19" i="5"/>
  <c r="J17" i="5"/>
  <c r="J12" i="5"/>
  <c r="J21" i="5"/>
  <c r="J23" i="5"/>
  <c r="J10" i="5"/>
  <c r="M27" i="5"/>
  <c r="S7" i="2"/>
  <c r="T7" i="2"/>
  <c r="S8" i="2"/>
  <c r="T8" i="2"/>
  <c r="S9" i="2"/>
  <c r="T9" i="2"/>
  <c r="S10" i="2"/>
  <c r="T10" i="2"/>
  <c r="S11" i="2"/>
  <c r="T11" i="2"/>
  <c r="S12" i="2"/>
  <c r="T12" i="2"/>
  <c r="S14" i="2"/>
  <c r="T14" i="2"/>
  <c r="S15" i="2"/>
  <c r="T15" i="2"/>
  <c r="S20" i="2"/>
  <c r="T20" i="2"/>
  <c r="T6" i="2"/>
  <c r="S6" i="2"/>
  <c r="Y7" i="2"/>
  <c r="Y8" i="2"/>
  <c r="Y9" i="2"/>
  <c r="Y10" i="2"/>
  <c r="Y11" i="2"/>
  <c r="Y12" i="2"/>
  <c r="Y13" i="2"/>
  <c r="Y16" i="2"/>
  <c r="Y17" i="2"/>
  <c r="Y14" i="2"/>
  <c r="Y18" i="2"/>
  <c r="Y19" i="2"/>
  <c r="Y15" i="2"/>
  <c r="Y20" i="2"/>
  <c r="Y21" i="2"/>
  <c r="Y6" i="2"/>
  <c r="Z7" i="2"/>
  <c r="Z8" i="2"/>
  <c r="Z9" i="2"/>
  <c r="Z10" i="2"/>
  <c r="Z11" i="2"/>
  <c r="Z12" i="2"/>
  <c r="Z13" i="2"/>
  <c r="Z16" i="2"/>
  <c r="Z17" i="2"/>
  <c r="Z14" i="2"/>
  <c r="Z18" i="2"/>
  <c r="Z19" i="2"/>
  <c r="Z15" i="2"/>
  <c r="Z20" i="2"/>
  <c r="Z21" i="2"/>
  <c r="Z6" i="2"/>
  <c r="AT6" i="2"/>
  <c r="X7" i="2"/>
  <c r="X8" i="2"/>
  <c r="X9" i="2"/>
  <c r="X10" i="2"/>
  <c r="X11" i="2"/>
  <c r="X12" i="2"/>
  <c r="X13" i="2"/>
  <c r="X16" i="2"/>
  <c r="X17" i="2"/>
  <c r="X14" i="2"/>
  <c r="X18" i="2"/>
  <c r="X19" i="2"/>
  <c r="X15" i="2"/>
  <c r="X20" i="2"/>
  <c r="X21" i="2"/>
  <c r="X6" i="2"/>
  <c r="W7" i="2"/>
  <c r="W8" i="2"/>
  <c r="W9" i="2"/>
  <c r="W10" i="2"/>
  <c r="W11" i="2"/>
  <c r="W12" i="2"/>
  <c r="W13" i="2"/>
  <c r="W16" i="2"/>
  <c r="W17" i="2"/>
  <c r="W14" i="2"/>
  <c r="W18" i="2"/>
  <c r="W19" i="2"/>
  <c r="W15" i="2"/>
  <c r="W20" i="2"/>
  <c r="W21" i="2"/>
  <c r="W6" i="2"/>
  <c r="V7" i="2"/>
  <c r="V8" i="2"/>
  <c r="V9" i="2"/>
  <c r="V10" i="2"/>
  <c r="V11" i="2"/>
  <c r="V12" i="2"/>
  <c r="V13" i="2"/>
  <c r="V16" i="2"/>
  <c r="V17" i="2"/>
  <c r="V14" i="2"/>
  <c r="V18" i="2"/>
  <c r="V19" i="2"/>
  <c r="V15" i="2"/>
  <c r="V20" i="2"/>
  <c r="V21" i="2"/>
  <c r="V6" i="2"/>
  <c r="U7" i="2"/>
  <c r="U8" i="2"/>
  <c r="U9" i="2"/>
  <c r="U10" i="2"/>
  <c r="U11" i="2"/>
  <c r="U12" i="2"/>
  <c r="U13" i="2"/>
  <c r="U16" i="2"/>
  <c r="U17" i="2"/>
  <c r="U14" i="2"/>
  <c r="U18" i="2"/>
  <c r="U19" i="2"/>
  <c r="U15" i="2"/>
  <c r="U20" i="2"/>
  <c r="U21" i="2"/>
  <c r="U6" i="2"/>
  <c r="M7" i="2"/>
  <c r="N7" i="2"/>
  <c r="O7" i="2"/>
  <c r="P7" i="2"/>
  <c r="M8" i="2"/>
  <c r="N8" i="2"/>
  <c r="O8" i="2"/>
  <c r="P8" i="2"/>
  <c r="M9" i="2"/>
  <c r="N9" i="2"/>
  <c r="O9" i="2"/>
  <c r="P9" i="2"/>
  <c r="M10" i="2"/>
  <c r="N10" i="2"/>
  <c r="O10" i="2"/>
  <c r="P10" i="2"/>
  <c r="M11" i="2"/>
  <c r="N11" i="2"/>
  <c r="O11" i="2"/>
  <c r="P11" i="2"/>
  <c r="M12" i="2"/>
  <c r="N12" i="2"/>
  <c r="O12" i="2"/>
  <c r="P12" i="2"/>
  <c r="M13" i="2"/>
  <c r="N13" i="2"/>
  <c r="O13" i="2"/>
  <c r="P13" i="2"/>
  <c r="M16" i="2"/>
  <c r="N16" i="2"/>
  <c r="O16" i="2"/>
  <c r="P16" i="2"/>
  <c r="M17" i="2"/>
  <c r="N17" i="2"/>
  <c r="O17" i="2"/>
  <c r="P17" i="2"/>
  <c r="M14" i="2"/>
  <c r="N14" i="2"/>
  <c r="O14" i="2"/>
  <c r="P14" i="2"/>
  <c r="M18" i="2"/>
  <c r="N18" i="2"/>
  <c r="O18" i="2"/>
  <c r="P18" i="2"/>
  <c r="M19" i="2"/>
  <c r="N19" i="2"/>
  <c r="O19" i="2"/>
  <c r="P19" i="2"/>
  <c r="M15" i="2"/>
  <c r="N15" i="2"/>
  <c r="O15" i="2"/>
  <c r="P15" i="2"/>
  <c r="M20" i="2"/>
  <c r="N20" i="2"/>
  <c r="O20" i="2"/>
  <c r="P20" i="2"/>
  <c r="M21" i="2"/>
  <c r="N21" i="2"/>
  <c r="O21" i="2"/>
  <c r="P21" i="2"/>
  <c r="P6" i="2"/>
  <c r="O6" i="2"/>
  <c r="N6" i="2"/>
  <c r="M6" i="2"/>
  <c r="AY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6" i="2"/>
  <c r="L16" i="2"/>
  <c r="K17" i="2"/>
  <c r="L17" i="2"/>
  <c r="K14" i="2"/>
  <c r="L14" i="2"/>
  <c r="K18" i="2"/>
  <c r="L18" i="2"/>
  <c r="K19" i="2"/>
  <c r="L19" i="2"/>
  <c r="K15" i="2"/>
  <c r="L15" i="2"/>
  <c r="K20" i="2"/>
  <c r="L20" i="2"/>
  <c r="K21" i="2"/>
  <c r="L21" i="2"/>
  <c r="L6" i="2"/>
  <c r="K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6" i="2"/>
  <c r="J16" i="2"/>
  <c r="I17" i="2"/>
  <c r="J17" i="2"/>
  <c r="I14" i="2"/>
  <c r="J14" i="2"/>
  <c r="I18" i="2"/>
  <c r="J18" i="2"/>
  <c r="I19" i="2"/>
  <c r="J19" i="2"/>
  <c r="I15" i="2"/>
  <c r="J15" i="2"/>
  <c r="I20" i="2"/>
  <c r="J20" i="2"/>
  <c r="I21" i="2"/>
  <c r="J21" i="2"/>
  <c r="J6" i="2"/>
  <c r="I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6" i="2"/>
  <c r="H16" i="2"/>
  <c r="G17" i="2"/>
  <c r="H17" i="2"/>
  <c r="G14" i="2"/>
  <c r="H14" i="2"/>
  <c r="G18" i="2"/>
  <c r="H18" i="2"/>
  <c r="G19" i="2"/>
  <c r="H19" i="2"/>
  <c r="G15" i="2"/>
  <c r="H15" i="2"/>
  <c r="G20" i="2"/>
  <c r="H20" i="2"/>
  <c r="G21" i="2"/>
  <c r="H21" i="2"/>
  <c r="H6" i="2"/>
  <c r="G6" i="2"/>
  <c r="AJ6" i="2"/>
  <c r="AR6" i="2"/>
  <c r="V21" i="5"/>
  <c r="V20" i="5"/>
  <c r="V23" i="5"/>
  <c r="V25" i="5"/>
  <c r="V14" i="5"/>
  <c r="V13" i="5"/>
  <c r="V16" i="5"/>
  <c r="V19" i="5"/>
  <c r="V26" i="5"/>
  <c r="V10" i="5"/>
  <c r="V24" i="5"/>
  <c r="V17" i="5"/>
  <c r="V18" i="5"/>
  <c r="V9" i="5"/>
  <c r="V12" i="5"/>
  <c r="V15" i="5"/>
  <c r="V22" i="5"/>
  <c r="V11" i="5"/>
  <c r="AV6" i="2"/>
  <c r="AD6" i="2"/>
  <c r="AM9" i="6"/>
  <c r="AM20" i="6"/>
  <c r="AO21" i="6"/>
  <c r="AM24" i="6"/>
  <c r="AO9" i="6"/>
  <c r="AM11" i="6"/>
  <c r="AO16" i="6"/>
  <c r="AM21" i="6"/>
  <c r="AM16" i="6"/>
  <c r="AO17" i="6"/>
  <c r="AM25" i="6"/>
  <c r="AO10" i="6"/>
  <c r="AM13" i="6"/>
  <c r="AO14" i="6"/>
  <c r="AO25" i="6"/>
  <c r="AM12" i="6"/>
  <c r="AO13" i="6"/>
  <c r="AM10" i="6"/>
  <c r="AO22" i="6"/>
  <c r="AM8" i="6"/>
  <c r="AM14" i="6"/>
  <c r="AO23" i="6"/>
  <c r="AM18" i="6"/>
  <c r="AO11" i="6"/>
  <c r="AM17" i="6"/>
  <c r="AO18" i="6"/>
  <c r="AO8" i="6"/>
  <c r="AO19" i="6"/>
  <c r="AM15" i="6"/>
  <c r="AO20" i="6"/>
  <c r="AM19" i="6"/>
  <c r="AO24" i="6"/>
  <c r="AM23" i="6"/>
  <c r="AO12" i="6"/>
  <c r="AM22" i="6"/>
  <c r="AO15" i="6"/>
  <c r="AL19" i="6"/>
  <c r="AL24" i="6"/>
  <c r="AL8" i="6"/>
  <c r="AL14" i="6"/>
  <c r="AL10" i="6"/>
  <c r="AL16" i="6"/>
  <c r="AL22" i="6"/>
  <c r="AL18" i="6"/>
  <c r="AL17" i="6"/>
  <c r="AL13" i="6"/>
  <c r="AL21" i="6"/>
  <c r="AL23" i="6"/>
  <c r="AL25" i="6"/>
  <c r="AL12" i="6"/>
  <c r="AL9" i="6"/>
  <c r="AL20" i="6"/>
  <c r="AL11" i="6"/>
  <c r="AL15" i="6"/>
  <c r="AN11" i="6"/>
  <c r="AN16" i="6"/>
  <c r="AN13" i="6"/>
  <c r="AN8" i="6"/>
  <c r="AN15" i="6"/>
  <c r="AN23" i="6"/>
  <c r="AN20" i="6"/>
  <c r="AN12" i="6"/>
  <c r="AN21" i="6"/>
  <c r="AN19" i="6"/>
  <c r="AN24" i="6"/>
  <c r="AN18" i="6"/>
  <c r="AN22" i="6"/>
  <c r="AN14" i="6"/>
  <c r="AN17" i="6"/>
  <c r="AN25" i="6"/>
  <c r="AN10" i="6"/>
  <c r="AK14" i="6"/>
  <c r="AN9" i="6"/>
  <c r="AP25" i="6"/>
  <c r="AK25" i="6"/>
  <c r="AK15" i="6"/>
  <c r="AK18" i="6"/>
  <c r="AK12" i="6"/>
  <c r="AK11" i="6"/>
  <c r="AK24" i="6"/>
  <c r="AP16" i="6"/>
  <c r="AK10" i="6"/>
  <c r="AP20" i="6"/>
  <c r="AK16" i="6"/>
  <c r="AP10" i="6"/>
  <c r="AK19" i="6"/>
  <c r="AP17" i="6"/>
  <c r="AP23" i="6"/>
  <c r="AP22" i="6"/>
  <c r="AK23" i="6"/>
  <c r="AP9" i="6"/>
  <c r="AP24" i="6"/>
  <c r="AK13" i="6"/>
  <c r="AP12" i="6"/>
  <c r="AP8" i="6"/>
  <c r="AP14" i="6"/>
  <c r="AP21" i="6"/>
  <c r="AK21" i="6"/>
  <c r="AP15" i="6"/>
  <c r="AP11" i="6"/>
  <c r="AK9" i="6"/>
  <c r="AP19" i="6"/>
  <c r="AP18" i="6"/>
  <c r="AP13" i="6"/>
  <c r="AK8" i="6"/>
  <c r="AK17" i="6"/>
  <c r="AK22" i="6"/>
  <c r="AK20" i="6"/>
  <c r="AT7" i="2"/>
  <c r="AU2" i="2"/>
  <c r="AN6" i="2"/>
  <c r="AP7" i="2"/>
  <c r="AR7" i="2"/>
  <c r="AL6" i="2"/>
  <c r="AP6" i="2"/>
  <c r="AF6" i="2"/>
  <c r="AH6" i="2"/>
  <c r="I27" i="5"/>
  <c r="J9" i="5"/>
  <c r="J27" i="5"/>
  <c r="AT21" i="2"/>
  <c r="AT18" i="2"/>
  <c r="AT13" i="2"/>
  <c r="AT9" i="2"/>
  <c r="AT19" i="2"/>
  <c r="AT16" i="2"/>
  <c r="AT10" i="2"/>
  <c r="AW10" i="2"/>
  <c r="AT15" i="2"/>
  <c r="AT17" i="2"/>
  <c r="AT11" i="2"/>
  <c r="AY21" i="2"/>
  <c r="AY20" i="2"/>
  <c r="AY15" i="2"/>
  <c r="AY19" i="2"/>
  <c r="AY18" i="2"/>
  <c r="AY14" i="2"/>
  <c r="AY17" i="2"/>
  <c r="AY16" i="2"/>
  <c r="AY13" i="2"/>
  <c r="AY12" i="2"/>
  <c r="AY11" i="2"/>
  <c r="AY9" i="2"/>
  <c r="AY8" i="2"/>
  <c r="AY7" i="2"/>
  <c r="AW15" i="2"/>
  <c r="AT8" i="2"/>
  <c r="AW12" i="2"/>
  <c r="AW8" i="2"/>
  <c r="AW6" i="2"/>
  <c r="AW14" i="2"/>
  <c r="AW9" i="2"/>
  <c r="AW20" i="2"/>
  <c r="AV11" i="2"/>
  <c r="AW11" i="2"/>
  <c r="AV7" i="2"/>
  <c r="AW7" i="2"/>
  <c r="AN20" i="2"/>
  <c r="AN19" i="2"/>
  <c r="AN14" i="2"/>
  <c r="AN16" i="2"/>
  <c r="AN12" i="2"/>
  <c r="AN10" i="2"/>
  <c r="AN8" i="2"/>
  <c r="AV10" i="2"/>
  <c r="AN21" i="2"/>
  <c r="AN15" i="2"/>
  <c r="AN18" i="2"/>
  <c r="AN17" i="2"/>
  <c r="AN13" i="2"/>
  <c r="AN11" i="2"/>
  <c r="AN9" i="2"/>
  <c r="AN7" i="2"/>
  <c r="AV20" i="2"/>
  <c r="AT20" i="2"/>
  <c r="AT14" i="2"/>
  <c r="AT12" i="2"/>
  <c r="AV12" i="2"/>
  <c r="AV8" i="2"/>
  <c r="AL21" i="2"/>
  <c r="AJ21" i="2"/>
  <c r="AL15" i="2"/>
  <c r="AJ15" i="2"/>
  <c r="AJ18" i="2"/>
  <c r="AL18" i="2"/>
  <c r="AL17" i="2"/>
  <c r="AJ17" i="2"/>
  <c r="AL13" i="2"/>
  <c r="AJ13" i="2"/>
  <c r="AL11" i="2"/>
  <c r="AJ11" i="2"/>
  <c r="AL9" i="2"/>
  <c r="AJ9" i="2"/>
  <c r="AL7" i="2"/>
  <c r="AJ7" i="2"/>
  <c r="AD20" i="2"/>
  <c r="AD19" i="2"/>
  <c r="AD14" i="2"/>
  <c r="AD16" i="2"/>
  <c r="AD12" i="2"/>
  <c r="AD10" i="2"/>
  <c r="AD8" i="2"/>
  <c r="AP19" i="2"/>
  <c r="AP16" i="2"/>
  <c r="AP10" i="2"/>
  <c r="AR20" i="2"/>
  <c r="AR14" i="2"/>
  <c r="AR12" i="2"/>
  <c r="AR8" i="2"/>
  <c r="AP21" i="2"/>
  <c r="AP18" i="2"/>
  <c r="AP13" i="2"/>
  <c r="AP9" i="2"/>
  <c r="AR15" i="2"/>
  <c r="AR17" i="2"/>
  <c r="AR11" i="2"/>
  <c r="AV14" i="2"/>
  <c r="AV9" i="2"/>
  <c r="AL20" i="2"/>
  <c r="AJ20" i="2"/>
  <c r="AJ19" i="2"/>
  <c r="AL19" i="2"/>
  <c r="AJ14" i="2"/>
  <c r="AL14" i="2"/>
  <c r="AL16" i="2"/>
  <c r="AJ16" i="2"/>
  <c r="AL12" i="2"/>
  <c r="AJ12" i="2"/>
  <c r="AJ10" i="2"/>
  <c r="AL10" i="2"/>
  <c r="AL8" i="2"/>
  <c r="AJ8" i="2"/>
  <c r="AD21" i="2"/>
  <c r="AD15" i="2"/>
  <c r="AD18" i="2"/>
  <c r="AD17" i="2"/>
  <c r="AD13" i="2"/>
  <c r="AD11" i="2"/>
  <c r="AD9" i="2"/>
  <c r="AD7" i="2"/>
  <c r="AH21" i="2"/>
  <c r="AF21" i="2"/>
  <c r="AF20" i="2"/>
  <c r="AH20" i="2"/>
  <c r="AF15" i="2"/>
  <c r="AH15" i="2"/>
  <c r="AF19" i="2"/>
  <c r="AH19" i="2"/>
  <c r="AF18" i="2"/>
  <c r="AH18" i="2"/>
  <c r="AF14" i="2"/>
  <c r="AH14" i="2"/>
  <c r="AH17" i="2"/>
  <c r="AF17" i="2"/>
  <c r="AF16" i="2"/>
  <c r="AH16" i="2"/>
  <c r="AH13" i="2"/>
  <c r="AF13" i="2"/>
  <c r="AF12" i="2"/>
  <c r="AH12" i="2"/>
  <c r="AF11" i="2"/>
  <c r="AH11" i="2"/>
  <c r="AF10" i="2"/>
  <c r="AH10" i="2"/>
  <c r="AH9" i="2"/>
  <c r="AF9" i="2"/>
  <c r="AF8" i="2"/>
  <c r="AH8" i="2"/>
  <c r="AF7" i="2"/>
  <c r="AH7" i="2"/>
  <c r="AP20" i="2"/>
  <c r="AP14" i="2"/>
  <c r="AP12" i="2"/>
  <c r="AP8" i="2"/>
  <c r="AR19" i="2"/>
  <c r="AR16" i="2"/>
  <c r="AR10" i="2"/>
  <c r="AV15" i="2"/>
  <c r="AP15" i="2"/>
  <c r="AP17" i="2"/>
  <c r="AP11" i="2"/>
  <c r="AR21" i="2"/>
  <c r="AR18" i="2"/>
  <c r="AR13" i="2"/>
  <c r="AR9" i="2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8" i="4"/>
  <c r="V27" i="5"/>
  <c r="AN26" i="6"/>
  <c r="AQ8" i="6"/>
  <c r="F9" i="5"/>
  <c r="AQ11" i="6"/>
  <c r="AQ10" i="6"/>
  <c r="AL26" i="6"/>
  <c r="AQ16" i="6"/>
  <c r="F18" i="5"/>
  <c r="AQ15" i="6"/>
  <c r="AQ14" i="6"/>
  <c r="AQ21" i="6"/>
  <c r="AQ12" i="6"/>
  <c r="AM26" i="6"/>
  <c r="AO26" i="6"/>
  <c r="AQ17" i="6"/>
  <c r="AP26" i="6"/>
  <c r="AQ20" i="6"/>
  <c r="AQ19" i="6"/>
  <c r="AQ18" i="6"/>
  <c r="AQ25" i="6"/>
  <c r="AQ9" i="6"/>
  <c r="AQ24" i="6"/>
  <c r="AQ23" i="6"/>
  <c r="AK26" i="6"/>
  <c r="AQ22" i="6"/>
  <c r="AQ13" i="6"/>
  <c r="AO2" i="2"/>
  <c r="AK2" i="2"/>
  <c r="AU4" i="2"/>
  <c r="H26" i="4"/>
  <c r="AO4" i="2"/>
  <c r="AO16" i="2"/>
  <c r="B27" i="5"/>
  <c r="AX3" i="2"/>
  <c r="AX8" i="2"/>
  <c r="AO3" i="2"/>
  <c r="AO14" i="2"/>
  <c r="AX4" i="2"/>
  <c r="AX2" i="2"/>
  <c r="AX7" i="2"/>
  <c r="AE2" i="2"/>
  <c r="AU3" i="2"/>
  <c r="AU14" i="2"/>
  <c r="AS2" i="2"/>
  <c r="AM3" i="2"/>
  <c r="AM15" i="2"/>
  <c r="AM2" i="2"/>
  <c r="AG4" i="2"/>
  <c r="AI4" i="2"/>
  <c r="AQ3" i="2"/>
  <c r="AQ14" i="2"/>
  <c r="AK4" i="2"/>
  <c r="AQ4" i="2"/>
  <c r="AM4" i="2"/>
  <c r="AI2" i="2"/>
  <c r="AI3" i="2"/>
  <c r="AI14" i="2"/>
  <c r="AK3" i="2"/>
  <c r="AK15" i="2"/>
  <c r="AG2" i="2"/>
  <c r="AS3" i="2"/>
  <c r="AS15" i="2"/>
  <c r="AQ2" i="2"/>
  <c r="AE4" i="2"/>
  <c r="AS4" i="2"/>
  <c r="AG3" i="2"/>
  <c r="AG15" i="2"/>
  <c r="AE3" i="2"/>
  <c r="AE10" i="2"/>
  <c r="G23" i="4"/>
  <c r="I23" i="4"/>
  <c r="G22" i="4"/>
  <c r="I22" i="4"/>
  <c r="G21" i="4"/>
  <c r="I21" i="4"/>
  <c r="G20" i="4"/>
  <c r="I20" i="4"/>
  <c r="G19" i="4"/>
  <c r="I19" i="4"/>
  <c r="G18" i="4"/>
  <c r="I18" i="4"/>
  <c r="G17" i="4"/>
  <c r="I17" i="4"/>
  <c r="G16" i="4"/>
  <c r="I16" i="4"/>
  <c r="G15" i="4"/>
  <c r="I15" i="4"/>
  <c r="G14" i="4"/>
  <c r="I14" i="4"/>
  <c r="G13" i="4"/>
  <c r="I13" i="4"/>
  <c r="G12" i="4"/>
  <c r="I12" i="4"/>
  <c r="G11" i="4"/>
  <c r="I11" i="4"/>
  <c r="G10" i="4"/>
  <c r="I10" i="4"/>
  <c r="G9" i="4"/>
  <c r="I9" i="4"/>
  <c r="G8" i="4"/>
  <c r="AR25" i="6"/>
  <c r="F26" i="5"/>
  <c r="AR12" i="6"/>
  <c r="F15" i="5"/>
  <c r="AR18" i="6"/>
  <c r="F19" i="5"/>
  <c r="AR17" i="6"/>
  <c r="F16" i="5"/>
  <c r="AR21" i="6"/>
  <c r="F23" i="5"/>
  <c r="AR13" i="6"/>
  <c r="F13" i="5"/>
  <c r="AR24" i="6"/>
  <c r="F25" i="5"/>
  <c r="AR19" i="6"/>
  <c r="F22" i="5"/>
  <c r="AR14" i="6"/>
  <c r="F14" i="5"/>
  <c r="AR10" i="6"/>
  <c r="F12" i="5"/>
  <c r="AR23" i="6"/>
  <c r="F20" i="5"/>
  <c r="AR22" i="6"/>
  <c r="F24" i="5"/>
  <c r="AR9" i="6"/>
  <c r="F10" i="5"/>
  <c r="AR20" i="6"/>
  <c r="F21" i="5"/>
  <c r="AR15" i="6"/>
  <c r="F17" i="5"/>
  <c r="AR11" i="6"/>
  <c r="F11" i="5"/>
  <c r="AR8" i="6"/>
  <c r="G9" i="5"/>
  <c r="AR16" i="6"/>
  <c r="G18" i="5"/>
  <c r="AQ26" i="6"/>
  <c r="AO17" i="2"/>
  <c r="AO15" i="2"/>
  <c r="I8" i="4"/>
  <c r="G26" i="4"/>
  <c r="AX14" i="2"/>
  <c r="AX9" i="2"/>
  <c r="AX6" i="2"/>
  <c r="AX20" i="2"/>
  <c r="AX15" i="2"/>
  <c r="AX11" i="2"/>
  <c r="AM14" i="2"/>
  <c r="AX10" i="2"/>
  <c r="AX12" i="2"/>
  <c r="AU15" i="2"/>
  <c r="AU13" i="2"/>
  <c r="AE14" i="2"/>
  <c r="AQ15" i="2"/>
  <c r="AK14" i="2"/>
  <c r="AE9" i="2"/>
  <c r="AS14" i="2"/>
  <c r="AE13" i="2"/>
  <c r="AE15" i="2"/>
  <c r="AI15" i="2"/>
  <c r="AE12" i="2"/>
  <c r="AE11" i="2"/>
  <c r="AG14" i="2"/>
  <c r="G20" i="5"/>
  <c r="G14" i="5"/>
  <c r="G25" i="5"/>
  <c r="N25" i="5"/>
  <c r="G23" i="5"/>
  <c r="G19" i="5"/>
  <c r="G26" i="5"/>
  <c r="N26" i="5"/>
  <c r="G17" i="5"/>
  <c r="G10" i="5"/>
  <c r="G11" i="5"/>
  <c r="G21" i="5"/>
  <c r="G24" i="5"/>
  <c r="G12" i="5"/>
  <c r="G22" i="5"/>
  <c r="G13" i="5"/>
  <c r="G16" i="5"/>
  <c r="G15" i="5"/>
  <c r="F27" i="5"/>
  <c r="F32" i="5"/>
  <c r="AR26" i="6"/>
  <c r="O25" i="5"/>
  <c r="X25" i="5"/>
  <c r="Y25" i="5"/>
  <c r="O26" i="5"/>
  <c r="G27" i="5"/>
  <c r="X26" i="5"/>
  <c r="Y26" i="5"/>
  <c r="K32" i="5"/>
  <c r="BD2" i="2"/>
  <c r="G28" i="5"/>
  <c r="BD3" i="2"/>
  <c r="BD4" i="2"/>
  <c r="BD1" i="2"/>
  <c r="M6" i="4"/>
  <c r="M18" i="4"/>
  <c r="N18" i="4"/>
  <c r="K33" i="5"/>
  <c r="M10" i="4"/>
  <c r="N10" i="4"/>
  <c r="AO10" i="2"/>
  <c r="AO6" i="2"/>
  <c r="BA8" i="2"/>
  <c r="BA17" i="2"/>
  <c r="BA6" i="2"/>
  <c r="BA9" i="2"/>
  <c r="BA14" i="2"/>
  <c r="BA18" i="2"/>
  <c r="BA19" i="2"/>
  <c r="BA15" i="2"/>
  <c r="BA7" i="2"/>
  <c r="BA10" i="2"/>
  <c r="BA11" i="2"/>
  <c r="BA12" i="2"/>
  <c r="BA13" i="2"/>
  <c r="BA20" i="2"/>
  <c r="BA21" i="2"/>
  <c r="BA16" i="2"/>
  <c r="M8" i="4"/>
  <c r="N8" i="4"/>
  <c r="AZ2" i="2"/>
  <c r="AZ4" i="2"/>
  <c r="AO11" i="2"/>
  <c r="AO12" i="2"/>
  <c r="AI16" i="2"/>
  <c r="AK13" i="2"/>
  <c r="AM16" i="2"/>
  <c r="AQ6" i="2"/>
  <c r="AS13" i="2"/>
  <c r="AU6" i="2"/>
  <c r="AO19" i="2"/>
  <c r="AO7" i="2"/>
  <c r="AI6" i="2"/>
  <c r="AM10" i="2"/>
  <c r="AU19" i="2"/>
  <c r="AO13" i="2"/>
  <c r="AK7" i="2"/>
  <c r="AQ11" i="2"/>
  <c r="AS7" i="2"/>
  <c r="AU7" i="2"/>
  <c r="AU11" i="2"/>
  <c r="AO21" i="2"/>
  <c r="AO8" i="2"/>
  <c r="AO18" i="2"/>
  <c r="AI11" i="2"/>
  <c r="AK16" i="2"/>
  <c r="AM7" i="2"/>
  <c r="AQ19" i="2"/>
  <c r="AS10" i="2"/>
  <c r="AS16" i="2"/>
  <c r="AO9" i="2"/>
  <c r="AO20" i="2"/>
  <c r="AG16" i="2"/>
  <c r="AG8" i="2"/>
  <c r="AE6" i="2"/>
  <c r="AE18" i="2"/>
  <c r="AG6" i="2"/>
  <c r="AA16" i="2"/>
  <c r="AC16" i="2"/>
  <c r="AA8" i="2"/>
  <c r="AC8" i="2"/>
  <c r="AA17" i="2"/>
  <c r="AC17" i="2"/>
  <c r="AA6" i="2"/>
  <c r="AC6" i="2"/>
  <c r="AA9" i="2"/>
  <c r="AC9" i="2"/>
  <c r="AA14" i="2"/>
  <c r="AC14" i="2"/>
  <c r="AA18" i="2"/>
  <c r="AC18" i="2"/>
  <c r="AA19" i="2"/>
  <c r="AC19" i="2"/>
  <c r="AA15" i="2"/>
  <c r="AC15" i="2"/>
  <c r="AA10" i="2"/>
  <c r="AC10" i="2"/>
  <c r="AA11" i="2"/>
  <c r="AC11" i="2"/>
  <c r="AA12" i="2"/>
  <c r="AC12" i="2"/>
  <c r="AA13" i="2"/>
  <c r="AC13" i="2"/>
  <c r="AA20" i="2"/>
  <c r="AC20" i="2"/>
  <c r="AA21" i="2"/>
  <c r="AC21" i="2"/>
  <c r="AA7" i="2"/>
  <c r="AC7" i="2"/>
  <c r="M26" i="4"/>
  <c r="AZ6" i="2"/>
  <c r="AZ7" i="2"/>
  <c r="AS12" i="2"/>
  <c r="AS11" i="2"/>
  <c r="AK10" i="2"/>
  <c r="AU9" i="2"/>
  <c r="AU12" i="2"/>
  <c r="AI19" i="2"/>
  <c r="AM11" i="2"/>
  <c r="AQ7" i="2"/>
  <c r="AI20" i="2"/>
  <c r="AK12" i="2"/>
  <c r="AI17" i="2"/>
  <c r="AI21" i="2"/>
  <c r="AK11" i="2"/>
  <c r="AI18" i="2"/>
  <c r="AS9" i="2"/>
  <c r="AQ9" i="2"/>
  <c r="AQ12" i="2"/>
  <c r="AM9" i="2"/>
  <c r="AM19" i="2"/>
  <c r="AI7" i="2"/>
  <c r="AK9" i="2"/>
  <c r="AM12" i="2"/>
  <c r="AM21" i="2"/>
  <c r="AQ8" i="2"/>
  <c r="AM6" i="2"/>
  <c r="AI8" i="2"/>
  <c r="AI13" i="2"/>
  <c r="AS6" i="2"/>
  <c r="AQ13" i="2"/>
  <c r="AS8" i="2"/>
  <c r="AK8" i="2"/>
  <c r="AM17" i="2"/>
  <c r="AU8" i="2"/>
  <c r="AU20" i="2"/>
  <c r="AM18" i="2"/>
  <c r="AG9" i="2"/>
  <c r="AE19" i="2"/>
  <c r="AS21" i="2"/>
  <c r="AG7" i="2"/>
  <c r="AQ10" i="2"/>
  <c r="AG10" i="2"/>
  <c r="AU21" i="2"/>
  <c r="AI12" i="2"/>
  <c r="AG11" i="2"/>
  <c r="AS20" i="2"/>
  <c r="AK20" i="2"/>
  <c r="AK21" i="2"/>
  <c r="AI10" i="2"/>
  <c r="AG13" i="2"/>
  <c r="AU17" i="2"/>
  <c r="AU16" i="2"/>
  <c r="AQ20" i="2"/>
  <c r="AM8" i="2"/>
  <c r="AM13" i="2"/>
  <c r="AG20" i="2"/>
  <c r="AE8" i="2"/>
  <c r="AQ21" i="2"/>
  <c r="AG21" i="2"/>
  <c r="AE20" i="2"/>
  <c r="AS17" i="2"/>
  <c r="AQ16" i="2"/>
  <c r="AK17" i="2"/>
  <c r="AG12" i="2"/>
  <c r="AE21" i="2"/>
  <c r="AS19" i="2"/>
  <c r="AK6" i="2"/>
  <c r="AE7" i="2"/>
  <c r="AE16" i="2"/>
  <c r="AU18" i="2"/>
  <c r="AQ17" i="2"/>
  <c r="AG17" i="2"/>
  <c r="AI9" i="2"/>
  <c r="AE17" i="2"/>
  <c r="AS18" i="2"/>
  <c r="AK18" i="2"/>
  <c r="AK19" i="2"/>
  <c r="AU10" i="2"/>
  <c r="AQ18" i="2"/>
  <c r="AG18" i="2"/>
  <c r="AM20" i="2"/>
  <c r="AG19" i="2"/>
  <c r="BB6" i="2"/>
  <c r="BB7" i="2"/>
  <c r="E10" i="2"/>
  <c r="AY10" i="2"/>
  <c r="AZ3" i="2"/>
  <c r="AZ21" i="2"/>
  <c r="AZ18" i="2"/>
  <c r="BB18" i="2"/>
  <c r="BB21" i="2"/>
  <c r="AZ16" i="2"/>
  <c r="BB16" i="2"/>
  <c r="AZ19" i="2"/>
  <c r="BB19" i="2"/>
  <c r="AZ17" i="2"/>
  <c r="BB17" i="2"/>
  <c r="AZ20" i="2"/>
  <c r="BB20" i="2"/>
  <c r="AZ8" i="2"/>
  <c r="BB8" i="2"/>
  <c r="AZ14" i="2"/>
  <c r="BB14" i="2"/>
  <c r="AZ11" i="2"/>
  <c r="BB11" i="2"/>
  <c r="AZ15" i="2"/>
  <c r="BB15" i="2"/>
  <c r="AZ9" i="2"/>
  <c r="BB9" i="2"/>
  <c r="AZ13" i="2"/>
  <c r="BB13" i="2"/>
  <c r="AZ12" i="2"/>
  <c r="BB12" i="2"/>
  <c r="AZ10" i="2"/>
  <c r="BB10" i="2"/>
  <c r="BC4" i="2"/>
  <c r="BC18" i="2"/>
  <c r="BC3" i="2"/>
  <c r="BC14" i="2"/>
  <c r="BC2" i="2"/>
  <c r="BC6" i="2"/>
  <c r="BD6" i="2"/>
  <c r="BD14" i="2"/>
  <c r="BD18" i="2"/>
  <c r="BC15" i="2"/>
  <c r="BC20" i="2"/>
  <c r="BC11" i="2"/>
  <c r="BC16" i="2"/>
  <c r="BC21" i="2"/>
  <c r="BC19" i="2"/>
  <c r="BC7" i="2"/>
  <c r="BC17" i="2"/>
  <c r="BE18" i="2"/>
  <c r="K19" i="5"/>
  <c r="BE14" i="2"/>
  <c r="K16" i="5"/>
  <c r="BE6" i="2"/>
  <c r="K9" i="5"/>
  <c r="N9" i="5"/>
  <c r="BD17" i="2"/>
  <c r="BD16" i="2"/>
  <c r="BD7" i="2"/>
  <c r="BD11" i="2"/>
  <c r="BD19" i="2"/>
  <c r="BD20" i="2"/>
  <c r="BD21" i="2"/>
  <c r="BD15" i="2"/>
  <c r="BC13" i="2"/>
  <c r="BC9" i="2"/>
  <c r="BC10" i="2"/>
  <c r="BC8" i="2"/>
  <c r="BC12" i="2"/>
  <c r="BE19" i="2"/>
  <c r="K22" i="5"/>
  <c r="BE17" i="2"/>
  <c r="K24" i="5"/>
  <c r="BE21" i="2"/>
  <c r="K20" i="5"/>
  <c r="BE7" i="2"/>
  <c r="K10" i="5"/>
  <c r="BE20" i="2"/>
  <c r="K23" i="5"/>
  <c r="BE16" i="2"/>
  <c r="K21" i="5"/>
  <c r="N16" i="5"/>
  <c r="BE15" i="2"/>
  <c r="K18" i="5"/>
  <c r="BE11" i="2"/>
  <c r="K13" i="5"/>
  <c r="O9" i="5"/>
  <c r="N19" i="5"/>
  <c r="BD8" i="2"/>
  <c r="BD10" i="2"/>
  <c r="BD12" i="2"/>
  <c r="BD13" i="2"/>
  <c r="BD9" i="2"/>
  <c r="O19" i="5"/>
  <c r="X19" i="5"/>
  <c r="Y19" i="5"/>
  <c r="O16" i="5"/>
  <c r="X9" i="5"/>
  <c r="Y9" i="5"/>
  <c r="N13" i="5"/>
  <c r="BE9" i="2"/>
  <c r="K12" i="5"/>
  <c r="BE8" i="2"/>
  <c r="K17" i="5"/>
  <c r="N21" i="5"/>
  <c r="N10" i="5"/>
  <c r="N24" i="5"/>
  <c r="BE13" i="2"/>
  <c r="K14" i="5"/>
  <c r="BE12" i="2"/>
  <c r="K15" i="5"/>
  <c r="N18" i="5"/>
  <c r="BE10" i="2"/>
  <c r="K11" i="5"/>
  <c r="N23" i="5"/>
  <c r="N20" i="5"/>
  <c r="N22" i="5"/>
  <c r="X16" i="5"/>
  <c r="Y16" i="5"/>
  <c r="O20" i="5"/>
  <c r="O23" i="5"/>
  <c r="O24" i="5"/>
  <c r="X24" i="5"/>
  <c r="Y24" i="5"/>
  <c r="O10" i="5"/>
  <c r="X10" i="5"/>
  <c r="Y10" i="5"/>
  <c r="O18" i="5"/>
  <c r="X18" i="5"/>
  <c r="Y18" i="5"/>
  <c r="O22" i="5"/>
  <c r="O21" i="5"/>
  <c r="O13" i="5"/>
  <c r="K27" i="5"/>
  <c r="L26" i="5"/>
  <c r="N11" i="5"/>
  <c r="N14" i="5"/>
  <c r="N17" i="5"/>
  <c r="N15" i="5"/>
  <c r="N12" i="5"/>
  <c r="X23" i="5"/>
  <c r="Y23" i="5"/>
  <c r="X21" i="5"/>
  <c r="Y21" i="5"/>
  <c r="X20" i="5"/>
  <c r="Y20" i="5"/>
  <c r="X22" i="5"/>
  <c r="Y22" i="5"/>
  <c r="O12" i="5"/>
  <c r="X12" i="5"/>
  <c r="Y12" i="5"/>
  <c r="O15" i="5"/>
  <c r="X15" i="5"/>
  <c r="Y15" i="5"/>
  <c r="O17" i="5"/>
  <c r="O14" i="5"/>
  <c r="O11" i="5"/>
  <c r="X13" i="5"/>
  <c r="Y13" i="5"/>
  <c r="L15" i="5"/>
  <c r="L17" i="5"/>
  <c r="L20" i="5"/>
  <c r="L9" i="5"/>
  <c r="L18" i="5"/>
  <c r="L24" i="5"/>
  <c r="L12" i="5"/>
  <c r="L16" i="5"/>
  <c r="L14" i="5"/>
  <c r="L23" i="5"/>
  <c r="L21" i="5"/>
  <c r="L13" i="5"/>
  <c r="L22" i="5"/>
  <c r="L11" i="5"/>
  <c r="L19" i="5"/>
  <c r="L10" i="5"/>
  <c r="L25" i="5"/>
  <c r="N27" i="5"/>
  <c r="X14" i="5"/>
  <c r="Y14" i="5"/>
  <c r="X17" i="5"/>
  <c r="Y17" i="5"/>
  <c r="O27" i="5"/>
  <c r="X11" i="5"/>
  <c r="Y11" i="5"/>
  <c r="L27" i="5"/>
  <c r="X27" i="5"/>
  <c r="X28" i="5"/>
  <c r="P27" i="5"/>
  <c r="Y27" i="5"/>
</calcChain>
</file>

<file path=xl/sharedStrings.xml><?xml version="1.0" encoding="utf-8"?>
<sst xmlns="http://schemas.openxmlformats.org/spreadsheetml/2006/main" count="451" uniqueCount="230">
  <si>
    <t>NOMB_INST</t>
  </si>
  <si>
    <t>NOMB_INST2</t>
  </si>
  <si>
    <t>UNIVERSIDAD ARTURO PRAT</t>
  </si>
  <si>
    <t>U. ARTURO PRAT</t>
  </si>
  <si>
    <t>I</t>
  </si>
  <si>
    <t>II</t>
  </si>
  <si>
    <t>UNIVERSIDAD DE ANTOFAGASTA</t>
  </si>
  <si>
    <t>U. DE ANTOFAGASTA</t>
  </si>
  <si>
    <t>UNIVERSIDAD DE ATACAMA</t>
  </si>
  <si>
    <t>U. DE ATACAMA</t>
  </si>
  <si>
    <t>III</t>
  </si>
  <si>
    <t>UNIVERSIDAD DE CHILE</t>
  </si>
  <si>
    <t>U. DE CHILE</t>
  </si>
  <si>
    <t>UNIVERSIDAD DE LA FRONTERA</t>
  </si>
  <si>
    <t>U. DE LA FRONTERA</t>
  </si>
  <si>
    <t>UNIVERSIDAD DE LA SERENA</t>
  </si>
  <si>
    <t>U. DE LA SERENA</t>
  </si>
  <si>
    <t>UNIVERSIDAD DE LOS LAGOS</t>
  </si>
  <si>
    <t>U. DE LOS LAGOS</t>
  </si>
  <si>
    <t>UNIVERSIDAD DE MAGALLANES</t>
  </si>
  <si>
    <t>U. DE MAGALLANES</t>
  </si>
  <si>
    <t>UNIVERSIDAD DE PLAYA ANCHA DE CIENCIAS DE LA EDUCACION</t>
  </si>
  <si>
    <t>U. DE PLAYA ANCHA DE CS. DE LA ED.</t>
  </si>
  <si>
    <t>UNIVERSIDAD DE SANTIAGO DE CHILE</t>
  </si>
  <si>
    <t>U. DE SANTIAGO</t>
  </si>
  <si>
    <t>UNIVERSIDAD DE TALCA</t>
  </si>
  <si>
    <t>U. DE TALCA</t>
  </si>
  <si>
    <t>UNIVERSIDAD DE TARAPACA</t>
  </si>
  <si>
    <t>U. DE TARAPACÁ</t>
  </si>
  <si>
    <t>UNIVERSIDAD DE VALPARAISO</t>
  </si>
  <si>
    <t>U. DE VALPARAÍSO</t>
  </si>
  <si>
    <t>UNIVERSIDAD DEL BIO-BIO</t>
  </si>
  <si>
    <t>U. DEL BÍO-BÍO</t>
  </si>
  <si>
    <t>UNIVERSIDAD METROPOLITANA DE CIENCIAS DE LA EDUCACION</t>
  </si>
  <si>
    <t>U. METROPOLITANA DE CS. DE LA ED.</t>
  </si>
  <si>
    <t>UNIVERSIDAD TECNOLOGICA METROPOLITANA</t>
  </si>
  <si>
    <t>U. TECNOLÓGICA METROPOLITANA</t>
  </si>
  <si>
    <t>USA</t>
  </si>
  <si>
    <t>UBB</t>
  </si>
  <si>
    <t>UVA</t>
  </si>
  <si>
    <t>UCH</t>
  </si>
  <si>
    <t>TAL</t>
  </si>
  <si>
    <t>UTM</t>
  </si>
  <si>
    <t>FRO</t>
  </si>
  <si>
    <t>UPA</t>
  </si>
  <si>
    <t>UTA</t>
  </si>
  <si>
    <t>ULS</t>
  </si>
  <si>
    <t>ULA</t>
  </si>
  <si>
    <t>UMC</t>
  </si>
  <si>
    <t>UAP</t>
  </si>
  <si>
    <t>ATA</t>
  </si>
  <si>
    <t>ANT</t>
  </si>
  <si>
    <t>MAG</t>
  </si>
  <si>
    <t>TOTAL MAT PhD 2009</t>
  </si>
  <si>
    <t>TOTAL MAT PhD 2010</t>
  </si>
  <si>
    <t>INSTITUCIÓN</t>
  </si>
  <si>
    <t>COD_INST</t>
  </si>
  <si>
    <t>CONICYT</t>
  </si>
  <si>
    <t>SIES</t>
  </si>
  <si>
    <t>Solicitud_ pat_nac_2014</t>
  </si>
  <si>
    <t>INAPI</t>
  </si>
  <si>
    <t>Cod_SIES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</si>
  <si>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</si>
  <si>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</si>
  <si>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</si>
  <si>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</si>
  <si>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</si>
  <si>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</si>
  <si>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</si>
  <si>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</si>
  <si>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</si>
  <si>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 Corregido
 (% respecto al maximo del grupo)</t>
  </si>
  <si>
    <t>j)</t>
  </si>
  <si>
    <t>k)</t>
  </si>
  <si>
    <t>Promedio 11 o 10 Indicadores
corregidos</t>
  </si>
  <si>
    <t>proporción</t>
  </si>
  <si>
    <t>Peso categoría</t>
  </si>
  <si>
    <t>CATEGORÍA</t>
  </si>
  <si>
    <t>N° Conjunto desde 5 años</t>
  </si>
  <si>
    <t>Individual</t>
  </si>
  <si>
    <t>U. de Atacama</t>
  </si>
  <si>
    <t>U. Arturo Prat</t>
  </si>
  <si>
    <t>U. de Magallanes</t>
  </si>
  <si>
    <t>U. de Los Lagos</t>
  </si>
  <si>
    <t>U. de Playa Ancha</t>
  </si>
  <si>
    <t>U. Metropolitana</t>
  </si>
  <si>
    <t>U. de la Serena</t>
  </si>
  <si>
    <t>U. de Antofagasta</t>
  </si>
  <si>
    <t>U. de Valparaíso</t>
  </si>
  <si>
    <t>U. de Bio Bio</t>
  </si>
  <si>
    <t>U. de Tarapacá</t>
  </si>
  <si>
    <t>U. de la Frontera</t>
  </si>
  <si>
    <t>U. de Talca</t>
  </si>
  <si>
    <t>U. de Santiago</t>
  </si>
  <si>
    <t>UdA-DFI</t>
  </si>
  <si>
    <t>Categoría 2016
(11ene2015)</t>
  </si>
  <si>
    <t>Est. I</t>
  </si>
  <si>
    <t>Est. II</t>
  </si>
  <si>
    <t>Est. III</t>
  </si>
  <si>
    <t>a) Corregido
 (% respecto al maximo de la categoría del grupo)</t>
  </si>
  <si>
    <t>b) Corregido
 (% respecto al maximo de la categoría del grupo)</t>
  </si>
  <si>
    <t>c) Corregido
 (% respecto al maximo de la categoría del grupo)</t>
  </si>
  <si>
    <t>d) Corregido
 (% respecto al maximo de la categoría del grupo)</t>
  </si>
  <si>
    <t>e) Corregido
 (% respecto al maximo de la categoría del grupo)</t>
  </si>
  <si>
    <t>f) Corregido
 (% respecto al maximo de la categoría del grupo)</t>
  </si>
  <si>
    <t>g) Corregido
 (% respecto al maximo de la categoría del grupo)</t>
  </si>
  <si>
    <t>h) Corregido
 (% respecto al maximo de la categoría del grupo)</t>
  </si>
  <si>
    <t>i) Corregido
 (% respecto al maximo de la categoría del grupo)</t>
  </si>
  <si>
    <t>k) Corregido
 (% respecto al maximo de la categoría del grupo)</t>
  </si>
  <si>
    <t>Proporción por Indicadores (por categoría)</t>
  </si>
  <si>
    <t>Solicitud_ pat_nac_2015</t>
  </si>
  <si>
    <t>Acreditación Programas de Doctorado
(web CNA al 05-dic-2016)</t>
  </si>
  <si>
    <t>Monto categoría</t>
  </si>
  <si>
    <t>N°
Individual + Cjto desde 5 años</t>
  </si>
  <si>
    <t>Categoría
Individual + Cjto desde 5 años</t>
  </si>
  <si>
    <t>Publicaciones  
Scopus
(citables)
2015</t>
  </si>
  <si>
    <t>Categoría
Publicaciones  (citables)
2015</t>
  </si>
  <si>
    <t>Exploratorio</t>
  </si>
  <si>
    <t>Publicaciones  (citables)
2015</t>
  </si>
  <si>
    <t>Citas 2015</t>
  </si>
  <si>
    <t>Publicaciones 2011-2015 (citables)</t>
  </si>
  <si>
    <t>Citas 2011_2015</t>
  </si>
  <si>
    <t>JC_2015</t>
  </si>
  <si>
    <t>MAT_2015</t>
  </si>
  <si>
    <t>JCE 2015</t>
  </si>
  <si>
    <t>JCE Doctor 2015</t>
  </si>
  <si>
    <t>JCE Magister 2015</t>
  </si>
  <si>
    <t>JCE Esp. Med._Odont. 2015</t>
  </si>
  <si>
    <t>TOTAL MAT PhD 2011</t>
  </si>
  <si>
    <t>Grad_PhD_2011al_2015</t>
  </si>
  <si>
    <t>MAT_1año_2015(g)</t>
  </si>
  <si>
    <t>Q1_Q2_Q3_MAT_1año_2015</t>
  </si>
  <si>
    <t>MAT_2014_Ret_1er_enMAT_2015</t>
  </si>
  <si>
    <t>MAT_1año_2014(h)</t>
  </si>
  <si>
    <t>MAT_2012_Ret_4to_enMAT_2015</t>
  </si>
  <si>
    <t>MAT_1año_2012(i)</t>
  </si>
  <si>
    <t>Categoría 2017
(04ene2017)</t>
  </si>
  <si>
    <t>Convenio Marco</t>
  </si>
  <si>
    <t>Total</t>
  </si>
  <si>
    <t>Instituciones</t>
  </si>
  <si>
    <t>AFI 2016
M$</t>
  </si>
  <si>
    <t>Elemento Desempeño</t>
  </si>
  <si>
    <t>Reajuste al 2017</t>
  </si>
  <si>
    <t>CM</t>
  </si>
  <si>
    <t>Elemento Mixto</t>
  </si>
  <si>
    <t>Ley de Presupuesto 2017</t>
  </si>
  <si>
    <t>Ley de Presupuesto 2017 (M$)</t>
  </si>
  <si>
    <t>Tutoras
Universidades
M$</t>
  </si>
  <si>
    <t>Tutoras
CFT
M$</t>
  </si>
  <si>
    <t>Categoría 2017</t>
  </si>
  <si>
    <t>Acreditación</t>
  </si>
  <si>
    <t>U. de O'Higgins</t>
  </si>
  <si>
    <t>URO</t>
  </si>
  <si>
    <t>URY</t>
  </si>
  <si>
    <t>TOTAL
MIXTO</t>
  </si>
  <si>
    <t>Monto por IES</t>
  </si>
  <si>
    <t>Monto por iES Redondeado</t>
  </si>
  <si>
    <t>CM 2017</t>
  </si>
  <si>
    <t>CONVENIO MARCO</t>
  </si>
  <si>
    <t>IES</t>
  </si>
  <si>
    <t>U. DE O'HIGGINS</t>
  </si>
  <si>
    <t>U. DE AYSÉN</t>
  </si>
  <si>
    <t xml:space="preserve"> _ 6/30</t>
  </si>
  <si>
    <t xml:space="preserve"> _ 16/30</t>
  </si>
  <si>
    <t xml:space="preserve"> _ 8/30</t>
  </si>
  <si>
    <t>TOTAL Mejoramiento Pedagogía
M$</t>
  </si>
  <si>
    <t>Oferta Pedagogía 
M$</t>
  </si>
  <si>
    <t>Indicadores Pedagogía
M$</t>
  </si>
  <si>
    <t>U. de Chile</t>
  </si>
  <si>
    <t>U. Tecnológica Metropolitana</t>
  </si>
  <si>
    <t>U. de Aysén</t>
  </si>
  <si>
    <t>CATEGORIAS UNIVERSIDADES CM 2017</t>
  </si>
  <si>
    <t>Santiago, enero 2017</t>
  </si>
  <si>
    <t>CM 2016
Nominal
M$</t>
  </si>
  <si>
    <t>% CM 2017</t>
  </si>
  <si>
    <t>TOTAL
Acreditación
(hasta 3 años)</t>
  </si>
  <si>
    <t>(Miles  de pesos nominales)</t>
  </si>
  <si>
    <t>b)  c)  d)</t>
  </si>
  <si>
    <t>d)  e)</t>
  </si>
  <si>
    <t>b)  c)  d) k)</t>
  </si>
  <si>
    <t>K)</t>
  </si>
  <si>
    <t>Matricula Pregrado regular Año 2016</t>
  </si>
  <si>
    <t xml:space="preserve"> % Desempeño</t>
  </si>
  <si>
    <t>5 áreas</t>
  </si>
  <si>
    <t>Investigación</t>
  </si>
  <si>
    <t>Años Acreditación Institucional</t>
  </si>
  <si>
    <t>Cuantas áreas</t>
  </si>
  <si>
    <t>%</t>
  </si>
  <si>
    <t>Puntaje Años Acreditación Institucional</t>
  </si>
  <si>
    <t>Monto Acreditación</t>
  </si>
  <si>
    <t>Nº JC</t>
  </si>
  <si>
    <t>Proporción JC</t>
  </si>
  <si>
    <t>Proporción JC Doctor</t>
  </si>
  <si>
    <t>CONSIDERANDO COMPLEJIDAD COMO
- INVESTIGACIÓN 
- TAMAÑO</t>
  </si>
  <si>
    <t>Proporción Publicaciones</t>
  </si>
  <si>
    <t>Tamaño</t>
  </si>
  <si>
    <t>Proporción Acreditación</t>
  </si>
  <si>
    <t>Proporción Matrícula</t>
  </si>
  <si>
    <t>Monto Publicaciones</t>
  </si>
  <si>
    <t>Monto JC Doctor</t>
  </si>
  <si>
    <t>Monto Matrícula</t>
  </si>
  <si>
    <t>Monto JC</t>
  </si>
  <si>
    <t>MONTO COMPLEJIDAD</t>
  </si>
  <si>
    <t>Proporción PhD</t>
  </si>
  <si>
    <t>Monto PhD Acreditado</t>
  </si>
  <si>
    <t>MONTO COMPLEJIDAD
Sin decimales</t>
  </si>
  <si>
    <t>Puntaje
Acreditación</t>
  </si>
  <si>
    <t>Acreditación al 31 dic 2016</t>
  </si>
  <si>
    <t>% JC</t>
  </si>
  <si>
    <t>% JC Doctorado</t>
  </si>
  <si>
    <t>Nº JC Doctorado</t>
  </si>
  <si>
    <t>Acreditación Programas de Doctorado
(correo CNA al 31-dic-2016)</t>
  </si>
  <si>
    <t>Complejidad</t>
  </si>
  <si>
    <t>Santiago, julio 2017</t>
  </si>
  <si>
    <t>SIES
 11 Mayo 2017</t>
  </si>
  <si>
    <t>SIES
BdD WEB</t>
  </si>
  <si>
    <t>AFI 2016</t>
  </si>
  <si>
    <t>TOTAL 2017</t>
  </si>
  <si>
    <t>Elemento Mejoramiento de las Pedagogías</t>
  </si>
  <si>
    <r>
      <t xml:space="preserve">CM 2017
</t>
    </r>
    <r>
      <rPr>
        <sz val="12"/>
        <rFont val="Calibri"/>
        <family val="2"/>
        <scheme val="minor"/>
      </rPr>
      <t>(M$ sin decimales)</t>
    </r>
  </si>
  <si>
    <t>Total ppto 2017</t>
  </si>
  <si>
    <t>%  año 2016</t>
  </si>
  <si>
    <t>% Saldo respecto a la Universidad</t>
  </si>
  <si>
    <t>Adelanto
(40%)</t>
  </si>
  <si>
    <t>Complejidad
IES
M$</t>
  </si>
  <si>
    <t xml:space="preserve">Nuevas Regionales
</t>
  </si>
  <si>
    <t>Desempeño 2017
M$</t>
  </si>
  <si>
    <t>Saldo</t>
  </si>
  <si>
    <t>AFI 2016
Reajuste 3,0%
M$</t>
  </si>
  <si>
    <t>UdA-DFI, 30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</si>
</sst>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_ ;\-0.0\ "/>
    <numFmt numFmtId="165" formatCode="0.0%"/>
    <numFmt numFmtId="166" formatCode="0.0000000_ ;\-0.0000000\ "/>
    <numFmt numFmtId="167" formatCode="0.000000000_ ;\-0.000000000\ "/>
    <numFmt numFmtId="168" formatCode="0.0000000000_ ;\-0.0000000000\ "/>
    <numFmt numFmtId="169" formatCode="#,##0.0"/>
    <numFmt numFmtId="170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5"/>
      <color rgb="FF0000FF"/>
      <name val="Calibri"/>
      <family val="2"/>
      <scheme val="minor"/>
    </font>
    <font>
      <sz val="10"/>
      <color theme="4" tint="0.59999389629810485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0" tint="-0.499984740745262"/>
      <name val="Calibri"/>
      <family val="2"/>
    </font>
    <font>
      <b/>
      <sz val="10"/>
      <color theme="0" tint="-0.249977111117893"/>
      <name val="Arial"/>
      <family val="2"/>
    </font>
    <font>
      <sz val="12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2A578"/>
        <bgColor indexed="64"/>
      </patternFill>
    </fill>
    <fill>
      <patternFill patternType="solid">
        <fgColor rgb="FFF0E0D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</cellStyleXfs>
  <cellXfs count="267">
    <xf numFmtId="0" fontId="0" fillId="0" borderId="0" xfId="0"/>
    <xf numFmtId="0" fontId="3" fillId="0" borderId="0" xfId="5" applyFont="1"/>
    <xf numFmtId="0" fontId="3" fillId="0" borderId="3" xfId="5" applyFont="1" applyFill="1" applyBorder="1" applyAlignment="1">
      <alignment horizontal="center"/>
    </xf>
    <xf numFmtId="164" fontId="3" fillId="0" borderId="3" xfId="5" applyNumberFormat="1" applyFont="1" applyBorder="1" applyAlignment="1">
      <alignment horizontal="center" vertical="center"/>
    </xf>
    <xf numFmtId="164" fontId="3" fillId="0" borderId="3" xfId="3" applyNumberFormat="1" applyFont="1" applyBorder="1"/>
    <xf numFmtId="0" fontId="6" fillId="0" borderId="0" xfId="5" applyFont="1" applyAlignment="1">
      <alignment vertical="center"/>
    </xf>
    <xf numFmtId="0" fontId="3" fillId="0" borderId="0" xfId="5" applyFont="1" applyAlignment="1">
      <alignment horizontal="center"/>
    </xf>
    <xf numFmtId="0" fontId="3" fillId="0" borderId="0" xfId="5" applyFont="1" applyAlignment="1">
      <alignment vertical="top"/>
    </xf>
    <xf numFmtId="0" fontId="2" fillId="0" borderId="3" xfId="5" applyFont="1" applyFill="1" applyBorder="1" applyAlignment="1">
      <alignment horizontal="center" vertical="top" wrapText="1"/>
    </xf>
    <xf numFmtId="0" fontId="2" fillId="0" borderId="3" xfId="5" applyFont="1" applyFill="1" applyBorder="1" applyAlignment="1">
      <alignment horizontal="center" vertical="top"/>
    </xf>
    <xf numFmtId="2" fontId="3" fillId="0" borderId="3" xfId="5" applyNumberFormat="1" applyFont="1" applyFill="1" applyBorder="1" applyAlignment="1">
      <alignment horizontal="center"/>
    </xf>
    <xf numFmtId="0" fontId="8" fillId="0" borderId="0" xfId="5" applyFont="1" applyAlignment="1">
      <alignment horizontal="center"/>
    </xf>
    <xf numFmtId="0" fontId="3" fillId="0" borderId="0" xfId="5" applyFont="1" applyFill="1"/>
    <xf numFmtId="0" fontId="3" fillId="0" borderId="0" xfId="5" applyFont="1" applyFill="1" applyAlignment="1"/>
    <xf numFmtId="0" fontId="8" fillId="0" borderId="0" xfId="5" applyFont="1" applyFill="1" applyAlignment="1">
      <alignment horizontal="center"/>
    </xf>
    <xf numFmtId="0" fontId="3" fillId="0" borderId="0" xfId="5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5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17" fillId="0" borderId="3" xfId="0" applyFont="1" applyBorder="1" applyAlignment="1">
      <alignment horizontal="center" vertical="center" wrapText="1"/>
    </xf>
    <xf numFmtId="169" fontId="10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18" fillId="0" borderId="0" xfId="0" applyFont="1"/>
    <xf numFmtId="0" fontId="4" fillId="0" borderId="0" xfId="0" applyFont="1"/>
    <xf numFmtId="164" fontId="3" fillId="0" borderId="3" xfId="3" applyNumberFormat="1" applyFont="1" applyBorder="1" applyAlignment="1">
      <alignment horizontal="center"/>
    </xf>
    <xf numFmtId="3" fontId="9" fillId="0" borderId="0" xfId="0" applyNumberFormat="1" applyFont="1"/>
    <xf numFmtId="169" fontId="9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3" fontId="10" fillId="0" borderId="12" xfId="0" applyNumberFormat="1" applyFont="1" applyFill="1" applyBorder="1" applyAlignment="1">
      <alignment vertical="center"/>
    </xf>
    <xf numFmtId="0" fontId="19" fillId="0" borderId="3" xfId="0" applyFont="1" applyBorder="1" applyAlignment="1">
      <alignment horizontal="center"/>
    </xf>
    <xf numFmtId="170" fontId="10" fillId="0" borderId="10" xfId="0" applyNumberFormat="1" applyFont="1" applyFill="1" applyBorder="1" applyAlignment="1">
      <alignment vertical="center"/>
    </xf>
    <xf numFmtId="169" fontId="10" fillId="0" borderId="12" xfId="0" applyNumberFormat="1" applyFont="1" applyFill="1" applyBorder="1" applyAlignment="1">
      <alignment vertical="center"/>
    </xf>
    <xf numFmtId="169" fontId="10" fillId="0" borderId="11" xfId="0" applyNumberFormat="1" applyFont="1" applyFill="1" applyBorder="1" applyAlignment="1">
      <alignment vertical="center"/>
    </xf>
    <xf numFmtId="170" fontId="10" fillId="0" borderId="11" xfId="0" applyNumberFormat="1" applyFont="1" applyFill="1" applyBorder="1" applyAlignment="1">
      <alignment vertical="center"/>
    </xf>
    <xf numFmtId="3" fontId="20" fillId="0" borderId="3" xfId="0" applyNumberFormat="1" applyFont="1" applyFill="1" applyBorder="1" applyAlignment="1">
      <alignment horizontal="center"/>
    </xf>
    <xf numFmtId="169" fontId="10" fillId="0" borderId="10" xfId="0" applyNumberFormat="1" applyFont="1" applyFill="1" applyBorder="1" applyAlignment="1">
      <alignment vertical="center"/>
    </xf>
    <xf numFmtId="169" fontId="9" fillId="0" borderId="3" xfId="0" applyNumberFormat="1" applyFont="1" applyBorder="1" applyAlignment="1">
      <alignment horizontal="right"/>
    </xf>
    <xf numFmtId="169" fontId="9" fillId="0" borderId="0" xfId="0" applyNumberFormat="1" applyFont="1"/>
    <xf numFmtId="17" fontId="9" fillId="0" borderId="0" xfId="0" applyNumberFormat="1" applyFont="1"/>
    <xf numFmtId="3" fontId="3" fillId="0" borderId="3" xfId="5" applyNumberFormat="1" applyFont="1" applyFill="1" applyBorder="1" applyAlignment="1">
      <alignment horizontal="center"/>
    </xf>
    <xf numFmtId="164" fontId="3" fillId="0" borderId="3" xfId="3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11" xfId="0" applyBorder="1"/>
    <xf numFmtId="0" fontId="9" fillId="0" borderId="2" xfId="0" applyFont="1" applyFill="1" applyBorder="1"/>
    <xf numFmtId="0" fontId="7" fillId="0" borderId="5" xfId="0" applyFont="1" applyFill="1" applyBorder="1"/>
    <xf numFmtId="0" fontId="4" fillId="0" borderId="4" xfId="0" applyFont="1" applyFill="1" applyBorder="1"/>
    <xf numFmtId="169" fontId="9" fillId="0" borderId="3" xfId="0" applyNumberFormat="1" applyFont="1" applyFill="1" applyBorder="1"/>
    <xf numFmtId="0" fontId="9" fillId="0" borderId="0" xfId="0" applyFont="1" applyBorder="1"/>
    <xf numFmtId="0" fontId="23" fillId="0" borderId="0" xfId="0" applyFont="1"/>
    <xf numFmtId="0" fontId="7" fillId="0" borderId="0" xfId="0" applyFont="1"/>
    <xf numFmtId="0" fontId="16" fillId="0" borderId="9" xfId="0" applyFont="1" applyBorder="1"/>
    <xf numFmtId="0" fontId="9" fillId="0" borderId="5" xfId="0" applyFont="1" applyBorder="1"/>
    <xf numFmtId="0" fontId="9" fillId="0" borderId="4" xfId="0" applyFont="1" applyBorder="1"/>
    <xf numFmtId="169" fontId="16" fillId="0" borderId="3" xfId="0" applyNumberFormat="1" applyFont="1" applyFill="1" applyBorder="1"/>
    <xf numFmtId="0" fontId="19" fillId="0" borderId="1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Fill="1"/>
    <xf numFmtId="0" fontId="16" fillId="0" borderId="3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vertical="center" wrapText="1"/>
    </xf>
    <xf numFmtId="9" fontId="11" fillId="6" borderId="3" xfId="0" applyNumberFormat="1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24" fillId="0" borderId="0" xfId="5" applyFont="1" applyAlignment="1">
      <alignment vertical="center"/>
    </xf>
    <xf numFmtId="0" fontId="9" fillId="0" borderId="16" xfId="0" applyFont="1" applyBorder="1"/>
    <xf numFmtId="0" fontId="9" fillId="0" borderId="17" xfId="0" applyFont="1" applyBorder="1"/>
    <xf numFmtId="0" fontId="16" fillId="0" borderId="18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16" fillId="0" borderId="21" xfId="0" applyFont="1" applyBorder="1"/>
    <xf numFmtId="0" fontId="9" fillId="0" borderId="0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4" xfId="0" applyFont="1" applyFill="1" applyBorder="1"/>
    <xf numFmtId="0" fontId="9" fillId="0" borderId="25" xfId="0" applyFont="1" applyBorder="1"/>
    <xf numFmtId="0" fontId="0" fillId="0" borderId="12" xfId="0" applyBorder="1"/>
    <xf numFmtId="0" fontId="22" fillId="0" borderId="12" xfId="0" applyFont="1" applyBorder="1"/>
    <xf numFmtId="0" fontId="22" fillId="0" borderId="11" xfId="0" applyFont="1" applyBorder="1"/>
    <xf numFmtId="0" fontId="0" fillId="0" borderId="10" xfId="0" applyBorder="1"/>
    <xf numFmtId="0" fontId="22" fillId="0" borderId="10" xfId="0" applyFont="1" applyBorder="1"/>
    <xf numFmtId="0" fontId="0" fillId="0" borderId="10" xfId="0" applyBorder="1" applyAlignment="1">
      <alignment horizontal="center"/>
    </xf>
    <xf numFmtId="169" fontId="11" fillId="2" borderId="3" xfId="0" applyNumberFormat="1" applyFont="1" applyFill="1" applyBorder="1"/>
    <xf numFmtId="0" fontId="4" fillId="0" borderId="15" xfId="0" applyFont="1" applyBorder="1" applyAlignment="1">
      <alignment horizontal="left" vertical="top"/>
    </xf>
    <xf numFmtId="0" fontId="0" fillId="0" borderId="12" xfId="0" applyBorder="1" applyAlignment="1">
      <alignment horizontal="center"/>
    </xf>
    <xf numFmtId="9" fontId="9" fillId="0" borderId="24" xfId="7" applyFont="1" applyBorder="1"/>
    <xf numFmtId="165" fontId="16" fillId="8" borderId="0" xfId="7" applyNumberFormat="1" applyFont="1" applyFill="1" applyBorder="1"/>
    <xf numFmtId="0" fontId="4" fillId="8" borderId="10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5" applyFont="1" applyFill="1" applyAlignment="1">
      <alignment horizontal="center" vertical="center" wrapText="1"/>
    </xf>
    <xf numFmtId="169" fontId="9" fillId="0" borderId="0" xfId="0" applyNumberFormat="1" applyFont="1" applyBorder="1"/>
    <xf numFmtId="14" fontId="9" fillId="0" borderId="16" xfId="0" applyNumberFormat="1" applyFont="1" applyBorder="1"/>
    <xf numFmtId="0" fontId="17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7" fillId="0" borderId="0" xfId="0" applyFont="1" applyFill="1" applyBorder="1"/>
    <xf numFmtId="0" fontId="16" fillId="0" borderId="0" xfId="0" applyFont="1"/>
    <xf numFmtId="3" fontId="16" fillId="0" borderId="0" xfId="0" applyNumberFormat="1" applyFont="1"/>
    <xf numFmtId="0" fontId="19" fillId="0" borderId="3" xfId="0" applyFont="1" applyFill="1" applyBorder="1"/>
    <xf numFmtId="3" fontId="19" fillId="0" borderId="3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169" fontId="19" fillId="2" borderId="3" xfId="0" applyNumberFormat="1" applyFont="1" applyFill="1" applyBorder="1"/>
    <xf numFmtId="0" fontId="11" fillId="2" borderId="1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/>
    </xf>
    <xf numFmtId="169" fontId="19" fillId="6" borderId="3" xfId="0" applyNumberFormat="1" applyFont="1" applyFill="1" applyBorder="1"/>
    <xf numFmtId="10" fontId="11" fillId="6" borderId="3" xfId="7" applyNumberFormat="1" applyFont="1" applyFill="1" applyBorder="1"/>
    <xf numFmtId="169" fontId="19" fillId="5" borderId="3" xfId="0" applyNumberFormat="1" applyFont="1" applyFill="1" applyBorder="1"/>
    <xf numFmtId="169" fontId="19" fillId="7" borderId="3" xfId="0" applyNumberFormat="1" applyFont="1" applyFill="1" applyBorder="1"/>
    <xf numFmtId="169" fontId="11" fillId="8" borderId="3" xfId="0" applyNumberFormat="1" applyFont="1" applyFill="1" applyBorder="1"/>
    <xf numFmtId="169" fontId="11" fillId="6" borderId="3" xfId="0" applyNumberFormat="1" applyFont="1" applyFill="1" applyBorder="1"/>
    <xf numFmtId="169" fontId="11" fillId="5" borderId="3" xfId="0" applyNumberFormat="1" applyFont="1" applyFill="1" applyBorder="1"/>
    <xf numFmtId="169" fontId="11" fillId="7" borderId="3" xfId="0" applyNumberFormat="1" applyFont="1" applyFill="1" applyBorder="1"/>
    <xf numFmtId="0" fontId="19" fillId="0" borderId="3" xfId="0" applyFont="1" applyBorder="1"/>
    <xf numFmtId="0" fontId="9" fillId="0" borderId="0" xfId="0" applyFont="1" applyBorder="1" applyAlignment="1">
      <alignment horizontal="center" vertical="center"/>
    </xf>
    <xf numFmtId="9" fontId="9" fillId="0" borderId="0" xfId="7" applyFont="1" applyFill="1" applyBorder="1"/>
    <xf numFmtId="0" fontId="16" fillId="9" borderId="3" xfId="0" applyFont="1" applyFill="1" applyBorder="1" applyAlignment="1">
      <alignment horizontal="center" vertical="center" wrapText="1"/>
    </xf>
    <xf numFmtId="165" fontId="9" fillId="10" borderId="3" xfId="7" applyNumberFormat="1" applyFont="1" applyFill="1" applyBorder="1" applyAlignment="1">
      <alignment horizontal="center"/>
    </xf>
    <xf numFmtId="0" fontId="9" fillId="10" borderId="3" xfId="0" applyFont="1" applyFill="1" applyBorder="1"/>
    <xf numFmtId="2" fontId="16" fillId="0" borderId="0" xfId="0" applyNumberFormat="1" applyFont="1"/>
    <xf numFmtId="0" fontId="16" fillId="9" borderId="10" xfId="0" applyFont="1" applyFill="1" applyBorder="1" applyAlignment="1">
      <alignment horizontal="center" vertical="center" wrapText="1"/>
    </xf>
    <xf numFmtId="169" fontId="9" fillId="10" borderId="3" xfId="0" applyNumberFormat="1" applyFont="1" applyFill="1" applyBorder="1"/>
    <xf numFmtId="0" fontId="25" fillId="0" borderId="0" xfId="0" applyFont="1" applyBorder="1" applyAlignment="1">
      <alignment horizontal="center"/>
    </xf>
    <xf numFmtId="17" fontId="9" fillId="0" borderId="0" xfId="0" applyNumberFormat="1" applyFont="1" applyBorder="1"/>
    <xf numFmtId="0" fontId="2" fillId="0" borderId="11" xfId="5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/>
    </xf>
    <xf numFmtId="3" fontId="16" fillId="0" borderId="0" xfId="0" applyNumberFormat="1" applyFont="1" applyBorder="1"/>
    <xf numFmtId="0" fontId="9" fillId="0" borderId="0" xfId="0" applyFont="1" applyAlignment="1">
      <alignment wrapText="1"/>
    </xf>
    <xf numFmtId="17" fontId="9" fillId="0" borderId="3" xfId="0" applyNumberFormat="1" applyFont="1" applyBorder="1"/>
    <xf numFmtId="165" fontId="16" fillId="0" borderId="0" xfId="7" applyNumberFormat="1" applyFont="1"/>
    <xf numFmtId="0" fontId="19" fillId="0" borderId="3" xfId="0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3" fontId="11" fillId="0" borderId="0" xfId="0" applyNumberFormat="1" applyFont="1"/>
    <xf numFmtId="169" fontId="11" fillId="0" borderId="0" xfId="0" applyNumberFormat="1" applyFont="1"/>
    <xf numFmtId="165" fontId="13" fillId="0" borderId="3" xfId="7" applyNumberFormat="1" applyFont="1" applyFill="1" applyBorder="1" applyAlignment="1">
      <alignment horizontal="center"/>
    </xf>
    <xf numFmtId="10" fontId="13" fillId="0" borderId="3" xfId="7" applyNumberFormat="1" applyFont="1" applyFill="1" applyBorder="1" applyAlignment="1">
      <alignment horizontal="center"/>
    </xf>
    <xf numFmtId="165" fontId="17" fillId="0" borderId="0" xfId="7" applyNumberFormat="1" applyFont="1"/>
    <xf numFmtId="0" fontId="17" fillId="0" borderId="3" xfId="5" applyFont="1" applyFill="1" applyBorder="1" applyAlignment="1">
      <alignment horizontal="center" vertical="center" wrapText="1"/>
    </xf>
    <xf numFmtId="4" fontId="17" fillId="0" borderId="0" xfId="0" applyNumberFormat="1" applyFont="1"/>
    <xf numFmtId="0" fontId="2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165" fontId="13" fillId="0" borderId="3" xfId="7" applyNumberFormat="1" applyFont="1" applyBorder="1"/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17" fontId="9" fillId="0" borderId="3" xfId="0" applyNumberFormat="1" applyFont="1" applyBorder="1" applyAlignment="1">
      <alignment wrapText="1"/>
    </xf>
    <xf numFmtId="4" fontId="9" fillId="9" borderId="3" xfId="0" applyNumberFormat="1" applyFont="1" applyFill="1" applyBorder="1" applyAlignment="1">
      <alignment horizontal="center" vertical="center" wrapText="1"/>
    </xf>
    <xf numFmtId="4" fontId="19" fillId="0" borderId="12" xfId="0" applyNumberFormat="1" applyFont="1" applyFill="1" applyBorder="1"/>
    <xf numFmtId="9" fontId="19" fillId="0" borderId="10" xfId="7" applyFont="1" applyFill="1" applyBorder="1" applyAlignment="1"/>
    <xf numFmtId="0" fontId="29" fillId="0" borderId="0" xfId="0" applyFont="1" applyAlignment="1">
      <alignment horizontal="center"/>
    </xf>
    <xf numFmtId="0" fontId="16" fillId="0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0" fillId="0" borderId="29" xfId="0" applyBorder="1" applyAlignment="1">
      <alignment horizontal="center"/>
    </xf>
    <xf numFmtId="0" fontId="2" fillId="0" borderId="3" xfId="5" applyFont="1" applyFill="1" applyBorder="1" applyAlignment="1">
      <alignment vertical="top" wrapText="1"/>
    </xf>
    <xf numFmtId="169" fontId="3" fillId="0" borderId="3" xfId="5" applyNumberFormat="1" applyFont="1" applyFill="1" applyBorder="1"/>
    <xf numFmtId="0" fontId="26" fillId="8" borderId="10" xfId="0" applyFont="1" applyFill="1" applyBorder="1" applyAlignment="1">
      <alignment horizontal="center" vertical="center" wrapText="1"/>
    </xf>
    <xf numFmtId="4" fontId="16" fillId="0" borderId="0" xfId="0" applyNumberFormat="1" applyFont="1"/>
    <xf numFmtId="4" fontId="16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10" fontId="16" fillId="8" borderId="3" xfId="7" applyNumberFormat="1" applyFont="1" applyFill="1" applyBorder="1"/>
    <xf numFmtId="0" fontId="0" fillId="0" borderId="30" xfId="0" applyBorder="1" applyAlignment="1">
      <alignment horizontal="center"/>
    </xf>
    <xf numFmtId="9" fontId="9" fillId="0" borderId="3" xfId="0" applyNumberFormat="1" applyFont="1" applyBorder="1"/>
    <xf numFmtId="4" fontId="9" fillId="0" borderId="3" xfId="0" applyNumberFormat="1" applyFont="1" applyBorder="1"/>
    <xf numFmtId="169" fontId="9" fillId="0" borderId="3" xfId="0" applyNumberFormat="1" applyFont="1" applyBorder="1"/>
    <xf numFmtId="9" fontId="9" fillId="0" borderId="3" xfId="7" applyFont="1" applyBorder="1" applyAlignment="1">
      <alignment horizontal="center"/>
    </xf>
    <xf numFmtId="9" fontId="16" fillId="0" borderId="3" xfId="0" applyNumberFormat="1" applyFont="1" applyBorder="1" applyAlignment="1">
      <alignment horizontal="center" vertical="center"/>
    </xf>
    <xf numFmtId="169" fontId="16" fillId="0" borderId="11" xfId="0" applyNumberFormat="1" applyFont="1" applyFill="1" applyBorder="1"/>
    <xf numFmtId="9" fontId="16" fillId="0" borderId="11" xfId="7" applyFont="1" applyFill="1" applyBorder="1" applyAlignment="1">
      <alignment horizontal="center"/>
    </xf>
    <xf numFmtId="170" fontId="11" fillId="8" borderId="3" xfId="0" applyNumberFormat="1" applyFont="1" applyFill="1" applyBorder="1"/>
    <xf numFmtId="3" fontId="14" fillId="0" borderId="3" xfId="0" applyNumberFormat="1" applyFont="1" applyBorder="1"/>
    <xf numFmtId="3" fontId="14" fillId="0" borderId="0" xfId="0" applyNumberFormat="1" applyFont="1" applyBorder="1"/>
    <xf numFmtId="0" fontId="14" fillId="0" borderId="14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10" xfId="0" applyFont="1" applyFill="1" applyBorder="1" applyAlignment="1">
      <alignment vertical="center" wrapText="1"/>
    </xf>
    <xf numFmtId="0" fontId="0" fillId="11" borderId="7" xfId="0" applyFill="1" applyBorder="1"/>
    <xf numFmtId="0" fontId="0" fillId="11" borderId="8" xfId="0" applyFill="1" applyBorder="1"/>
    <xf numFmtId="169" fontId="0" fillId="11" borderId="14" xfId="0" applyNumberFormat="1" applyFill="1" applyBorder="1"/>
    <xf numFmtId="169" fontId="11" fillId="0" borderId="13" xfId="0" applyNumberFormat="1" applyFont="1" applyBorder="1"/>
    <xf numFmtId="0" fontId="31" fillId="0" borderId="3" xfId="0" applyFont="1" applyFill="1" applyBorder="1"/>
    <xf numFmtId="0" fontId="31" fillId="0" borderId="3" xfId="0" applyFont="1" applyFill="1" applyBorder="1" applyAlignment="1">
      <alignment horizontal="center"/>
    </xf>
    <xf numFmtId="3" fontId="31" fillId="0" borderId="3" xfId="0" applyNumberFormat="1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2" fillId="0" borderId="0" xfId="5" applyFont="1" applyFill="1" applyAlignment="1">
      <alignment horizontal="center" vertical="center" wrapText="1"/>
    </xf>
    <xf numFmtId="166" fontId="11" fillId="0" borderId="0" xfId="5" applyNumberFormat="1" applyFont="1" applyFill="1" applyAlignment="1">
      <alignment vertical="center" wrapText="1"/>
    </xf>
    <xf numFmtId="166" fontId="11" fillId="0" borderId="0" xfId="5" applyNumberFormat="1" applyFont="1" applyFill="1" applyAlignment="1">
      <alignment horizontal="center" vertical="center" wrapText="1"/>
    </xf>
    <xf numFmtId="0" fontId="33" fillId="0" borderId="3" xfId="5" applyFont="1" applyFill="1" applyBorder="1" applyAlignment="1">
      <alignment horizontal="center" vertical="top"/>
    </xf>
    <xf numFmtId="0" fontId="33" fillId="0" borderId="3" xfId="5" applyFont="1" applyFill="1" applyBorder="1" applyAlignment="1">
      <alignment horizontal="center" vertical="top" wrapText="1"/>
    </xf>
    <xf numFmtId="168" fontId="34" fillId="3" borderId="3" xfId="3" applyNumberFormat="1" applyFont="1" applyFill="1" applyBorder="1"/>
    <xf numFmtId="167" fontId="34" fillId="0" borderId="3" xfId="3" applyNumberFormat="1" applyFont="1" applyFill="1" applyBorder="1" applyAlignment="1"/>
    <xf numFmtId="167" fontId="34" fillId="0" borderId="3" xfId="3" applyNumberFormat="1" applyFont="1" applyFill="1" applyBorder="1" applyAlignment="1">
      <alignment horizontal="center"/>
    </xf>
    <xf numFmtId="168" fontId="34" fillId="0" borderId="3" xfId="3" applyNumberFormat="1" applyFont="1" applyFill="1" applyBorder="1"/>
    <xf numFmtId="168" fontId="34" fillId="4" borderId="3" xfId="3" applyNumberFormat="1" applyFont="1" applyFill="1" applyBorder="1"/>
    <xf numFmtId="0" fontId="7" fillId="0" borderId="0" xfId="5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5" applyFont="1" applyFill="1" applyBorder="1" applyAlignment="1">
      <alignment horizontal="left" vertical="top" wrapText="1"/>
    </xf>
    <xf numFmtId="0" fontId="2" fillId="0" borderId="3" xfId="5" applyNumberFormat="1" applyFont="1" applyFill="1" applyBorder="1" applyAlignment="1">
      <alignment horizontal="center" vertical="top" wrapText="1"/>
    </xf>
    <xf numFmtId="0" fontId="2" fillId="0" borderId="3" xfId="5" applyFont="1" applyFill="1" applyBorder="1" applyAlignment="1">
      <alignment vertical="top"/>
    </xf>
    <xf numFmtId="0" fontId="7" fillId="0" borderId="1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top"/>
    </xf>
    <xf numFmtId="0" fontId="3" fillId="0" borderId="3" xfId="5" applyFont="1" applyFill="1" applyBorder="1"/>
    <xf numFmtId="169" fontId="8" fillId="6" borderId="3" xfId="5" applyNumberFormat="1" applyFont="1" applyFill="1" applyBorder="1" applyAlignment="1">
      <alignment horizontal="center"/>
    </xf>
    <xf numFmtId="169" fontId="18" fillId="6" borderId="0" xfId="5" applyNumberFormat="1" applyFont="1" applyFill="1" applyAlignment="1">
      <alignment vertical="center"/>
    </xf>
    <xf numFmtId="0" fontId="3" fillId="6" borderId="3" xfId="5" applyFont="1" applyFill="1" applyBorder="1" applyAlignment="1">
      <alignment vertical="top"/>
    </xf>
    <xf numFmtId="0" fontId="3" fillId="6" borderId="3" xfId="5" applyFont="1" applyFill="1" applyBorder="1"/>
    <xf numFmtId="0" fontId="0" fillId="0" borderId="0" xfId="0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5" fontId="0" fillId="0" borderId="0" xfId="0" applyNumberFormat="1" applyAlignment="1">
      <alignment horizontal="left"/>
    </xf>
    <xf numFmtId="0" fontId="16" fillId="9" borderId="26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6" fillId="9" borderId="2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31" xfId="5" applyFont="1" applyFill="1" applyBorder="1" applyAlignment="1">
      <alignment horizontal="center" vertical="center"/>
    </xf>
    <xf numFmtId="0" fontId="32" fillId="0" borderId="4" xfId="5" applyFont="1" applyFill="1" applyBorder="1" applyAlignment="1">
      <alignment horizontal="center" vertical="center" wrapText="1"/>
    </xf>
    <xf numFmtId="0" fontId="32" fillId="0" borderId="31" xfId="5" applyFont="1" applyFill="1" applyBorder="1" applyAlignment="1">
      <alignment horizontal="center" vertical="center" wrapText="1"/>
    </xf>
    <xf numFmtId="0" fontId="32" fillId="0" borderId="5" xfId="5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169" fontId="9" fillId="0" borderId="12" xfId="0" applyNumberFormat="1" applyFont="1" applyFill="1" applyBorder="1" applyAlignment="1">
      <alignment horizontal="center" vertical="center"/>
    </xf>
    <xf numFmtId="169" fontId="9" fillId="0" borderId="10" xfId="0" applyNumberFormat="1" applyFont="1" applyFill="1" applyBorder="1" applyAlignment="1">
      <alignment horizontal="center" vertical="center"/>
    </xf>
    <xf numFmtId="169" fontId="9" fillId="0" borderId="11" xfId="0" applyNumberFormat="1" applyFont="1" applyFill="1" applyBorder="1" applyAlignment="1">
      <alignment horizontal="center" vertical="center"/>
    </xf>
  </cellXfs>
  <cellStyles count="10">
    <cellStyle name="Millares 2" xfId="3"/>
    <cellStyle name="Millares 2 2" xfId="4"/>
    <cellStyle name="Normal" xfId="0" builtinId="0"/>
    <cellStyle name="Normal 2" xfId="5"/>
    <cellStyle name="Normal 2 2" xfId="1"/>
    <cellStyle name="Normal 3" xfId="8"/>
    <cellStyle name="Normal 3 2" xfId="9"/>
    <cellStyle name="Porcentaje" xfId="7" builtinId="5"/>
    <cellStyle name="Porcentaje 2" xfId="2"/>
    <cellStyle name="Porcentaje 2 2" xfId="6"/>
  </cellStyles>
  <dxfs count="0"/>
  <tableStyles count="0" defaultTableStyle="TableStyleMedium2" defaultPivotStyle="PivotStyleLight16"/>
  <colors>
    <mruColors>
      <color rgb="FFFFFF66"/>
      <color rgb="FF0000FF"/>
      <color rgb="FFFF00FF"/>
      <color rgb="FFF0E0D0"/>
      <color rgb="FFD2A578"/>
      <color rgb="FF996633"/>
      <color rgb="FFFF8205"/>
      <color rgb="FFCC6600"/>
      <color rgb="FFEDE1FF"/>
      <color rgb="FFE1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Relationship Id="rId9" Type="http://schemas.openxmlformats.org/officeDocument/2006/relationships/externalLink" Target="externalLinks/externalLink4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50800</xdr:colOff>
      <xdr:row>0</xdr:row>
      <xdr:rowOff>1917700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1917700"/>
        </a:xfrm>
        <a:prstGeom prst="rect">
          <a:avLst/>
        </a:prstGeom>
      </xdr:spPr>
    </xdr:pic>
    <xdr:clientData/>
  </xdr:twoCellAnchor>
  <xdr:twoCellAnchor editAs="oneCell">
    <xdr:from>
      <xdr:col>13</xdr:col>
      <xdr:colOff>838200</xdr:colOff>
      <xdr:row>0</xdr:row>
      <xdr:rowOff>495300</xdr:rowOff>
    </xdr:from>
    <xdr:to>
      <xdr:col>16</xdr:col>
      <xdr:colOff>165100</xdr:colOff>
      <xdr:row>0</xdr:row>
      <xdr:rowOff>1188439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900" y="495300"/>
          <a:ext cx="2451100" cy="693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Conicyt%202016%20(dic)/BASAL_CRUCH_2016%20(CGG%2027dic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SIES/SIES%202016/Indicadores%20Seguimiento%20Universidades%20Chilenas_A&#241;o%202015%20sin%20i)%20j))%20RRM%2022dic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SIES/SIES%202016/Indicadores%20Seguimiento%20Universidades%20Chilenas_A&#241;o%202015%20i)%20y%20j)%20RRM%2022dic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roxana.acuna/Documents/UDAC%202008/CD%20Basal/Conicyt%202016%20(exploratorio)/BASALES_2016_CRUCH%20(link%20web%2002ago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</sheetNames>
    <sheetDataSet>
      <sheetData sheetId="0">
        <row r="13">
          <cell r="B13" t="str">
            <v>UCH</v>
          </cell>
          <cell r="C13">
            <v>10443</v>
          </cell>
          <cell r="D13">
            <v>61168</v>
          </cell>
        </row>
        <row r="14">
          <cell r="B14" t="str">
            <v>PUC</v>
          </cell>
          <cell r="C14">
            <v>8788</v>
          </cell>
          <cell r="D14">
            <v>68545</v>
          </cell>
        </row>
        <row r="15">
          <cell r="B15" t="str">
            <v>UCO</v>
          </cell>
          <cell r="C15">
            <v>4558</v>
          </cell>
          <cell r="D15">
            <v>24135</v>
          </cell>
        </row>
        <row r="16">
          <cell r="B16" t="str">
            <v>FSM</v>
          </cell>
          <cell r="C16">
            <v>2326</v>
          </cell>
          <cell r="D16">
            <v>23322</v>
          </cell>
        </row>
        <row r="17">
          <cell r="B17" t="str">
            <v>USA</v>
          </cell>
          <cell r="C17">
            <v>2232</v>
          </cell>
          <cell r="D17">
            <v>9572</v>
          </cell>
        </row>
        <row r="18">
          <cell r="B18" t="str">
            <v>AUS</v>
          </cell>
          <cell r="C18">
            <v>2124</v>
          </cell>
          <cell r="D18">
            <v>10927</v>
          </cell>
        </row>
        <row r="19">
          <cell r="B19" t="str">
            <v>UCV</v>
          </cell>
          <cell r="C19">
            <v>1890</v>
          </cell>
          <cell r="D19">
            <v>6917</v>
          </cell>
        </row>
        <row r="20">
          <cell r="B20" t="str">
            <v>FRO</v>
          </cell>
          <cell r="C20">
            <v>1655</v>
          </cell>
          <cell r="D20">
            <v>8512</v>
          </cell>
        </row>
        <row r="21">
          <cell r="B21" t="str">
            <v>UVA</v>
          </cell>
          <cell r="C21">
            <v>1446</v>
          </cell>
          <cell r="D21">
            <v>9149</v>
          </cell>
        </row>
        <row r="22">
          <cell r="B22" t="str">
            <v>UCN</v>
          </cell>
          <cell r="C22">
            <v>1352</v>
          </cell>
          <cell r="D22">
            <v>5338</v>
          </cell>
        </row>
        <row r="23">
          <cell r="B23" t="str">
            <v>TAL</v>
          </cell>
          <cell r="C23">
            <v>1326</v>
          </cell>
          <cell r="D23">
            <v>4053</v>
          </cell>
        </row>
        <row r="24">
          <cell r="B24" t="str">
            <v>UTA</v>
          </cell>
          <cell r="C24">
            <v>820</v>
          </cell>
          <cell r="D24">
            <v>2919</v>
          </cell>
        </row>
        <row r="25">
          <cell r="B25" t="str">
            <v>UBB</v>
          </cell>
          <cell r="C25">
            <v>734</v>
          </cell>
          <cell r="D25">
            <v>2251</v>
          </cell>
        </row>
        <row r="26">
          <cell r="B26" t="str">
            <v>ANT</v>
          </cell>
          <cell r="C26">
            <v>596</v>
          </cell>
          <cell r="D26">
            <v>2340</v>
          </cell>
        </row>
        <row r="27">
          <cell r="B27" t="str">
            <v>ULS</v>
          </cell>
          <cell r="C27">
            <v>526</v>
          </cell>
          <cell r="D27">
            <v>3273</v>
          </cell>
        </row>
        <row r="28">
          <cell r="B28" t="str">
            <v>UCT</v>
          </cell>
          <cell r="C28">
            <v>455</v>
          </cell>
          <cell r="D28">
            <v>976</v>
          </cell>
        </row>
        <row r="29">
          <cell r="B29" t="str">
            <v>UCM</v>
          </cell>
          <cell r="C29">
            <v>332</v>
          </cell>
          <cell r="D29">
            <v>922</v>
          </cell>
        </row>
        <row r="30">
          <cell r="B30" t="str">
            <v>USC</v>
          </cell>
          <cell r="C30">
            <v>326</v>
          </cell>
          <cell r="D30">
            <v>790</v>
          </cell>
        </row>
        <row r="31">
          <cell r="B31" t="str">
            <v>ULA</v>
          </cell>
          <cell r="C31">
            <v>311</v>
          </cell>
          <cell r="D31">
            <v>939</v>
          </cell>
        </row>
        <row r="32">
          <cell r="B32" t="str">
            <v>MAG</v>
          </cell>
          <cell r="C32">
            <v>268</v>
          </cell>
          <cell r="D32">
            <v>806</v>
          </cell>
        </row>
        <row r="33">
          <cell r="B33" t="str">
            <v>UAP</v>
          </cell>
          <cell r="C33">
            <v>264</v>
          </cell>
          <cell r="D33">
            <v>1165</v>
          </cell>
        </row>
        <row r="34">
          <cell r="B34" t="str">
            <v>UPA</v>
          </cell>
          <cell r="C34">
            <v>245</v>
          </cell>
          <cell r="D34">
            <v>401</v>
          </cell>
        </row>
        <row r="35">
          <cell r="B35" t="str">
            <v>UMC</v>
          </cell>
          <cell r="C35">
            <v>117</v>
          </cell>
          <cell r="D35">
            <v>341</v>
          </cell>
        </row>
        <row r="36">
          <cell r="B36" t="str">
            <v>ATA</v>
          </cell>
          <cell r="C36">
            <v>116</v>
          </cell>
          <cell r="D36">
            <v>331</v>
          </cell>
        </row>
        <row r="37">
          <cell r="B37" t="str">
            <v>UTM</v>
          </cell>
          <cell r="C37">
            <v>63</v>
          </cell>
          <cell r="D37">
            <v>301</v>
          </cell>
        </row>
        <row r="44">
          <cell r="B44" t="str">
            <v>UCH</v>
          </cell>
          <cell r="C44">
            <v>2369</v>
          </cell>
          <cell r="D44">
            <v>3206</v>
          </cell>
        </row>
        <row r="45">
          <cell r="B45" t="str">
            <v>PUC</v>
          </cell>
          <cell r="C45">
            <v>1851</v>
          </cell>
          <cell r="D45">
            <v>3146</v>
          </cell>
        </row>
        <row r="46">
          <cell r="B46" t="str">
            <v>UCO</v>
          </cell>
          <cell r="C46">
            <v>946</v>
          </cell>
          <cell r="D46">
            <v>1115</v>
          </cell>
        </row>
        <row r="47">
          <cell r="B47" t="str">
            <v>FSM</v>
          </cell>
          <cell r="C47">
            <v>495</v>
          </cell>
          <cell r="D47">
            <v>1053</v>
          </cell>
        </row>
        <row r="48">
          <cell r="B48" t="str">
            <v>UCV</v>
          </cell>
          <cell r="C48">
            <v>484</v>
          </cell>
          <cell r="D48">
            <v>407</v>
          </cell>
        </row>
        <row r="49">
          <cell r="B49" t="str">
            <v>USA</v>
          </cell>
          <cell r="C49">
            <v>475</v>
          </cell>
          <cell r="D49">
            <v>419</v>
          </cell>
        </row>
        <row r="50">
          <cell r="B50" t="str">
            <v>AUS</v>
          </cell>
          <cell r="C50">
            <v>460</v>
          </cell>
          <cell r="D50">
            <v>429</v>
          </cell>
        </row>
        <row r="51">
          <cell r="B51" t="str">
            <v>FRO</v>
          </cell>
          <cell r="C51">
            <v>408</v>
          </cell>
          <cell r="D51">
            <v>381</v>
          </cell>
        </row>
        <row r="52">
          <cell r="B52" t="str">
            <v>TAL</v>
          </cell>
          <cell r="C52">
            <v>342</v>
          </cell>
          <cell r="D52">
            <v>241</v>
          </cell>
        </row>
        <row r="53">
          <cell r="B53" t="str">
            <v>UVA</v>
          </cell>
          <cell r="C53">
            <v>341</v>
          </cell>
          <cell r="D53">
            <v>458</v>
          </cell>
        </row>
        <row r="54">
          <cell r="B54" t="str">
            <v>UCN</v>
          </cell>
          <cell r="C54">
            <v>312</v>
          </cell>
          <cell r="D54">
            <v>293</v>
          </cell>
        </row>
        <row r="55">
          <cell r="B55" t="str">
            <v>UTA</v>
          </cell>
          <cell r="C55">
            <v>189</v>
          </cell>
          <cell r="D55">
            <v>232</v>
          </cell>
        </row>
        <row r="56">
          <cell r="B56" t="str">
            <v>UBB</v>
          </cell>
          <cell r="C56">
            <v>171</v>
          </cell>
          <cell r="D56">
            <v>100</v>
          </cell>
        </row>
        <row r="57">
          <cell r="B57" t="str">
            <v>ANT</v>
          </cell>
          <cell r="C57">
            <v>147</v>
          </cell>
          <cell r="D57">
            <v>210</v>
          </cell>
        </row>
        <row r="58">
          <cell r="B58" t="str">
            <v>UPA</v>
          </cell>
          <cell r="C58">
            <v>111</v>
          </cell>
          <cell r="D58">
            <v>49</v>
          </cell>
        </row>
        <row r="59">
          <cell r="B59" t="str">
            <v>ULS</v>
          </cell>
          <cell r="C59">
            <v>110</v>
          </cell>
          <cell r="D59">
            <v>109</v>
          </cell>
        </row>
        <row r="60">
          <cell r="B60" t="str">
            <v>UCT</v>
          </cell>
          <cell r="C60">
            <v>109</v>
          </cell>
          <cell r="D60">
            <v>64</v>
          </cell>
        </row>
        <row r="61">
          <cell r="B61" t="str">
            <v>ULA</v>
          </cell>
          <cell r="C61">
            <v>81</v>
          </cell>
          <cell r="D61">
            <v>51</v>
          </cell>
        </row>
        <row r="62">
          <cell r="B62" t="str">
            <v>USC</v>
          </cell>
          <cell r="C62">
            <v>80</v>
          </cell>
          <cell r="D62">
            <v>32</v>
          </cell>
        </row>
        <row r="63">
          <cell r="B63" t="str">
            <v>MAG</v>
          </cell>
          <cell r="C63">
            <v>77</v>
          </cell>
          <cell r="D63">
            <v>64</v>
          </cell>
        </row>
        <row r="64">
          <cell r="B64" t="str">
            <v>UCM</v>
          </cell>
          <cell r="C64">
            <v>66</v>
          </cell>
          <cell r="D64">
            <v>15</v>
          </cell>
        </row>
        <row r="65">
          <cell r="B65" t="str">
            <v>UAP</v>
          </cell>
          <cell r="C65">
            <v>55</v>
          </cell>
          <cell r="D65">
            <v>43</v>
          </cell>
        </row>
        <row r="66">
          <cell r="B66" t="str">
            <v>UMC</v>
          </cell>
          <cell r="C66">
            <v>33</v>
          </cell>
          <cell r="D66">
            <v>26</v>
          </cell>
        </row>
        <row r="67">
          <cell r="B67" t="str">
            <v>ATA</v>
          </cell>
          <cell r="C67">
            <v>26</v>
          </cell>
          <cell r="D67">
            <v>16</v>
          </cell>
        </row>
        <row r="68">
          <cell r="B68" t="str">
            <v>UTM</v>
          </cell>
          <cell r="C68">
            <v>17</v>
          </cell>
          <cell r="D6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a)"/>
      <sheetName val="Indicador b)"/>
      <sheetName val="Indicador b.1)"/>
      <sheetName val="Indicador c)"/>
      <sheetName val="Indicador c.1)"/>
      <sheetName val="Ind g) 2016 con QUINTIL PERFIL"/>
      <sheetName val="Indicador h)"/>
      <sheetName val="Indicador i. 1)"/>
    </sheetNames>
    <sheetDataSet>
      <sheetData sheetId="0">
        <row r="2">
          <cell r="C2" t="str">
            <v>U. GABRIELA MISTRAL</v>
          </cell>
          <cell r="D2" t="str">
            <v>UGM</v>
          </cell>
          <cell r="E2" t="str">
            <v>U. Privada</v>
          </cell>
          <cell r="F2">
            <v>18</v>
          </cell>
          <cell r="G2">
            <v>1113</v>
          </cell>
          <cell r="H2">
            <v>1.6172506738544474</v>
          </cell>
        </row>
        <row r="3">
          <cell r="C3" t="str">
            <v>U. FINIS TERRAE</v>
          </cell>
          <cell r="D3" t="str">
            <v>UFT</v>
          </cell>
          <cell r="E3" t="str">
            <v>U. Privada</v>
          </cell>
          <cell r="F3">
            <v>100</v>
          </cell>
          <cell r="G3">
            <v>6912</v>
          </cell>
          <cell r="H3">
            <v>1.4467592592592591</v>
          </cell>
        </row>
        <row r="4">
          <cell r="C4" t="str">
            <v>U. DIEGO PORTALES</v>
          </cell>
          <cell r="D4" t="str">
            <v>UDP</v>
          </cell>
          <cell r="E4" t="str">
            <v>U. Privada</v>
          </cell>
          <cell r="F4">
            <v>327</v>
          </cell>
          <cell r="G4">
            <v>16372</v>
          </cell>
          <cell r="H4">
            <v>1.997312484730027</v>
          </cell>
        </row>
        <row r="5">
          <cell r="C5" t="str">
            <v>U. CENTRAL</v>
          </cell>
          <cell r="D5" t="str">
            <v>UCE</v>
          </cell>
          <cell r="E5" t="str">
            <v>U. Privada</v>
          </cell>
          <cell r="F5">
            <v>207</v>
          </cell>
          <cell r="G5">
            <v>13069</v>
          </cell>
          <cell r="H5">
            <v>1.5839008340347387</v>
          </cell>
        </row>
        <row r="6">
          <cell r="C6" t="str">
            <v>U. BOLIVARIANA</v>
          </cell>
          <cell r="D6" t="str">
            <v>UBL</v>
          </cell>
          <cell r="E6" t="str">
            <v>U. Privada</v>
          </cell>
          <cell r="F6">
            <v>58</v>
          </cell>
          <cell r="G6">
            <v>4814</v>
          </cell>
          <cell r="H6">
            <v>1.2048192771084336</v>
          </cell>
        </row>
        <row r="7">
          <cell r="C7" t="str">
            <v>U. PEDRO DE VALDIVIA</v>
          </cell>
          <cell r="D7" t="str">
            <v>UPV</v>
          </cell>
          <cell r="E7" t="str">
            <v>U. Privada</v>
          </cell>
          <cell r="F7">
            <v>7</v>
          </cell>
          <cell r="G7">
            <v>7161</v>
          </cell>
          <cell r="H7">
            <v>9.7751710654936458E-2</v>
          </cell>
        </row>
        <row r="8">
          <cell r="C8" t="str">
            <v>U. MAYOR</v>
          </cell>
          <cell r="D8" t="str">
            <v>UMA</v>
          </cell>
          <cell r="E8" t="str">
            <v>U. Privada</v>
          </cell>
          <cell r="F8">
            <v>351</v>
          </cell>
          <cell r="G8">
            <v>21482</v>
          </cell>
          <cell r="H8">
            <v>1.6339260776464017</v>
          </cell>
        </row>
        <row r="9">
          <cell r="C9" t="str">
            <v>U. ACADEMIA HUMANISMO CRISTIANO</v>
          </cell>
          <cell r="D9" t="str">
            <v>AHC</v>
          </cell>
          <cell r="E9" t="str">
            <v>U. Privada</v>
          </cell>
          <cell r="F9">
            <v>46</v>
          </cell>
          <cell r="G9">
            <v>3627</v>
          </cell>
          <cell r="H9">
            <v>1.2682657843948166</v>
          </cell>
        </row>
        <row r="10">
          <cell r="C10" t="str">
            <v>U. SANTO TOMÁS</v>
          </cell>
          <cell r="D10" t="str">
            <v>UST</v>
          </cell>
          <cell r="E10" t="str">
            <v>U. Privada</v>
          </cell>
          <cell r="F10">
            <v>440</v>
          </cell>
          <cell r="G10">
            <v>29871</v>
          </cell>
          <cell r="H10">
            <v>1.4730005691138564</v>
          </cell>
        </row>
        <row r="11">
          <cell r="C11" t="str">
            <v>U. LA REPÚBLICA</v>
          </cell>
          <cell r="D11" t="str">
            <v>ULR</v>
          </cell>
          <cell r="E11" t="str">
            <v>U. Privada</v>
          </cell>
          <cell r="F11">
            <v>166</v>
          </cell>
          <cell r="G11">
            <v>4433</v>
          </cell>
          <cell r="H11">
            <v>3.744642454319874</v>
          </cell>
        </row>
        <row r="12">
          <cell r="C12" t="str">
            <v>U. INTERNACIONAL SEK</v>
          </cell>
          <cell r="D12" t="str">
            <v>USK</v>
          </cell>
          <cell r="E12" t="str">
            <v>U. Privada</v>
          </cell>
          <cell r="F12">
            <v>57</v>
          </cell>
          <cell r="G12">
            <v>4422</v>
          </cell>
          <cell r="H12">
            <v>1.289009497964722</v>
          </cell>
        </row>
        <row r="13">
          <cell r="C13" t="str">
            <v>U. DE LAS AMÉRICAS</v>
          </cell>
          <cell r="D13" t="str">
            <v>UAM</v>
          </cell>
          <cell r="E13" t="str">
            <v>U. Privada</v>
          </cell>
          <cell r="F13">
            <v>505</v>
          </cell>
          <cell r="G13">
            <v>26407</v>
          </cell>
          <cell r="H13">
            <v>1.9123717196197978</v>
          </cell>
        </row>
        <row r="14">
          <cell r="C14" t="str">
            <v>U. ANDRÉS BELLO</v>
          </cell>
          <cell r="D14" t="str">
            <v>UAB</v>
          </cell>
          <cell r="E14" t="str">
            <v>U. Privada</v>
          </cell>
          <cell r="F14">
            <v>786</v>
          </cell>
          <cell r="G14">
            <v>47159</v>
          </cell>
          <cell r="H14">
            <v>1.6667020081002566</v>
          </cell>
        </row>
        <row r="15">
          <cell r="C15" t="str">
            <v>U. DE VIÑA DEL MAR</v>
          </cell>
          <cell r="D15" t="str">
            <v>UVM</v>
          </cell>
          <cell r="E15" t="str">
            <v>U. Privada</v>
          </cell>
          <cell r="F15">
            <v>182</v>
          </cell>
          <cell r="G15">
            <v>8403</v>
          </cell>
          <cell r="H15">
            <v>2.1658931334047362</v>
          </cell>
        </row>
        <row r="16">
          <cell r="C16" t="str">
            <v>U. ADOLFO IBAÑEZ</v>
          </cell>
          <cell r="D16" t="str">
            <v>UAI</v>
          </cell>
          <cell r="E16" t="str">
            <v>U. Privada</v>
          </cell>
          <cell r="F16">
            <v>260</v>
          </cell>
          <cell r="G16">
            <v>10691</v>
          </cell>
          <cell r="H16">
            <v>2.4319521092507719</v>
          </cell>
        </row>
        <row r="17">
          <cell r="C17" t="str">
            <v>U. IBEROAMERICANA DE CS. Y TECNOLOGÍA UNICYT</v>
          </cell>
          <cell r="D17" t="str">
            <v>UIB</v>
          </cell>
          <cell r="E17" t="str">
            <v>U. Privada</v>
          </cell>
          <cell r="F17">
            <v>62</v>
          </cell>
          <cell r="G17">
            <v>3197</v>
          </cell>
          <cell r="H17">
            <v>1.9393181107288082</v>
          </cell>
        </row>
        <row r="18">
          <cell r="C18" t="str">
            <v>U. DE ARTES, CS. Y COMUNICACIÓN UNIACC</v>
          </cell>
          <cell r="D18" t="str">
            <v>UCC</v>
          </cell>
          <cell r="E18" t="str">
            <v>U. Privada</v>
          </cell>
          <cell r="F18">
            <v>0</v>
          </cell>
          <cell r="G18">
            <v>3718</v>
          </cell>
          <cell r="H18">
            <v>0</v>
          </cell>
        </row>
        <row r="19">
          <cell r="C19" t="str">
            <v>U. DEL MAR</v>
          </cell>
          <cell r="D19" t="str">
            <v>UDM</v>
          </cell>
          <cell r="E19" t="str">
            <v>U. Privada</v>
          </cell>
          <cell r="F19">
            <v>8</v>
          </cell>
          <cell r="G19">
            <v>400</v>
          </cell>
          <cell r="H19">
            <v>2</v>
          </cell>
        </row>
        <row r="20">
          <cell r="C20" t="str">
            <v>U.  UCINF</v>
          </cell>
          <cell r="D20" t="str">
            <v>UCI</v>
          </cell>
          <cell r="E20" t="str">
            <v>U. Privada</v>
          </cell>
          <cell r="F20">
            <v>13</v>
          </cell>
          <cell r="G20">
            <v>3118</v>
          </cell>
          <cell r="H20">
            <v>0.41693393200769724</v>
          </cell>
        </row>
        <row r="21">
          <cell r="C21" t="str">
            <v>U. AUTÓNOMA DE CHILE</v>
          </cell>
          <cell r="D21" t="str">
            <v>UAU</v>
          </cell>
          <cell r="E21" t="str">
            <v>U. Privada</v>
          </cell>
          <cell r="F21">
            <v>455</v>
          </cell>
          <cell r="G21">
            <v>20563</v>
          </cell>
          <cell r="H21">
            <v>2.2127121528959783</v>
          </cell>
        </row>
        <row r="22">
          <cell r="C22" t="str">
            <v>U. DE LOS ANDES</v>
          </cell>
          <cell r="D22" t="str">
            <v>UAN</v>
          </cell>
          <cell r="E22" t="str">
            <v>U. Privada</v>
          </cell>
          <cell r="F22">
            <v>190</v>
          </cell>
          <cell r="G22">
            <v>8292</v>
          </cell>
          <cell r="H22">
            <v>2.2913651712493968</v>
          </cell>
        </row>
        <row r="23">
          <cell r="C23" t="str">
            <v>U. ADVENTISTA</v>
          </cell>
          <cell r="D23" t="str">
            <v>UAC</v>
          </cell>
          <cell r="E23" t="str">
            <v>U. Privada</v>
          </cell>
          <cell r="F23">
            <v>78</v>
          </cell>
          <cell r="G23">
            <v>1955</v>
          </cell>
          <cell r="H23">
            <v>3.9897698209718668</v>
          </cell>
        </row>
        <row r="24">
          <cell r="C24" t="str">
            <v>U. SAN SEBASTIÁN</v>
          </cell>
          <cell r="D24" t="str">
            <v>USS</v>
          </cell>
          <cell r="E24" t="str">
            <v>U. Privada</v>
          </cell>
          <cell r="F24">
            <v>767</v>
          </cell>
          <cell r="G24">
            <v>28517</v>
          </cell>
          <cell r="H24">
            <v>2.6896237332117683</v>
          </cell>
        </row>
        <row r="25">
          <cell r="C25" t="str">
            <v>U. DE ARTES Y CS. SOCIALES ARCIS</v>
          </cell>
          <cell r="D25" t="str">
            <v>UAR</v>
          </cell>
          <cell r="E25" t="str">
            <v>U. Privada</v>
          </cell>
          <cell r="F25">
            <v>21</v>
          </cell>
          <cell r="G25">
            <v>1120</v>
          </cell>
          <cell r="H25">
            <v>1.8750000000000002</v>
          </cell>
        </row>
        <row r="26">
          <cell r="C26" t="str">
            <v>U. C. SILVA HENRÍQUEZ</v>
          </cell>
          <cell r="D26" t="str">
            <v>UCS</v>
          </cell>
          <cell r="E26" t="str">
            <v>U. Privada</v>
          </cell>
          <cell r="F26">
            <v>114</v>
          </cell>
          <cell r="G26">
            <v>5551</v>
          </cell>
          <cell r="H26">
            <v>2.0536840208971356</v>
          </cell>
        </row>
        <row r="27">
          <cell r="C27" t="str">
            <v>U. DEL DESARROLLO</v>
          </cell>
          <cell r="D27" t="str">
            <v>UDD</v>
          </cell>
          <cell r="E27" t="str">
            <v>U. Privada</v>
          </cell>
          <cell r="F27">
            <v>328</v>
          </cell>
          <cell r="G27">
            <v>16425</v>
          </cell>
          <cell r="H27">
            <v>1.9969558599695585</v>
          </cell>
        </row>
        <row r="28">
          <cell r="C28" t="str">
            <v>U. DE ACONCAGUA</v>
          </cell>
          <cell r="D28" t="e">
            <v>#N/A</v>
          </cell>
          <cell r="E28" t="str">
            <v>U. Privada</v>
          </cell>
          <cell r="F28">
            <v>38</v>
          </cell>
          <cell r="G28">
            <v>8840</v>
          </cell>
          <cell r="H28">
            <v>0.42986425339366513</v>
          </cell>
        </row>
        <row r="29">
          <cell r="C29" t="str">
            <v>U. DEL PACÍFICO</v>
          </cell>
          <cell r="D29" t="str">
            <v>UPO</v>
          </cell>
          <cell r="E29" t="str">
            <v>U. Privada</v>
          </cell>
          <cell r="F29">
            <v>78</v>
          </cell>
          <cell r="G29">
            <v>4507</v>
          </cell>
          <cell r="H29">
            <v>1.7306412247614822</v>
          </cell>
        </row>
        <row r="30">
          <cell r="C30" t="str">
            <v>U. LOS LEONES</v>
          </cell>
          <cell r="D30" t="e">
            <v>#N/A</v>
          </cell>
          <cell r="E30" t="str">
            <v>U. Privada</v>
          </cell>
          <cell r="F30">
            <v>7</v>
          </cell>
          <cell r="G30">
            <v>2135</v>
          </cell>
          <cell r="H30">
            <v>0.32786885245901637</v>
          </cell>
        </row>
        <row r="31">
          <cell r="C31" t="str">
            <v>U. BERNARDO O'HIGGINS</v>
          </cell>
          <cell r="D31" t="str">
            <v>UBO</v>
          </cell>
          <cell r="E31" t="str">
            <v>U. Privada</v>
          </cell>
          <cell r="F31">
            <v>110</v>
          </cell>
          <cell r="G31">
            <v>4920</v>
          </cell>
          <cell r="H31">
            <v>2.2357723577235773</v>
          </cell>
        </row>
        <row r="32">
          <cell r="C32" t="str">
            <v>U. TECNOLOGICA INACAP</v>
          </cell>
          <cell r="D32" t="str">
            <v>UTC</v>
          </cell>
          <cell r="E32" t="str">
            <v>U. Privada</v>
          </cell>
          <cell r="F32">
            <v>119</v>
          </cell>
          <cell r="G32">
            <v>34964</v>
          </cell>
          <cell r="H32">
            <v>0.34035007436220116</v>
          </cell>
        </row>
        <row r="33">
          <cell r="C33" t="str">
            <v>U. MIGUEL DE CERVANTES</v>
          </cell>
          <cell r="D33" t="e">
            <v>#N/A</v>
          </cell>
          <cell r="E33" t="str">
            <v>U. Privada</v>
          </cell>
          <cell r="F33">
            <v>15</v>
          </cell>
          <cell r="G33">
            <v>1951</v>
          </cell>
          <cell r="H33">
            <v>0.76883649410558685</v>
          </cell>
        </row>
        <row r="34">
          <cell r="C34" t="str">
            <v>U. ALBERTO HURTADO</v>
          </cell>
          <cell r="D34" t="str">
            <v>UAH</v>
          </cell>
          <cell r="E34" t="str">
            <v>U. Privada</v>
          </cell>
          <cell r="F34">
            <v>136</v>
          </cell>
          <cell r="G34">
            <v>6694</v>
          </cell>
          <cell r="H34">
            <v>2.0316701523752614</v>
          </cell>
        </row>
        <row r="35">
          <cell r="C35" t="str">
            <v>U. DE CHILE</v>
          </cell>
          <cell r="D35" t="str">
            <v>UCH</v>
          </cell>
          <cell r="E35" t="str">
            <v>CRUCH Est.</v>
          </cell>
          <cell r="F35">
            <v>1509</v>
          </cell>
          <cell r="G35">
            <v>38234</v>
          </cell>
          <cell r="H35">
            <v>3.9467489668881104</v>
          </cell>
        </row>
        <row r="36">
          <cell r="C36" t="str">
            <v>U. DE SANTIAGO</v>
          </cell>
          <cell r="D36" t="str">
            <v>USA</v>
          </cell>
          <cell r="E36" t="str">
            <v>CRUCH Est.</v>
          </cell>
          <cell r="F36">
            <v>577</v>
          </cell>
          <cell r="G36">
            <v>23450</v>
          </cell>
          <cell r="H36">
            <v>2.4605543710021323</v>
          </cell>
        </row>
        <row r="37">
          <cell r="C37" t="str">
            <v>U. DE VALPARAÍSO</v>
          </cell>
          <cell r="D37" t="str">
            <v>UVA</v>
          </cell>
          <cell r="E37" t="str">
            <v>CRUCH Est.</v>
          </cell>
          <cell r="F37">
            <v>543</v>
          </cell>
          <cell r="G37">
            <v>15340</v>
          </cell>
          <cell r="H37">
            <v>3.5397653194263361</v>
          </cell>
        </row>
        <row r="38">
          <cell r="C38" t="str">
            <v>U. DE ANTOFAGASTA</v>
          </cell>
          <cell r="D38" t="str">
            <v>ANT</v>
          </cell>
          <cell r="E38" t="str">
            <v>CRUCH Est.</v>
          </cell>
          <cell r="F38">
            <v>306</v>
          </cell>
          <cell r="G38">
            <v>7628</v>
          </cell>
          <cell r="H38">
            <v>4.0115364446775041</v>
          </cell>
        </row>
        <row r="39">
          <cell r="C39" t="str">
            <v>U. DE LA SERENA</v>
          </cell>
          <cell r="D39" t="str">
            <v>ULS</v>
          </cell>
          <cell r="E39" t="str">
            <v>CRUCH Est.</v>
          </cell>
          <cell r="F39">
            <v>208</v>
          </cell>
          <cell r="G39">
            <v>7112</v>
          </cell>
          <cell r="H39">
            <v>2.9246344206974126</v>
          </cell>
        </row>
        <row r="40">
          <cell r="C40" t="str">
            <v>U. DEL BÍO-BÍO</v>
          </cell>
          <cell r="D40" t="str">
            <v>UBB</v>
          </cell>
          <cell r="E40" t="str">
            <v>CRUCH Est.</v>
          </cell>
          <cell r="F40">
            <v>446</v>
          </cell>
          <cell r="G40">
            <v>12488</v>
          </cell>
          <cell r="H40">
            <v>3.5714285714285716</v>
          </cell>
        </row>
        <row r="41">
          <cell r="C41" t="str">
            <v>U. DE LA FRONTERA</v>
          </cell>
          <cell r="D41" t="str">
            <v>FRO</v>
          </cell>
          <cell r="E41" t="str">
            <v>CRUCH Est.</v>
          </cell>
          <cell r="F41">
            <v>281</v>
          </cell>
          <cell r="G41">
            <v>10139</v>
          </cell>
          <cell r="H41">
            <v>2.7714764769701152</v>
          </cell>
        </row>
        <row r="42">
          <cell r="C42" t="str">
            <v>U. DE MAGALLANES</v>
          </cell>
          <cell r="D42" t="str">
            <v>MAG</v>
          </cell>
          <cell r="E42" t="str">
            <v>CRUCH Est.</v>
          </cell>
          <cell r="F42">
            <v>182</v>
          </cell>
          <cell r="G42">
            <v>4278</v>
          </cell>
          <cell r="H42">
            <v>4.2543244506778866</v>
          </cell>
        </row>
        <row r="43">
          <cell r="C43" t="str">
            <v>U. DE TALCA</v>
          </cell>
          <cell r="D43" t="str">
            <v>TAL</v>
          </cell>
          <cell r="E43" t="str">
            <v>CRUCH Est.</v>
          </cell>
          <cell r="F43">
            <v>336</v>
          </cell>
          <cell r="G43">
            <v>10518</v>
          </cell>
          <cell r="H43">
            <v>3.1945236737022245</v>
          </cell>
        </row>
        <row r="44">
          <cell r="C44" t="str">
            <v>U. DE ATACAMA</v>
          </cell>
          <cell r="D44" t="str">
            <v>ATA</v>
          </cell>
          <cell r="E44" t="str">
            <v>CRUCH Est.</v>
          </cell>
          <cell r="F44">
            <v>200</v>
          </cell>
          <cell r="G44">
            <v>4352</v>
          </cell>
          <cell r="H44">
            <v>4.5955882352941178</v>
          </cell>
        </row>
        <row r="45">
          <cell r="C45" t="str">
            <v>U. DE TARAPACÁ</v>
          </cell>
          <cell r="D45" t="str">
            <v>UTA</v>
          </cell>
          <cell r="E45" t="str">
            <v>CRUCH Est.</v>
          </cell>
          <cell r="F45">
            <v>323</v>
          </cell>
          <cell r="G45">
            <v>8780</v>
          </cell>
          <cell r="H45">
            <v>3.6788154897494305</v>
          </cell>
        </row>
        <row r="46">
          <cell r="C46" t="str">
            <v>U. ARTURO PRAT</v>
          </cell>
          <cell r="D46" t="str">
            <v>UAP</v>
          </cell>
          <cell r="E46" t="str">
            <v>CRUCH Est.</v>
          </cell>
          <cell r="F46">
            <v>233</v>
          </cell>
          <cell r="G46">
            <v>14002</v>
          </cell>
          <cell r="H46">
            <v>1.6640479931438366</v>
          </cell>
        </row>
        <row r="47">
          <cell r="C47" t="str">
            <v>U. METROPOLITANA DE CS. DE LA ED.</v>
          </cell>
          <cell r="D47" t="str">
            <v>UMC</v>
          </cell>
          <cell r="E47" t="str">
            <v>CRUCH Est.</v>
          </cell>
          <cell r="F47">
            <v>225</v>
          </cell>
          <cell r="G47">
            <v>4961</v>
          </cell>
          <cell r="H47">
            <v>4.5353759322717195</v>
          </cell>
        </row>
        <row r="48">
          <cell r="C48" t="str">
            <v>U. DE PLAYA ANCHA DE CS. DE LA ED.</v>
          </cell>
          <cell r="D48" t="str">
            <v>UPA</v>
          </cell>
          <cell r="E48" t="str">
            <v>CRUCH Est.</v>
          </cell>
          <cell r="F48">
            <v>297</v>
          </cell>
          <cell r="G48">
            <v>8740</v>
          </cell>
          <cell r="H48">
            <v>3.3981693363844392</v>
          </cell>
        </row>
        <row r="49">
          <cell r="C49" t="str">
            <v>U. DE LOS LAGOS</v>
          </cell>
          <cell r="D49" t="str">
            <v>ULA</v>
          </cell>
          <cell r="E49" t="str">
            <v>CRUCH Est.</v>
          </cell>
          <cell r="F49">
            <v>241</v>
          </cell>
          <cell r="G49">
            <v>9382</v>
          </cell>
          <cell r="H49">
            <v>2.5687486676614797</v>
          </cell>
        </row>
        <row r="50">
          <cell r="C50" t="str">
            <v>U. TECNOLÓGICA METROPOLITANA</v>
          </cell>
          <cell r="D50" t="str">
            <v>UTM</v>
          </cell>
          <cell r="E50" t="str">
            <v>CRUCH Est.</v>
          </cell>
          <cell r="F50">
            <v>188</v>
          </cell>
          <cell r="G50">
            <v>7676</v>
          </cell>
          <cell r="H50">
            <v>2.4491922876498173</v>
          </cell>
        </row>
        <row r="51">
          <cell r="C51" t="str">
            <v>P. U. C. DE CHILE</v>
          </cell>
          <cell r="D51" t="str">
            <v>PUC</v>
          </cell>
          <cell r="E51" t="str">
            <v>CRUCH Priv.</v>
          </cell>
          <cell r="F51">
            <v>1478</v>
          </cell>
          <cell r="G51">
            <v>30202</v>
          </cell>
          <cell r="H51">
            <v>4.8937156479703336</v>
          </cell>
        </row>
        <row r="52">
          <cell r="C52" t="str">
            <v>U. DE CONCEPCIÓN</v>
          </cell>
          <cell r="D52" t="str">
            <v>UCO</v>
          </cell>
          <cell r="E52" t="str">
            <v>CRUCH Priv.</v>
          </cell>
          <cell r="F52">
            <v>1088</v>
          </cell>
          <cell r="G52">
            <v>26408</v>
          </cell>
          <cell r="H52">
            <v>4.1199636473795822</v>
          </cell>
        </row>
        <row r="53">
          <cell r="C53" t="str">
            <v>U. TÉCNICA FEDERICO STA. MARÍA</v>
          </cell>
          <cell r="D53" t="str">
            <v>FSM</v>
          </cell>
          <cell r="E53" t="str">
            <v>CRUCH Priv.</v>
          </cell>
          <cell r="F53">
            <v>415</v>
          </cell>
          <cell r="G53">
            <v>19268</v>
          </cell>
          <cell r="H53">
            <v>2.1538301847623003</v>
          </cell>
        </row>
        <row r="54">
          <cell r="C54" t="str">
            <v>P. U. C. DE VALPARAISO</v>
          </cell>
          <cell r="D54" t="str">
            <v>UCV</v>
          </cell>
          <cell r="E54" t="str">
            <v>CRUCH Priv.</v>
          </cell>
          <cell r="F54">
            <v>488</v>
          </cell>
          <cell r="G54">
            <v>14972</v>
          </cell>
          <cell r="H54">
            <v>3.2594175794816991</v>
          </cell>
        </row>
        <row r="55">
          <cell r="C55" t="str">
            <v>U. AUSTRAL DE CHILE</v>
          </cell>
          <cell r="D55" t="str">
            <v>AUS</v>
          </cell>
          <cell r="E55" t="str">
            <v>CRUCH Priv.</v>
          </cell>
          <cell r="F55">
            <v>729</v>
          </cell>
          <cell r="G55">
            <v>13852</v>
          </cell>
          <cell r="H55">
            <v>5.2627779382038691</v>
          </cell>
        </row>
        <row r="56">
          <cell r="C56" t="str">
            <v>U. C. DEL NORTE</v>
          </cell>
          <cell r="D56" t="str">
            <v>UCN</v>
          </cell>
          <cell r="E56" t="str">
            <v>CRUCH Priv.</v>
          </cell>
          <cell r="F56">
            <v>411</v>
          </cell>
          <cell r="G56">
            <v>10767</v>
          </cell>
          <cell r="H56">
            <v>3.8172192811368069</v>
          </cell>
        </row>
        <row r="57">
          <cell r="C57" t="str">
            <v>U. C. DEL MAULE</v>
          </cell>
          <cell r="D57" t="str">
            <v>UCM</v>
          </cell>
          <cell r="E57" t="str">
            <v>CRUCH Priv.</v>
          </cell>
          <cell r="F57">
            <v>271</v>
          </cell>
          <cell r="G57">
            <v>7101</v>
          </cell>
          <cell r="H57">
            <v>3.8163638924095196</v>
          </cell>
        </row>
        <row r="58">
          <cell r="C58" t="str">
            <v>U. C. DE LA STMA. CONCEPCIÓN</v>
          </cell>
          <cell r="D58" t="str">
            <v>USC</v>
          </cell>
          <cell r="E58" t="str">
            <v>CRUCH Priv.</v>
          </cell>
          <cell r="F58">
            <v>258</v>
          </cell>
          <cell r="G58">
            <v>13548</v>
          </cell>
          <cell r="H58">
            <v>1.9043401240035431</v>
          </cell>
        </row>
        <row r="59">
          <cell r="C59" t="str">
            <v>U. C. DE TEMUCO</v>
          </cell>
          <cell r="D59" t="str">
            <v>UCT</v>
          </cell>
          <cell r="E59" t="str">
            <v>CRUCH Priv.</v>
          </cell>
          <cell r="F59">
            <v>295</v>
          </cell>
          <cell r="G59">
            <v>8848</v>
          </cell>
          <cell r="H59">
            <v>3.3340867992766725</v>
          </cell>
        </row>
        <row r="60">
          <cell r="C60" t="str">
            <v>U. CHILENO BRITÁNICA DE CULTURA</v>
          </cell>
          <cell r="D60" t="e">
            <v>#N/A</v>
          </cell>
          <cell r="E60" t="str">
            <v>U. Privada</v>
          </cell>
          <cell r="F60">
            <v>4</v>
          </cell>
          <cell r="G60">
            <v>437</v>
          </cell>
          <cell r="H60">
            <v>0.91533180778032031</v>
          </cell>
        </row>
        <row r="61">
          <cell r="C61" t="str">
            <v>U. LA ARAUCANA</v>
          </cell>
          <cell r="D61" t="e">
            <v>#N/A</v>
          </cell>
          <cell r="E61" t="str">
            <v>U. Privada</v>
          </cell>
          <cell r="F61">
            <v>1</v>
          </cell>
          <cell r="G61">
            <v>390</v>
          </cell>
          <cell r="H61">
            <v>0.25641025641025644</v>
          </cell>
        </row>
      </sheetData>
      <sheetData sheetId="1"/>
      <sheetData sheetId="2"/>
      <sheetData sheetId="3">
        <row r="3">
          <cell r="C3" t="str">
            <v>U. GABRIELA MISTRAL</v>
          </cell>
          <cell r="D3" t="str">
            <v>UGM</v>
          </cell>
          <cell r="E3" t="str">
            <v>U. Privada</v>
          </cell>
          <cell r="F3">
            <v>6.8931818181818176</v>
          </cell>
          <cell r="G3">
            <v>22.409090909090921</v>
          </cell>
          <cell r="H3">
            <v>6.136363636363637E-2</v>
          </cell>
          <cell r="I3">
            <v>61.870454545454585</v>
          </cell>
          <cell r="J3">
            <v>0.47459868493553231</v>
          </cell>
        </row>
        <row r="4">
          <cell r="C4" t="str">
            <v>U. FINIS TERRAE</v>
          </cell>
          <cell r="D4" t="str">
            <v>UFT</v>
          </cell>
          <cell r="E4" t="str">
            <v>U. Privada</v>
          </cell>
          <cell r="F4">
            <v>35.363636363636353</v>
          </cell>
          <cell r="G4">
            <v>104.65909090909126</v>
          </cell>
          <cell r="H4">
            <v>38.13636363636364</v>
          </cell>
          <cell r="I4">
            <v>352.40909090909179</v>
          </cell>
          <cell r="J4">
            <v>0.50554624016509719</v>
          </cell>
        </row>
        <row r="5">
          <cell r="C5" t="str">
            <v>U. DIEGO PORTALES</v>
          </cell>
          <cell r="D5" t="str">
            <v>UDP</v>
          </cell>
          <cell r="E5" t="str">
            <v>U. Privada</v>
          </cell>
          <cell r="F5">
            <v>185.17954545454552</v>
          </cell>
          <cell r="G5">
            <v>268.61136363636444</v>
          </cell>
          <cell r="H5">
            <v>60.563636363636384</v>
          </cell>
          <cell r="I5">
            <v>681.47045454545514</v>
          </cell>
          <cell r="J5">
            <v>0.75477160018276057</v>
          </cell>
        </row>
        <row r="6">
          <cell r="C6" t="str">
            <v>U. CENTRAL</v>
          </cell>
          <cell r="D6" t="str">
            <v>UCE</v>
          </cell>
          <cell r="E6" t="str">
            <v>U. Privada</v>
          </cell>
          <cell r="F6">
            <v>50.636363636363633</v>
          </cell>
          <cell r="G6">
            <v>263.45454545454629</v>
          </cell>
          <cell r="H6">
            <v>2.2727272727272729</v>
          </cell>
          <cell r="I6">
            <v>439.59090909090963</v>
          </cell>
          <cell r="J6">
            <v>0.71967738599938058</v>
          </cell>
        </row>
        <row r="7">
          <cell r="C7" t="str">
            <v>U. BOLIVARIANA</v>
          </cell>
          <cell r="D7" t="str">
            <v>UBL</v>
          </cell>
          <cell r="E7" t="str">
            <v>U. Privada</v>
          </cell>
          <cell r="F7">
            <v>6.3181818181818183</v>
          </cell>
          <cell r="G7">
            <v>50.465909090909086</v>
          </cell>
          <cell r="H7">
            <v>0.5</v>
          </cell>
          <cell r="I7">
            <v>193.17954545454546</v>
          </cell>
          <cell r="J7">
            <v>0.29653290038706337</v>
          </cell>
        </row>
        <row r="8">
          <cell r="C8" t="str">
            <v>U. PEDRO DE VALDIVIA</v>
          </cell>
          <cell r="D8" t="str">
            <v>UPV</v>
          </cell>
          <cell r="E8" t="str">
            <v>U. Privada</v>
          </cell>
          <cell r="F8">
            <v>7.7727272727272734</v>
          </cell>
          <cell r="G8">
            <v>63.340909090909115</v>
          </cell>
          <cell r="H8">
            <v>22.704545454545453</v>
          </cell>
          <cell r="I8">
            <v>274.52272727272691</v>
          </cell>
          <cell r="J8">
            <v>0.34175014487954353</v>
          </cell>
        </row>
        <row r="9">
          <cell r="C9" t="str">
            <v>U. MAYOR</v>
          </cell>
          <cell r="D9" t="str">
            <v>UMA</v>
          </cell>
          <cell r="E9" t="str">
            <v>U. Privada</v>
          </cell>
          <cell r="F9">
            <v>54.900227272727271</v>
          </cell>
          <cell r="G9">
            <v>313.86409090908921</v>
          </cell>
          <cell r="H9">
            <v>61.214545454545444</v>
          </cell>
          <cell r="I9">
            <v>1033.4981818181773</v>
          </cell>
          <cell r="J9">
            <v>0.41604220617004223</v>
          </cell>
        </row>
        <row r="10">
          <cell r="C10" t="str">
            <v>U. ACADEMIA HUMANISMO CRISTIANO</v>
          </cell>
          <cell r="D10" t="str">
            <v>AHC</v>
          </cell>
          <cell r="E10" t="str">
            <v>U. Privada</v>
          </cell>
          <cell r="F10">
            <v>26.909090909090899</v>
          </cell>
          <cell r="G10">
            <v>43.295454545454547</v>
          </cell>
          <cell r="H10">
            <v>0.22727272727272727</v>
          </cell>
          <cell r="I10">
            <v>138.25000000000003</v>
          </cell>
          <cell r="J10">
            <v>0.50945257274371181</v>
          </cell>
        </row>
        <row r="11">
          <cell r="C11" t="str">
            <v>U. SANTO TOMÁS</v>
          </cell>
          <cell r="D11" t="str">
            <v>UST</v>
          </cell>
          <cell r="E11" t="str">
            <v>U. Privada</v>
          </cell>
          <cell r="F11">
            <v>75.117272727272805</v>
          </cell>
          <cell r="G11">
            <v>400.68363636363631</v>
          </cell>
          <cell r="H11">
            <v>2.500681818181818</v>
          </cell>
          <cell r="I11">
            <v>1123.9595454545467</v>
          </cell>
          <cell r="J11">
            <v>0.42555053946862326</v>
          </cell>
        </row>
        <row r="12">
          <cell r="C12" t="str">
            <v>U. LA REPÚBLICA</v>
          </cell>
          <cell r="D12" t="str">
            <v>ULR</v>
          </cell>
          <cell r="E12" t="str">
            <v>U. Privada</v>
          </cell>
          <cell r="F12">
            <v>6.4318181818181799</v>
          </cell>
          <cell r="G12">
            <v>64.659090909090907</v>
          </cell>
          <cell r="H12">
            <v>0</v>
          </cell>
          <cell r="I12">
            <v>301.88636363636334</v>
          </cell>
          <cell r="J12">
            <v>0.23548897086501566</v>
          </cell>
        </row>
        <row r="13">
          <cell r="C13" t="str">
            <v>U. INTERNACIONAL SEK</v>
          </cell>
          <cell r="D13" t="str">
            <v>USK</v>
          </cell>
          <cell r="E13" t="str">
            <v>U. Privada</v>
          </cell>
          <cell r="F13">
            <v>19.42045454545455</v>
          </cell>
          <cell r="G13">
            <v>68.909090909090779</v>
          </cell>
          <cell r="H13">
            <v>0.52272727272727271</v>
          </cell>
          <cell r="I13">
            <v>141.22727272727249</v>
          </cell>
          <cell r="J13">
            <v>0.62914386868361771</v>
          </cell>
        </row>
        <row r="14">
          <cell r="C14" t="str">
            <v>U. DE LAS AMÉRICAS</v>
          </cell>
          <cell r="D14" t="str">
            <v>UAM</v>
          </cell>
          <cell r="E14" t="str">
            <v>U. Privada</v>
          </cell>
          <cell r="F14">
            <v>13.481818181818186</v>
          </cell>
          <cell r="G14">
            <v>324.79772727273064</v>
          </cell>
          <cell r="H14">
            <v>1.0227272727272727</v>
          </cell>
          <cell r="I14">
            <v>996.12272727273091</v>
          </cell>
          <cell r="J14">
            <v>0.34062296084363675</v>
          </cell>
        </row>
        <row r="15">
          <cell r="C15" t="str">
            <v>U. ANDRÉS BELLO</v>
          </cell>
          <cell r="D15" t="str">
            <v>UAB</v>
          </cell>
          <cell r="E15" t="str">
            <v>U. Privada</v>
          </cell>
          <cell r="F15">
            <v>309.72727272727309</v>
          </cell>
          <cell r="G15">
            <v>633.02272727272555</v>
          </cell>
          <cell r="H15">
            <v>90.613636363636473</v>
          </cell>
          <cell r="I15">
            <v>1721.2272727272721</v>
          </cell>
          <cell r="J15">
            <v>0.60036443341167722</v>
          </cell>
        </row>
        <row r="16">
          <cell r="C16" t="str">
            <v>U. DE VIÑA DEL MAR</v>
          </cell>
          <cell r="D16" t="str">
            <v>UVM</v>
          </cell>
          <cell r="E16" t="str">
            <v>U. Privada</v>
          </cell>
          <cell r="F16">
            <v>26.149318181818188</v>
          </cell>
          <cell r="G16">
            <v>129.96795454545449</v>
          </cell>
          <cell r="H16">
            <v>5.4386363636363644</v>
          </cell>
          <cell r="I16">
            <v>327.66681818181786</v>
          </cell>
          <cell r="J16">
            <v>0.49304934197293016</v>
          </cell>
        </row>
        <row r="17">
          <cell r="C17" t="str">
            <v>U. ADOLFO IBAÑEZ</v>
          </cell>
          <cell r="D17" t="str">
            <v>UAI</v>
          </cell>
          <cell r="E17" t="str">
            <v>U. Privada</v>
          </cell>
          <cell r="F17">
            <v>191.90909090909156</v>
          </cell>
          <cell r="G17">
            <v>153.18181818181822</v>
          </cell>
          <cell r="H17">
            <v>4.5454545454545456E-2</v>
          </cell>
          <cell r="I17">
            <v>423.29545454545536</v>
          </cell>
          <cell r="J17">
            <v>0.81535570469798668</v>
          </cell>
        </row>
        <row r="18">
          <cell r="C18" t="str">
            <v>U. IBEROAMERICANA DE CS. Y TECNOLOGÍA UNICYT</v>
          </cell>
          <cell r="D18" t="str">
            <v>UIB</v>
          </cell>
          <cell r="E18" t="str">
            <v>U. Privada</v>
          </cell>
          <cell r="F18">
            <v>10.795454545454549</v>
          </cell>
          <cell r="G18">
            <v>67.295454545454547</v>
          </cell>
          <cell r="H18">
            <v>0</v>
          </cell>
          <cell r="I18">
            <v>160.20454545454535</v>
          </cell>
          <cell r="J18">
            <v>0.48744502766349868</v>
          </cell>
        </row>
        <row r="19">
          <cell r="C19" t="str">
            <v>U. DE ARTES, CS. Y COMUNICACIÓN UNIACC</v>
          </cell>
          <cell r="D19" t="str">
            <v>UCC</v>
          </cell>
          <cell r="E19" t="str">
            <v>U. Privada</v>
          </cell>
          <cell r="F19">
            <v>3.7463636363636361</v>
          </cell>
          <cell r="G19">
            <v>37.005681818181813</v>
          </cell>
          <cell r="H19">
            <v>0.24249999999999999</v>
          </cell>
          <cell r="I19">
            <v>84.59909090909089</v>
          </cell>
          <cell r="J19">
            <v>0.48457430232433196</v>
          </cell>
        </row>
        <row r="20">
          <cell r="C20" t="str">
            <v>U. DEL MAR</v>
          </cell>
          <cell r="D20" t="str">
            <v>UDM</v>
          </cell>
          <cell r="E20" t="str">
            <v>U. Privada</v>
          </cell>
          <cell r="F20">
            <v>0.5</v>
          </cell>
          <cell r="G20">
            <v>5.079545454545455</v>
          </cell>
          <cell r="H20">
            <v>0.31818181818181818</v>
          </cell>
          <cell r="I20">
            <v>19.31818181818182</v>
          </cell>
          <cell r="J20">
            <v>0.30529411764705883</v>
          </cell>
        </row>
        <row r="21">
          <cell r="C21" t="str">
            <v>U.  UCINF</v>
          </cell>
          <cell r="D21" t="str">
            <v>UCI</v>
          </cell>
          <cell r="E21" t="str">
            <v>U. Privada</v>
          </cell>
          <cell r="F21">
            <v>4.0231818181818184</v>
          </cell>
          <cell r="G21">
            <v>44.038409090909113</v>
          </cell>
          <cell r="H21">
            <v>0</v>
          </cell>
          <cell r="I21">
            <v>111.2611363636364</v>
          </cell>
          <cell r="J21">
            <v>0.43197105907682382</v>
          </cell>
        </row>
        <row r="22">
          <cell r="C22" t="str">
            <v>U. AUTÓNOMA DE CHILE</v>
          </cell>
          <cell r="D22" t="str">
            <v>UAU</v>
          </cell>
          <cell r="E22" t="str">
            <v>U. Privada</v>
          </cell>
          <cell r="F22">
            <v>99.499999999999972</v>
          </cell>
          <cell r="G22">
            <v>387.47727272727303</v>
          </cell>
          <cell r="H22">
            <v>34.931818181818194</v>
          </cell>
          <cell r="I22">
            <v>839.02272727272816</v>
          </cell>
          <cell r="J22">
            <v>0.6220440447490313</v>
          </cell>
        </row>
        <row r="23">
          <cell r="C23" t="str">
            <v>U. DE LOS ANDES</v>
          </cell>
          <cell r="D23" t="str">
            <v>UAN</v>
          </cell>
          <cell r="E23" t="str">
            <v>U. Privada</v>
          </cell>
          <cell r="F23">
            <v>130.31818181818181</v>
          </cell>
          <cell r="G23">
            <v>139.74999999999983</v>
          </cell>
          <cell r="H23">
            <v>191.11363636363635</v>
          </cell>
          <cell r="I23">
            <v>609.20454545454515</v>
          </cell>
          <cell r="J23">
            <v>0.75702294348069399</v>
          </cell>
        </row>
        <row r="24">
          <cell r="C24" t="str">
            <v>U. ADVENTISTA</v>
          </cell>
          <cell r="D24" t="str">
            <v>UAC</v>
          </cell>
          <cell r="E24" t="str">
            <v>U. Privada</v>
          </cell>
          <cell r="F24">
            <v>11.863636363636365</v>
          </cell>
          <cell r="G24">
            <v>55.363636363636353</v>
          </cell>
          <cell r="H24">
            <v>0</v>
          </cell>
          <cell r="I24">
            <v>115.63636363636363</v>
          </cell>
          <cell r="J24">
            <v>0.58136792452830188</v>
          </cell>
        </row>
        <row r="25">
          <cell r="C25" t="str">
            <v>U. SAN SEBASTIÁN</v>
          </cell>
          <cell r="D25" t="str">
            <v>USS</v>
          </cell>
          <cell r="E25" t="str">
            <v>U. Privada</v>
          </cell>
          <cell r="F25">
            <v>77.625454545454545</v>
          </cell>
          <cell r="G25">
            <v>508.87931818181573</v>
          </cell>
          <cell r="H25">
            <v>170.51977272727282</v>
          </cell>
          <cell r="I25">
            <v>1620.7704545454551</v>
          </cell>
          <cell r="J25">
            <v>0.46707696536018767</v>
          </cell>
        </row>
        <row r="26">
          <cell r="C26" t="str">
            <v>U. DE ARTES Y CS. SOCIALES ARCIS</v>
          </cell>
          <cell r="D26" t="str">
            <v>UAR</v>
          </cell>
          <cell r="E26" t="str">
            <v>U. Privada</v>
          </cell>
          <cell r="F26">
            <v>1.4843181818181819</v>
          </cell>
          <cell r="G26">
            <v>8.6368181818181853</v>
          </cell>
          <cell r="H26">
            <v>0</v>
          </cell>
          <cell r="I26">
            <v>43.763863636363602</v>
          </cell>
          <cell r="J26">
            <v>0.23126697514034539</v>
          </cell>
        </row>
        <row r="27">
          <cell r="C27" t="str">
            <v>U. C. SILVA HENRÍQUEZ</v>
          </cell>
          <cell r="D27" t="str">
            <v>UCS</v>
          </cell>
          <cell r="E27" t="str">
            <v>U. Privada</v>
          </cell>
          <cell r="F27">
            <v>36.590909090909086</v>
          </cell>
          <cell r="G27">
            <v>119.68181818181844</v>
          </cell>
          <cell r="H27">
            <v>0</v>
          </cell>
          <cell r="I27">
            <v>230.21590909090938</v>
          </cell>
          <cell r="J27">
            <v>0.67880941803642858</v>
          </cell>
        </row>
        <row r="28">
          <cell r="C28" t="str">
            <v>U. DEL DESARROLLO</v>
          </cell>
          <cell r="D28" t="str">
            <v>UDD</v>
          </cell>
          <cell r="E28" t="str">
            <v>U. Privada</v>
          </cell>
          <cell r="F28">
            <v>99.886363636363853</v>
          </cell>
          <cell r="G28">
            <v>360.65909090909088</v>
          </cell>
          <cell r="H28">
            <v>158.90909090909037</v>
          </cell>
          <cell r="I28">
            <v>886.77272727272816</v>
          </cell>
          <cell r="J28">
            <v>0.69854938746219575</v>
          </cell>
        </row>
        <row r="29">
          <cell r="C29" t="str">
            <v>U. DE ACONCAGUA</v>
          </cell>
          <cell r="D29" t="e">
            <v>#N/A</v>
          </cell>
          <cell r="E29" t="str">
            <v>U. Privada</v>
          </cell>
          <cell r="F29">
            <v>7.0227272727272725</v>
          </cell>
          <cell r="G29">
            <v>34.420454545454554</v>
          </cell>
          <cell r="H29">
            <v>0</v>
          </cell>
          <cell r="I29">
            <v>249.41477272727394</v>
          </cell>
          <cell r="J29">
            <v>0.16616169669909028</v>
          </cell>
        </row>
        <row r="30">
          <cell r="C30" t="str">
            <v>U. DEL PACÍFICO</v>
          </cell>
          <cell r="D30" t="str">
            <v>UPO</v>
          </cell>
          <cell r="E30" t="str">
            <v>U. Privada</v>
          </cell>
          <cell r="F30">
            <v>9.6931818181818201</v>
          </cell>
          <cell r="G30">
            <v>81.817500000000109</v>
          </cell>
          <cell r="H30">
            <v>0</v>
          </cell>
          <cell r="I30">
            <v>149.71886363636375</v>
          </cell>
          <cell r="J30">
            <v>0.61121678054171247</v>
          </cell>
        </row>
        <row r="31">
          <cell r="C31" t="str">
            <v>U. LOS LEONES</v>
          </cell>
          <cell r="D31" t="e">
            <v>#N/A</v>
          </cell>
          <cell r="E31" t="str">
            <v>U. Privada</v>
          </cell>
          <cell r="F31">
            <v>0</v>
          </cell>
          <cell r="G31">
            <v>18.71590909090909</v>
          </cell>
          <cell r="H31">
            <v>0</v>
          </cell>
          <cell r="I31">
            <v>52.636363636363633</v>
          </cell>
          <cell r="J31">
            <v>0.35556994818652848</v>
          </cell>
        </row>
        <row r="32">
          <cell r="C32" t="str">
            <v>U. BERNARDO O'HIGGINS</v>
          </cell>
          <cell r="D32" t="str">
            <v>UBO</v>
          </cell>
          <cell r="E32" t="str">
            <v>U. Privada</v>
          </cell>
          <cell r="F32">
            <v>38.045454545454554</v>
          </cell>
          <cell r="G32">
            <v>109.31818181818187</v>
          </cell>
          <cell r="H32">
            <v>0</v>
          </cell>
          <cell r="I32">
            <v>211.13636363636371</v>
          </cell>
          <cell r="J32">
            <v>0.69795479009687844</v>
          </cell>
        </row>
        <row r="33">
          <cell r="C33" t="str">
            <v>U. TECNOLOGICA INACAP</v>
          </cell>
          <cell r="D33" t="str">
            <v>UTC</v>
          </cell>
          <cell r="E33" t="str">
            <v>U. Privada</v>
          </cell>
          <cell r="F33">
            <v>7.5681818181818166</v>
          </cell>
          <cell r="G33">
            <v>263.15909090909054</v>
          </cell>
          <cell r="H33">
            <v>0</v>
          </cell>
          <cell r="I33">
            <v>1317.4545454545409</v>
          </cell>
          <cell r="J33">
            <v>0.20549268561965264</v>
          </cell>
        </row>
        <row r="34">
          <cell r="C34" t="str">
            <v>U. MIGUEL DE CERVANTES</v>
          </cell>
          <cell r="D34" t="e">
            <v>#N/A</v>
          </cell>
          <cell r="E34" t="str">
            <v>U. Privada</v>
          </cell>
          <cell r="F34">
            <v>1.3181818181818183</v>
          </cell>
          <cell r="G34">
            <v>28.477272727272737</v>
          </cell>
          <cell r="H34">
            <v>0</v>
          </cell>
          <cell r="I34">
            <v>42.409090909090921</v>
          </cell>
          <cell r="J34">
            <v>0.702572347266881</v>
          </cell>
        </row>
        <row r="35">
          <cell r="C35" t="str">
            <v>U. ALBERTO HURTADO</v>
          </cell>
          <cell r="D35" t="str">
            <v>UAH</v>
          </cell>
          <cell r="E35" t="str">
            <v>U. Privada</v>
          </cell>
          <cell r="F35">
            <v>97.556818181818059</v>
          </cell>
          <cell r="G35">
            <v>66.704545454545396</v>
          </cell>
          <cell r="H35">
            <v>3.4090909090909088E-2</v>
          </cell>
          <cell r="I35">
            <v>197.79545454545439</v>
          </cell>
          <cell r="J35">
            <v>0.83063311501780968</v>
          </cell>
        </row>
        <row r="36">
          <cell r="C36" t="str">
            <v>U. DE CHILE</v>
          </cell>
          <cell r="D36" t="str">
            <v>UCH</v>
          </cell>
          <cell r="E36" t="str">
            <v>CRUCH Est.</v>
          </cell>
          <cell r="F36">
            <v>1069.7840909090892</v>
          </cell>
          <cell r="G36">
            <v>434.19318181818016</v>
          </cell>
          <cell r="H36">
            <v>123.8636363636364</v>
          </cell>
          <cell r="I36">
            <v>2159.8636363636306</v>
          </cell>
          <cell r="J36">
            <v>0.75367763116358411</v>
          </cell>
        </row>
        <row r="37">
          <cell r="C37" t="str">
            <v>U. DE SANTIAGO</v>
          </cell>
          <cell r="D37" t="str">
            <v>USA</v>
          </cell>
          <cell r="E37" t="str">
            <v>CRUCH Est.</v>
          </cell>
          <cell r="F37">
            <v>417.27272727272748</v>
          </cell>
          <cell r="G37">
            <v>285.06818181818403</v>
          </cell>
          <cell r="H37">
            <v>8.5227272727272734</v>
          </cell>
          <cell r="I37">
            <v>1012.1818181818237</v>
          </cell>
          <cell r="J37">
            <v>0.70230824501526712</v>
          </cell>
        </row>
        <row r="38">
          <cell r="C38" t="str">
            <v>U. DE VALPARAÍSO</v>
          </cell>
          <cell r="D38" t="str">
            <v>UVA</v>
          </cell>
          <cell r="E38" t="str">
            <v>CRUCH Est.</v>
          </cell>
          <cell r="F38">
            <v>202.7795454545456</v>
          </cell>
          <cell r="G38">
            <v>305.25681818181829</v>
          </cell>
          <cell r="H38">
            <v>73.647727272727266</v>
          </cell>
          <cell r="I38">
            <v>879.63409090909204</v>
          </cell>
          <cell r="J38">
            <v>0.66127961264885393</v>
          </cell>
        </row>
        <row r="39">
          <cell r="C39" t="str">
            <v>U. DE ANTOFAGASTA</v>
          </cell>
          <cell r="D39" t="str">
            <v>ANT</v>
          </cell>
          <cell r="E39" t="str">
            <v>CRUCH Est.</v>
          </cell>
          <cell r="F39">
            <v>131.23295454545459</v>
          </cell>
          <cell r="G39">
            <v>111.57954545454545</v>
          </cell>
          <cell r="H39">
            <v>19.49431818181818</v>
          </cell>
          <cell r="I39">
            <v>395.66204545454542</v>
          </cell>
          <cell r="J39">
            <v>0.66295673591960103</v>
          </cell>
        </row>
        <row r="40">
          <cell r="C40" t="str">
            <v>U. DE LA SERENA</v>
          </cell>
          <cell r="D40" t="str">
            <v>ULS</v>
          </cell>
          <cell r="E40" t="str">
            <v>CRUCH Est.</v>
          </cell>
          <cell r="F40">
            <v>98.272727272727252</v>
          </cell>
          <cell r="G40">
            <v>82.545454545454447</v>
          </cell>
          <cell r="H40">
            <v>2.8181818181818183</v>
          </cell>
          <cell r="I40">
            <v>342.09090909090861</v>
          </cell>
          <cell r="J40">
            <v>0.5368057401009837</v>
          </cell>
        </row>
        <row r="41">
          <cell r="C41" t="str">
            <v>U. DEL BÍO-BÍO</v>
          </cell>
          <cell r="D41" t="str">
            <v>UBB</v>
          </cell>
          <cell r="E41" t="str">
            <v>CRUCH Est.</v>
          </cell>
          <cell r="F41">
            <v>205.04545454545453</v>
          </cell>
          <cell r="G41">
            <v>221.79545454545459</v>
          </cell>
          <cell r="H41">
            <v>0</v>
          </cell>
          <cell r="I41">
            <v>509.56818181818181</v>
          </cell>
          <cell r="J41">
            <v>0.83765220106150495</v>
          </cell>
        </row>
        <row r="42">
          <cell r="C42" t="str">
            <v>U. DE LA FRONTERA</v>
          </cell>
          <cell r="D42" t="str">
            <v>FRO</v>
          </cell>
          <cell r="E42" t="str">
            <v>CRUCH Est.</v>
          </cell>
          <cell r="F42">
            <v>181.11363636363637</v>
          </cell>
          <cell r="G42">
            <v>99.204545454545396</v>
          </cell>
          <cell r="H42">
            <v>11.363636363636362</v>
          </cell>
          <cell r="I42">
            <v>370.95454545454538</v>
          </cell>
          <cell r="J42">
            <v>0.78630069844381822</v>
          </cell>
        </row>
        <row r="43">
          <cell r="C43" t="str">
            <v>U. DE MAGALLANES</v>
          </cell>
          <cell r="D43" t="str">
            <v>MAG</v>
          </cell>
          <cell r="E43" t="str">
            <v>CRUCH Est.</v>
          </cell>
          <cell r="F43">
            <v>56.11363636363636</v>
          </cell>
          <cell r="G43">
            <v>62.340909090909051</v>
          </cell>
          <cell r="H43">
            <v>0.75</v>
          </cell>
          <cell r="I43">
            <v>269.36363636363654</v>
          </cell>
          <cell r="J43">
            <v>0.44254134323320915</v>
          </cell>
        </row>
        <row r="44">
          <cell r="C44" t="str">
            <v>U. DE TALCA</v>
          </cell>
          <cell r="D44" t="str">
            <v>TAL</v>
          </cell>
          <cell r="E44" t="str">
            <v>CRUCH Est.</v>
          </cell>
          <cell r="F44">
            <v>209.68181818181824</v>
          </cell>
          <cell r="G44">
            <v>185.95454545454555</v>
          </cell>
          <cell r="H44">
            <v>14.84090909090909</v>
          </cell>
          <cell r="I44">
            <v>427.72727272727286</v>
          </cell>
          <cell r="J44">
            <v>0.95967056323060573</v>
          </cell>
        </row>
        <row r="45">
          <cell r="C45" t="str">
            <v>U. DE ATACAMA</v>
          </cell>
          <cell r="D45" t="str">
            <v>ATA</v>
          </cell>
          <cell r="E45" t="str">
            <v>CRUCH Est.</v>
          </cell>
          <cell r="F45">
            <v>40.5</v>
          </cell>
          <cell r="G45">
            <v>41.295454545454554</v>
          </cell>
          <cell r="H45">
            <v>0</v>
          </cell>
          <cell r="I45">
            <v>247.93181818181804</v>
          </cell>
          <cell r="J45">
            <v>0.32991108259235519</v>
          </cell>
        </row>
        <row r="46">
          <cell r="C46" t="str">
            <v>U. DE TARAPACÁ</v>
          </cell>
          <cell r="D46" t="str">
            <v>UTA</v>
          </cell>
          <cell r="E46" t="str">
            <v>CRUCH Est.</v>
          </cell>
          <cell r="F46">
            <v>112.5</v>
          </cell>
          <cell r="G46">
            <v>182.20454545454552</v>
          </cell>
          <cell r="H46">
            <v>0.56818181818181812</v>
          </cell>
          <cell r="I46">
            <v>358.79545454545456</v>
          </cell>
          <cell r="J46">
            <v>0.82295559637676574</v>
          </cell>
        </row>
        <row r="47">
          <cell r="C47" t="str">
            <v>U. ARTURO PRAT</v>
          </cell>
          <cell r="D47" t="str">
            <v>UAP</v>
          </cell>
          <cell r="E47" t="str">
            <v>CRUCH Est.</v>
          </cell>
          <cell r="F47">
            <v>56.454545454545453</v>
          </cell>
          <cell r="G47">
            <v>144.18931818181829</v>
          </cell>
          <cell r="H47">
            <v>0</v>
          </cell>
          <cell r="I47">
            <v>378.36181818181802</v>
          </cell>
          <cell r="J47">
            <v>0.53029627725265427</v>
          </cell>
        </row>
        <row r="48">
          <cell r="C48" t="str">
            <v>U. METROPOLITANA DE CS. DE LA ED.</v>
          </cell>
          <cell r="D48" t="str">
            <v>UMC</v>
          </cell>
          <cell r="E48" t="str">
            <v>CRUCH Est.</v>
          </cell>
          <cell r="F48">
            <v>64.272727272727266</v>
          </cell>
          <cell r="G48">
            <v>142.86363636363637</v>
          </cell>
          <cell r="H48">
            <v>0.13636363636363635</v>
          </cell>
          <cell r="I48">
            <v>323.43181818181807</v>
          </cell>
          <cell r="J48">
            <v>0.6408544726301737</v>
          </cell>
        </row>
        <row r="49">
          <cell r="C49" t="str">
            <v>U. DE PLAYA ANCHA DE CS. DE LA ED.</v>
          </cell>
          <cell r="D49" t="str">
            <v>UPA</v>
          </cell>
          <cell r="E49" t="str">
            <v>CRUCH Est.</v>
          </cell>
          <cell r="F49">
            <v>98.884090909090787</v>
          </cell>
          <cell r="G49">
            <v>196.81818181818213</v>
          </cell>
          <cell r="H49">
            <v>0.40909090909090906</v>
          </cell>
          <cell r="I49">
            <v>391.1431818181818</v>
          </cell>
          <cell r="J49">
            <v>0.75704084182146791</v>
          </cell>
        </row>
        <row r="50">
          <cell r="C50" t="str">
            <v>U. DE LOS LAGOS</v>
          </cell>
          <cell r="D50" t="str">
            <v>ULA</v>
          </cell>
          <cell r="E50" t="str">
            <v>CRUCH Est.</v>
          </cell>
          <cell r="F50">
            <v>69.545454545454547</v>
          </cell>
          <cell r="G50">
            <v>141.14772727272737</v>
          </cell>
          <cell r="H50">
            <v>0</v>
          </cell>
          <cell r="I50">
            <v>365.53863636363604</v>
          </cell>
          <cell r="J50">
            <v>0.57639100455740988</v>
          </cell>
        </row>
        <row r="51">
          <cell r="C51" t="str">
            <v>U. TECNOLÓGICA METROPOLITANA</v>
          </cell>
          <cell r="D51" t="str">
            <v>UTM</v>
          </cell>
          <cell r="E51" t="str">
            <v>CRUCH Est.</v>
          </cell>
          <cell r="F51">
            <v>57.159090909090878</v>
          </cell>
          <cell r="G51">
            <v>127.18181818181819</v>
          </cell>
          <cell r="H51">
            <v>0</v>
          </cell>
          <cell r="I51">
            <v>302.34090909090895</v>
          </cell>
          <cell r="J51">
            <v>0.60971209501616197</v>
          </cell>
        </row>
        <row r="52">
          <cell r="C52" t="str">
            <v>P. U. C. DE CHILE</v>
          </cell>
          <cell r="D52" t="str">
            <v>PUC</v>
          </cell>
          <cell r="E52" t="str">
            <v>CRUCH Priv.</v>
          </cell>
          <cell r="F52">
            <v>942.86363636363592</v>
          </cell>
          <cell r="G52">
            <v>471.91590909090894</v>
          </cell>
          <cell r="H52">
            <v>386.15909090909076</v>
          </cell>
          <cell r="I52">
            <v>2081.8409090909081</v>
          </cell>
          <cell r="J52">
            <v>0.86507025032477813</v>
          </cell>
        </row>
        <row r="53">
          <cell r="C53" t="str">
            <v>U. DE CONCEPCIÓN</v>
          </cell>
          <cell r="D53" t="str">
            <v>UCO</v>
          </cell>
          <cell r="E53" t="str">
            <v>CRUCH Priv.</v>
          </cell>
          <cell r="F53">
            <v>685.4318181818179</v>
          </cell>
          <cell r="G53">
            <v>389.20454545454527</v>
          </cell>
          <cell r="H53">
            <v>115.11363636363636</v>
          </cell>
          <cell r="I53">
            <v>1397.8409090909086</v>
          </cell>
          <cell r="J53">
            <v>0.85113405414193954</v>
          </cell>
        </row>
        <row r="54">
          <cell r="C54" t="str">
            <v>U. TÉCNICA FEDERICO STA. MARÍA</v>
          </cell>
          <cell r="D54" t="str">
            <v>FSM</v>
          </cell>
          <cell r="E54" t="str">
            <v>CRUCH Priv.</v>
          </cell>
          <cell r="F54">
            <v>230.84227272727284</v>
          </cell>
          <cell r="G54">
            <v>167.9997727272727</v>
          </cell>
          <cell r="H54">
            <v>0</v>
          </cell>
          <cell r="I54">
            <v>635.52568181818174</v>
          </cell>
          <cell r="J54">
            <v>0.62757817168535879</v>
          </cell>
        </row>
        <row r="55">
          <cell r="C55" t="str">
            <v>P. U. C. DE VALPARAISO</v>
          </cell>
          <cell r="D55" t="str">
            <v>UCV</v>
          </cell>
          <cell r="E55" t="str">
            <v>CRUCH Priv.</v>
          </cell>
          <cell r="F55">
            <v>343.44886363636357</v>
          </cell>
          <cell r="G55">
            <v>154.81249999999986</v>
          </cell>
          <cell r="H55">
            <v>0.95454545454545459</v>
          </cell>
          <cell r="I55">
            <v>647.05113636363581</v>
          </cell>
          <cell r="J55">
            <v>0.77152466170827472</v>
          </cell>
        </row>
        <row r="56">
          <cell r="C56" t="str">
            <v>U. AUSTRAL DE CHILE</v>
          </cell>
          <cell r="D56" t="str">
            <v>AUS</v>
          </cell>
          <cell r="E56" t="str">
            <v>CRUCH Priv.</v>
          </cell>
          <cell r="F56">
            <v>354.13636363636368</v>
          </cell>
          <cell r="G56">
            <v>218.40909090909111</v>
          </cell>
          <cell r="H56">
            <v>64.409090909090935</v>
          </cell>
          <cell r="I56">
            <v>934.90909090909156</v>
          </cell>
          <cell r="J56">
            <v>0.68130105017502895</v>
          </cell>
        </row>
        <row r="57">
          <cell r="C57" t="str">
            <v>U. C. DEL NORTE</v>
          </cell>
          <cell r="D57" t="str">
            <v>UCN</v>
          </cell>
          <cell r="E57" t="str">
            <v>CRUCH Priv.</v>
          </cell>
          <cell r="F57">
            <v>197.59318181818185</v>
          </cell>
          <cell r="G57">
            <v>157.10681818181826</v>
          </cell>
          <cell r="H57">
            <v>20.5</v>
          </cell>
          <cell r="I57">
            <v>553.11363636363626</v>
          </cell>
          <cell r="J57">
            <v>0.67834161975592755</v>
          </cell>
        </row>
        <row r="58">
          <cell r="C58" t="str">
            <v>U. C. DEL MAULE</v>
          </cell>
          <cell r="D58" t="str">
            <v>UCM</v>
          </cell>
          <cell r="E58" t="str">
            <v>CRUCH Priv.</v>
          </cell>
          <cell r="F58">
            <v>109.24999999999999</v>
          </cell>
          <cell r="G58">
            <v>150.75000000000009</v>
          </cell>
          <cell r="H58">
            <v>31.363636363636367</v>
          </cell>
          <cell r="I58">
            <v>378.59090909090918</v>
          </cell>
          <cell r="J58">
            <v>0.76960019209989194</v>
          </cell>
        </row>
        <row r="59">
          <cell r="C59" t="str">
            <v>U. C. DE LA STMA. CONCEPCIÓN</v>
          </cell>
          <cell r="D59" t="str">
            <v>USC</v>
          </cell>
          <cell r="E59" t="str">
            <v>CRUCH Priv.</v>
          </cell>
          <cell r="F59">
            <v>117.6818181818182</v>
          </cell>
          <cell r="G59">
            <v>154.3181818181819</v>
          </cell>
          <cell r="H59">
            <v>24.886363636363637</v>
          </cell>
          <cell r="I59">
            <v>446.2045454545451</v>
          </cell>
          <cell r="J59">
            <v>0.66535934396169794</v>
          </cell>
        </row>
        <row r="60">
          <cell r="C60" t="str">
            <v>U. C. DE TEMUCO</v>
          </cell>
          <cell r="D60" t="str">
            <v>UCT</v>
          </cell>
          <cell r="E60" t="str">
            <v>CRUCH Priv.</v>
          </cell>
          <cell r="F60">
            <v>121.20522727272726</v>
          </cell>
          <cell r="G60">
            <v>165.03295454545449</v>
          </cell>
          <cell r="H60">
            <v>0.13636363636363635</v>
          </cell>
          <cell r="I60">
            <v>429.141818181818</v>
          </cell>
          <cell r="J60">
            <v>0.66731913162845091</v>
          </cell>
        </row>
        <row r="61">
          <cell r="C61" t="str">
            <v>U. CHILENO BRITÁNICA DE CULTURA</v>
          </cell>
          <cell r="D61" t="e">
            <v>#N/A</v>
          </cell>
          <cell r="E61" t="str">
            <v>U. Privada</v>
          </cell>
          <cell r="F61">
            <v>1.4545454545454546</v>
          </cell>
          <cell r="G61">
            <v>11.159090909090908</v>
          </cell>
          <cell r="H61">
            <v>0</v>
          </cell>
          <cell r="I61">
            <v>18.204545454545453</v>
          </cell>
          <cell r="J61">
            <v>0.69288389513108617</v>
          </cell>
        </row>
        <row r="62">
          <cell r="C62" t="str">
            <v>U. LA ARAUCANA</v>
          </cell>
          <cell r="D62" t="e">
            <v>#N/A</v>
          </cell>
          <cell r="E62" t="str">
            <v>U. Privada</v>
          </cell>
          <cell r="F62">
            <v>0.47727272727272724</v>
          </cell>
          <cell r="G62">
            <v>8.5</v>
          </cell>
          <cell r="H62">
            <v>0</v>
          </cell>
          <cell r="I62">
            <v>10.75</v>
          </cell>
          <cell r="J62">
            <v>0.83509513742071872</v>
          </cell>
        </row>
      </sheetData>
      <sheetData sheetId="4">
        <row r="3">
          <cell r="C3" t="str">
            <v>U. GABRIELA MISTRAL</v>
          </cell>
        </row>
      </sheetData>
      <sheetData sheetId="5">
        <row r="8">
          <cell r="E8" t="str">
            <v>P. U. C. DE CHILE</v>
          </cell>
          <cell r="F8" t="str">
            <v>PUC</v>
          </cell>
          <cell r="G8" t="str">
            <v>CRUCH Priv.</v>
          </cell>
          <cell r="H8">
            <v>0.20474837662337661</v>
          </cell>
          <cell r="I8">
            <v>0.24707462113945905</v>
          </cell>
          <cell r="J8">
            <v>0.25753792971000578</v>
          </cell>
          <cell r="K8">
            <v>0.23735555976510703</v>
          </cell>
          <cell r="L8">
            <v>4928</v>
          </cell>
          <cell r="M8">
            <v>5213</v>
          </cell>
          <cell r="N8">
            <v>5207</v>
          </cell>
          <cell r="O8">
            <v>5279</v>
          </cell>
          <cell r="P8">
            <v>1009</v>
          </cell>
          <cell r="Q8">
            <v>1288</v>
          </cell>
          <cell r="R8">
            <v>1341</v>
          </cell>
          <cell r="S8">
            <v>1253</v>
          </cell>
        </row>
        <row r="9">
          <cell r="E9" t="str">
            <v>P. U. C. DE VALPARAISO</v>
          </cell>
          <cell r="F9" t="str">
            <v>UCV</v>
          </cell>
          <cell r="G9" t="str">
            <v>CRUCH Priv.</v>
          </cell>
          <cell r="H9">
            <v>0.55459098497495829</v>
          </cell>
          <cell r="I9">
            <v>0.58203368683718026</v>
          </cell>
          <cell r="J9">
            <v>0.5748987854251012</v>
          </cell>
          <cell r="K9">
            <v>0.57042896257986009</v>
          </cell>
          <cell r="L9">
            <v>2995</v>
          </cell>
          <cell r="M9">
            <v>3206</v>
          </cell>
          <cell r="N9">
            <v>3211</v>
          </cell>
          <cell r="O9">
            <v>3287</v>
          </cell>
          <cell r="P9">
            <v>1661</v>
          </cell>
          <cell r="Q9">
            <v>1866</v>
          </cell>
          <cell r="R9">
            <v>1846</v>
          </cell>
          <cell r="S9">
            <v>1875</v>
          </cell>
        </row>
        <row r="10">
          <cell r="E10" t="str">
            <v>U. ARTURO PRAT</v>
          </cell>
          <cell r="F10" t="str">
            <v>UAP</v>
          </cell>
          <cell r="G10" t="str">
            <v>CRUCH Est.</v>
          </cell>
          <cell r="H10">
            <v>0.52252252252252251</v>
          </cell>
          <cell r="I10">
            <v>0.57024793388429751</v>
          </cell>
          <cell r="J10">
            <v>0.63697967086156826</v>
          </cell>
          <cell r="K10">
            <v>0.64012738853503182</v>
          </cell>
          <cell r="L10">
            <v>999</v>
          </cell>
          <cell r="M10">
            <v>968</v>
          </cell>
          <cell r="N10">
            <v>1033</v>
          </cell>
          <cell r="O10">
            <v>942</v>
          </cell>
          <cell r="P10">
            <v>522</v>
          </cell>
          <cell r="Q10">
            <v>552</v>
          </cell>
          <cell r="R10">
            <v>658</v>
          </cell>
          <cell r="S10">
            <v>603</v>
          </cell>
        </row>
        <row r="11">
          <cell r="E11" t="str">
            <v>U. AUSTRAL DE CHILE</v>
          </cell>
          <cell r="F11" t="str">
            <v>AUS</v>
          </cell>
          <cell r="G11" t="str">
            <v>CRUCH Priv.</v>
          </cell>
          <cell r="H11">
            <v>0.62584175084175087</v>
          </cell>
          <cell r="I11">
            <v>0.63309885227693452</v>
          </cell>
          <cell r="J11">
            <v>0.64667393675027263</v>
          </cell>
          <cell r="K11">
            <v>0.61967994552264216</v>
          </cell>
          <cell r="L11">
            <v>2376</v>
          </cell>
          <cell r="M11">
            <v>2701</v>
          </cell>
          <cell r="N11">
            <v>2751</v>
          </cell>
          <cell r="O11">
            <v>2937</v>
          </cell>
          <cell r="P11">
            <v>1487</v>
          </cell>
          <cell r="Q11">
            <v>1710</v>
          </cell>
          <cell r="R11">
            <v>1779</v>
          </cell>
          <cell r="S11">
            <v>1820</v>
          </cell>
        </row>
        <row r="12">
          <cell r="E12" t="str">
            <v>U. C. DE LA STMA. CONCEPCIÓN</v>
          </cell>
          <cell r="F12" t="str">
            <v>USC</v>
          </cell>
          <cell r="G12" t="str">
            <v>CRUCH Priv.</v>
          </cell>
          <cell r="H12">
            <v>0.75</v>
          </cell>
          <cell r="I12">
            <v>0.79628400796284005</v>
          </cell>
          <cell r="J12">
            <v>0.83381924198250734</v>
          </cell>
          <cell r="K12">
            <v>0.77976523197316938</v>
          </cell>
          <cell r="L12">
            <v>1876</v>
          </cell>
          <cell r="M12">
            <v>1507</v>
          </cell>
          <cell r="N12">
            <v>1715</v>
          </cell>
          <cell r="O12">
            <v>1789</v>
          </cell>
          <cell r="P12">
            <v>1407</v>
          </cell>
          <cell r="Q12">
            <v>1200</v>
          </cell>
          <cell r="R12">
            <v>1430</v>
          </cell>
          <cell r="S12">
            <v>1395</v>
          </cell>
        </row>
        <row r="13">
          <cell r="E13" t="str">
            <v>U. C. DE TEMUCO</v>
          </cell>
          <cell r="F13" t="str">
            <v>UCT</v>
          </cell>
          <cell r="G13" t="str">
            <v>CRUCH Priv.</v>
          </cell>
          <cell r="H13">
            <v>0.76699029126213591</v>
          </cell>
          <cell r="I13">
            <v>0.79551667577911422</v>
          </cell>
          <cell r="J13">
            <v>0.80553918680023573</v>
          </cell>
          <cell r="K13">
            <v>0.7954309449636553</v>
          </cell>
          <cell r="L13">
            <v>1648</v>
          </cell>
          <cell r="M13">
            <v>1829</v>
          </cell>
          <cell r="N13">
            <v>1697</v>
          </cell>
          <cell r="O13">
            <v>1926</v>
          </cell>
          <cell r="P13">
            <v>1264</v>
          </cell>
          <cell r="Q13">
            <v>1455</v>
          </cell>
          <cell r="R13">
            <v>1367</v>
          </cell>
          <cell r="S13">
            <v>1532</v>
          </cell>
        </row>
        <row r="14">
          <cell r="E14" t="str">
            <v>U. C. DEL MAULE</v>
          </cell>
          <cell r="F14" t="str">
            <v>UCM</v>
          </cell>
          <cell r="G14" t="str">
            <v>CRUCH Priv.</v>
          </cell>
          <cell r="H14">
            <v>0.75</v>
          </cell>
          <cell r="I14">
            <v>0.765474552957359</v>
          </cell>
          <cell r="J14">
            <v>0.79557195571955719</v>
          </cell>
          <cell r="K14">
            <v>0.77298444130127297</v>
          </cell>
          <cell r="L14">
            <v>1308</v>
          </cell>
          <cell r="M14">
            <v>1454</v>
          </cell>
          <cell r="N14">
            <v>1355</v>
          </cell>
          <cell r="O14">
            <v>1414</v>
          </cell>
          <cell r="P14">
            <v>981</v>
          </cell>
          <cell r="Q14">
            <v>1113</v>
          </cell>
          <cell r="R14">
            <v>1078</v>
          </cell>
          <cell r="S14">
            <v>1093</v>
          </cell>
        </row>
        <row r="15">
          <cell r="E15" t="str">
            <v>U. C. DEL NORTE</v>
          </cell>
          <cell r="F15" t="str">
            <v>UCN</v>
          </cell>
          <cell r="G15" t="str">
            <v>CRUCH Priv.</v>
          </cell>
          <cell r="H15">
            <v>0.43885714285714283</v>
          </cell>
          <cell r="I15">
            <v>0.45280082987551867</v>
          </cell>
          <cell r="J15">
            <v>0.4891015417331207</v>
          </cell>
          <cell r="K15">
            <v>0.46512820512820513</v>
          </cell>
          <cell r="L15">
            <v>1750</v>
          </cell>
          <cell r="M15">
            <v>1928</v>
          </cell>
          <cell r="N15">
            <v>1881</v>
          </cell>
          <cell r="O15">
            <v>1950</v>
          </cell>
          <cell r="P15">
            <v>768</v>
          </cell>
          <cell r="Q15">
            <v>873</v>
          </cell>
          <cell r="R15">
            <v>920</v>
          </cell>
          <cell r="S15">
            <v>907</v>
          </cell>
        </row>
        <row r="16">
          <cell r="E16" t="str">
            <v>U. DE ANTOFAGASTA</v>
          </cell>
          <cell r="F16" t="str">
            <v>ANT</v>
          </cell>
          <cell r="G16" t="str">
            <v>CRUCH Est.</v>
          </cell>
          <cell r="H16">
            <v>0.37237237237237236</v>
          </cell>
          <cell r="I16">
            <v>0.41467889908256883</v>
          </cell>
          <cell r="J16">
            <v>0.42173913043478262</v>
          </cell>
          <cell r="K16">
            <v>0.38935810810810811</v>
          </cell>
          <cell r="L16">
            <v>999</v>
          </cell>
          <cell r="M16">
            <v>1090</v>
          </cell>
          <cell r="N16">
            <v>1150</v>
          </cell>
          <cell r="O16">
            <v>1184</v>
          </cell>
          <cell r="P16">
            <v>372</v>
          </cell>
          <cell r="Q16">
            <v>452</v>
          </cell>
          <cell r="R16">
            <v>485</v>
          </cell>
          <cell r="S16">
            <v>461</v>
          </cell>
        </row>
        <row r="17">
          <cell r="E17" t="str">
            <v>U. DE ATACAMA</v>
          </cell>
          <cell r="F17" t="str">
            <v>ATA</v>
          </cell>
          <cell r="G17" t="str">
            <v>CRUCH Est.</v>
          </cell>
          <cell r="H17">
            <v>0.56559766763848396</v>
          </cell>
          <cell r="I17">
            <v>0.54754754754754753</v>
          </cell>
          <cell r="J17">
            <v>0.56735496558505405</v>
          </cell>
          <cell r="K17">
            <v>0.56243854473942967</v>
          </cell>
          <cell r="L17">
            <v>686</v>
          </cell>
          <cell r="M17">
            <v>999</v>
          </cell>
          <cell r="N17">
            <v>1017</v>
          </cell>
          <cell r="O17">
            <v>1017</v>
          </cell>
          <cell r="P17">
            <v>388</v>
          </cell>
          <cell r="Q17">
            <v>547</v>
          </cell>
          <cell r="R17">
            <v>577</v>
          </cell>
          <cell r="S17">
            <v>572</v>
          </cell>
        </row>
        <row r="18">
          <cell r="E18" t="str">
            <v>U. DE CHILE</v>
          </cell>
          <cell r="F18" t="str">
            <v>UCH</v>
          </cell>
          <cell r="G18" t="str">
            <v>CRUCH Est.</v>
          </cell>
          <cell r="H18">
            <v>0.41156530408773678</v>
          </cell>
          <cell r="I18">
            <v>0.44507683551508254</v>
          </cell>
          <cell r="J18">
            <v>0.45997140814867765</v>
          </cell>
          <cell r="K18">
            <v>0.45439659407237598</v>
          </cell>
          <cell r="L18">
            <v>5015</v>
          </cell>
          <cell r="M18">
            <v>5271</v>
          </cell>
          <cell r="N18">
            <v>5596</v>
          </cell>
          <cell r="O18">
            <v>6107</v>
          </cell>
          <cell r="P18">
            <v>2064</v>
          </cell>
          <cell r="Q18">
            <v>2346</v>
          </cell>
          <cell r="R18">
            <v>2574</v>
          </cell>
          <cell r="S18">
            <v>2775</v>
          </cell>
        </row>
        <row r="19">
          <cell r="E19" t="str">
            <v>U. DE CONCEPCIÓN</v>
          </cell>
          <cell r="F19" t="str">
            <v>UCO</v>
          </cell>
          <cell r="G19" t="str">
            <v>CRUCH Priv.</v>
          </cell>
          <cell r="H19">
            <v>0.68837209302325586</v>
          </cell>
          <cell r="I19">
            <v>0.6852334201562813</v>
          </cell>
          <cell r="J19">
            <v>0.70620748299319724</v>
          </cell>
          <cell r="K19">
            <v>0.67432321575061527</v>
          </cell>
          <cell r="L19">
            <v>4730</v>
          </cell>
          <cell r="M19">
            <v>4991</v>
          </cell>
          <cell r="N19">
            <v>4704</v>
          </cell>
          <cell r="O19">
            <v>4876</v>
          </cell>
          <cell r="P19">
            <v>3256</v>
          </cell>
          <cell r="Q19">
            <v>3420</v>
          </cell>
          <cell r="R19">
            <v>3322</v>
          </cell>
          <cell r="S19">
            <v>3288</v>
          </cell>
        </row>
        <row r="20">
          <cell r="E20" t="str">
            <v>U. DE LA FRONTERA</v>
          </cell>
          <cell r="F20" t="str">
            <v>FRO</v>
          </cell>
          <cell r="G20" t="str">
            <v>CRUCH Est.</v>
          </cell>
          <cell r="H20">
            <v>0.66393022062596208</v>
          </cell>
          <cell r="I20">
            <v>0.67006629270780216</v>
          </cell>
          <cell r="J20">
            <v>0.73853452820242493</v>
          </cell>
          <cell r="K20">
            <v>0.70067372473532241</v>
          </cell>
          <cell r="L20">
            <v>1949</v>
          </cell>
          <cell r="M20">
            <v>1961</v>
          </cell>
          <cell r="N20">
            <v>1897</v>
          </cell>
          <cell r="O20">
            <v>2078</v>
          </cell>
          <cell r="P20">
            <v>1294</v>
          </cell>
          <cell r="Q20">
            <v>1314</v>
          </cell>
          <cell r="R20">
            <v>1401</v>
          </cell>
          <cell r="S20">
            <v>1456</v>
          </cell>
        </row>
        <row r="21">
          <cell r="E21" t="str">
            <v>U. DE LA SERENA</v>
          </cell>
          <cell r="F21" t="str">
            <v>ULS</v>
          </cell>
          <cell r="G21" t="str">
            <v>CRUCH Est.</v>
          </cell>
          <cell r="H21">
            <v>0.62411347517730498</v>
          </cell>
          <cell r="I21">
            <v>0.63164400494437578</v>
          </cell>
          <cell r="J21">
            <v>0.66666666666666663</v>
          </cell>
          <cell r="K21">
            <v>0.64916615194564542</v>
          </cell>
          <cell r="L21">
            <v>1551</v>
          </cell>
          <cell r="M21">
            <v>1618</v>
          </cell>
          <cell r="N21">
            <v>1548</v>
          </cell>
          <cell r="O21">
            <v>1619</v>
          </cell>
          <cell r="P21">
            <v>968</v>
          </cell>
          <cell r="Q21">
            <v>1022</v>
          </cell>
          <cell r="R21">
            <v>1032</v>
          </cell>
          <cell r="S21">
            <v>1051</v>
          </cell>
        </row>
        <row r="22">
          <cell r="E22" t="str">
            <v>U. DE LOS LAGOS</v>
          </cell>
          <cell r="F22" t="str">
            <v>ULA</v>
          </cell>
          <cell r="G22" t="str">
            <v>CRUCH Est.</v>
          </cell>
          <cell r="H22">
            <v>0.77881619937694702</v>
          </cell>
          <cell r="I22">
            <v>0.79407806191117092</v>
          </cell>
          <cell r="J22">
            <v>0.81355932203389836</v>
          </cell>
          <cell r="K22">
            <v>0.81936245572609212</v>
          </cell>
          <cell r="L22">
            <v>642</v>
          </cell>
          <cell r="M22">
            <v>743</v>
          </cell>
          <cell r="N22">
            <v>885</v>
          </cell>
          <cell r="O22">
            <v>847</v>
          </cell>
          <cell r="P22">
            <v>500</v>
          </cell>
          <cell r="Q22">
            <v>590</v>
          </cell>
          <cell r="R22">
            <v>720</v>
          </cell>
          <cell r="S22">
            <v>694</v>
          </cell>
        </row>
        <row r="23">
          <cell r="E23" t="str">
            <v>U. DE MAGALLANES</v>
          </cell>
          <cell r="F23" t="str">
            <v>MAG</v>
          </cell>
          <cell r="G23" t="str">
            <v>CRUCH Est.</v>
          </cell>
          <cell r="H23">
            <v>0.4375</v>
          </cell>
          <cell r="I23">
            <v>0.48929159802306427</v>
          </cell>
          <cell r="J23">
            <v>0.51520572450805013</v>
          </cell>
          <cell r="K23">
            <v>0.48652694610778441</v>
          </cell>
          <cell r="L23">
            <v>448</v>
          </cell>
          <cell r="M23">
            <v>607</v>
          </cell>
          <cell r="N23">
            <v>559</v>
          </cell>
          <cell r="O23">
            <v>668</v>
          </cell>
          <cell r="P23">
            <v>196</v>
          </cell>
          <cell r="Q23">
            <v>297</v>
          </cell>
          <cell r="R23">
            <v>288</v>
          </cell>
          <cell r="S23">
            <v>325</v>
          </cell>
        </row>
        <row r="24">
          <cell r="E24" t="str">
            <v>U. DE PLAYA ANCHA DE CS. DE LA ED.</v>
          </cell>
          <cell r="F24" t="str">
            <v>UPA</v>
          </cell>
          <cell r="G24" t="str">
            <v>CRUCH Est.</v>
          </cell>
          <cell r="H24">
            <v>0.73523421588594706</v>
          </cell>
          <cell r="I24">
            <v>0.75209497206703912</v>
          </cell>
          <cell r="J24">
            <v>0.74582172701949856</v>
          </cell>
          <cell r="K24">
            <v>0.71997690531177827</v>
          </cell>
          <cell r="L24">
            <v>1473</v>
          </cell>
          <cell r="M24">
            <v>1432</v>
          </cell>
          <cell r="N24">
            <v>1436</v>
          </cell>
          <cell r="O24">
            <v>1732</v>
          </cell>
          <cell r="P24">
            <v>1083</v>
          </cell>
          <cell r="Q24">
            <v>1077</v>
          </cell>
          <cell r="R24">
            <v>1071</v>
          </cell>
          <cell r="S24">
            <v>1247</v>
          </cell>
        </row>
        <row r="25">
          <cell r="E25" t="str">
            <v>U. DE SANTIAGO</v>
          </cell>
          <cell r="F25" t="str">
            <v>USA</v>
          </cell>
          <cell r="G25" t="str">
            <v>CRUCH Est.</v>
          </cell>
          <cell r="H25">
            <v>0.59645351961311122</v>
          </cell>
          <cell r="I25">
            <v>0.65202598206000617</v>
          </cell>
          <cell r="J25">
            <v>0.70588235294117652</v>
          </cell>
          <cell r="K25">
            <v>0.65954346770276828</v>
          </cell>
          <cell r="L25">
            <v>3722</v>
          </cell>
          <cell r="M25">
            <v>3233</v>
          </cell>
          <cell r="N25">
            <v>3791</v>
          </cell>
          <cell r="O25">
            <v>4118</v>
          </cell>
          <cell r="P25">
            <v>2220</v>
          </cell>
          <cell r="Q25">
            <v>2108</v>
          </cell>
          <cell r="R25">
            <v>2676</v>
          </cell>
          <cell r="S25">
            <v>2716</v>
          </cell>
        </row>
        <row r="26">
          <cell r="E26" t="str">
            <v>U. DE TALCA</v>
          </cell>
          <cell r="F26" t="str">
            <v>TAL</v>
          </cell>
          <cell r="G26" t="str">
            <v>CRUCH Est.</v>
          </cell>
          <cell r="H26">
            <v>0.71533258173618941</v>
          </cell>
          <cell r="I26">
            <v>0.73406694176983034</v>
          </cell>
          <cell r="J26">
            <v>0.73735632183908051</v>
          </cell>
          <cell r="K26">
            <v>0.70734341252699784</v>
          </cell>
          <cell r="L26">
            <v>1774</v>
          </cell>
          <cell r="M26">
            <v>2181</v>
          </cell>
          <cell r="N26">
            <v>1740</v>
          </cell>
          <cell r="O26">
            <v>1852</v>
          </cell>
          <cell r="P26">
            <v>1269</v>
          </cell>
          <cell r="Q26">
            <v>1601</v>
          </cell>
          <cell r="R26">
            <v>1283</v>
          </cell>
          <cell r="S26">
            <v>1310</v>
          </cell>
        </row>
        <row r="27">
          <cell r="E27" t="str">
            <v>U. DE TARAPACÁ</v>
          </cell>
          <cell r="F27" t="str">
            <v>UTA</v>
          </cell>
          <cell r="G27" t="str">
            <v>CRUCH Est.</v>
          </cell>
          <cell r="H27">
            <v>0.67118644067796607</v>
          </cell>
          <cell r="I27">
            <v>0.66928618205631962</v>
          </cell>
          <cell r="J27">
            <v>0.6847405112316034</v>
          </cell>
          <cell r="K27">
            <v>0.66709928617780667</v>
          </cell>
          <cell r="L27">
            <v>1475</v>
          </cell>
          <cell r="M27">
            <v>1527</v>
          </cell>
          <cell r="N27">
            <v>1291</v>
          </cell>
          <cell r="O27">
            <v>1541</v>
          </cell>
          <cell r="P27">
            <v>990</v>
          </cell>
          <cell r="Q27">
            <v>1022</v>
          </cell>
          <cell r="R27">
            <v>884</v>
          </cell>
          <cell r="S27">
            <v>1028</v>
          </cell>
        </row>
        <row r="28">
          <cell r="E28" t="str">
            <v>U. DE VALPARAÍSO</v>
          </cell>
          <cell r="F28" t="str">
            <v>UVA</v>
          </cell>
          <cell r="G28" t="str">
            <v>CRUCH Est.</v>
          </cell>
          <cell r="H28">
            <v>0.62751065124771754</v>
          </cell>
          <cell r="I28">
            <v>0.64366290643662905</v>
          </cell>
          <cell r="J28">
            <v>0.64736842105263159</v>
          </cell>
          <cell r="K28">
            <v>0.60130718954248363</v>
          </cell>
          <cell r="L28">
            <v>3286</v>
          </cell>
          <cell r="M28">
            <v>3014</v>
          </cell>
          <cell r="N28">
            <v>2850</v>
          </cell>
          <cell r="O28">
            <v>3060</v>
          </cell>
          <cell r="P28">
            <v>2062</v>
          </cell>
          <cell r="Q28">
            <v>1940</v>
          </cell>
          <cell r="R28">
            <v>1845</v>
          </cell>
          <cell r="S28">
            <v>1840</v>
          </cell>
        </row>
        <row r="29">
          <cell r="E29" t="str">
            <v>U. DEL BÍO-BÍO</v>
          </cell>
          <cell r="F29" t="str">
            <v>UBB</v>
          </cell>
          <cell r="G29" t="str">
            <v>CRUCH Est.</v>
          </cell>
          <cell r="H29">
            <v>0.79146919431279616</v>
          </cell>
          <cell r="I29">
            <v>0.82854617764030047</v>
          </cell>
          <cell r="J29">
            <v>0.84066193853427895</v>
          </cell>
          <cell r="K29">
            <v>0.79973935708079935</v>
          </cell>
          <cell r="L29">
            <v>2110</v>
          </cell>
          <cell r="M29">
            <v>2263</v>
          </cell>
          <cell r="N29">
            <v>2115</v>
          </cell>
          <cell r="O29">
            <v>2302</v>
          </cell>
          <cell r="P29">
            <v>1670</v>
          </cell>
          <cell r="Q29">
            <v>1875</v>
          </cell>
          <cell r="R29">
            <v>1778</v>
          </cell>
          <cell r="S29">
            <v>1841</v>
          </cell>
        </row>
        <row r="30">
          <cell r="E30" t="str">
            <v>U. METROPOLITANA DE CS. DE LA ED.</v>
          </cell>
          <cell r="F30" t="str">
            <v>UMC</v>
          </cell>
          <cell r="G30" t="str">
            <v>CRUCH Est.</v>
          </cell>
          <cell r="H30">
            <v>0.65916069600818838</v>
          </cell>
          <cell r="I30">
            <v>0.67375231053604434</v>
          </cell>
          <cell r="J30">
            <v>0.64559386973180077</v>
          </cell>
          <cell r="K30">
            <v>0.65847457627118644</v>
          </cell>
          <cell r="L30">
            <v>977</v>
          </cell>
          <cell r="M30">
            <v>1082</v>
          </cell>
          <cell r="N30">
            <v>1044</v>
          </cell>
          <cell r="O30">
            <v>1180</v>
          </cell>
          <cell r="P30">
            <v>644</v>
          </cell>
          <cell r="Q30">
            <v>729</v>
          </cell>
          <cell r="R30">
            <v>674</v>
          </cell>
          <cell r="S30">
            <v>777</v>
          </cell>
        </row>
        <row r="31">
          <cell r="E31" t="str">
            <v>U. TÉCNICA FEDERICO STA. MARÍA</v>
          </cell>
          <cell r="F31" t="str">
            <v>FSM</v>
          </cell>
          <cell r="G31" t="str">
            <v>CRUCH Priv.</v>
          </cell>
          <cell r="H31">
            <v>0.47096774193548385</v>
          </cell>
          <cell r="I31">
            <v>0.49862863411958308</v>
          </cell>
          <cell r="J31">
            <v>0.51072961373390557</v>
          </cell>
          <cell r="K31">
            <v>0.49270664505672607</v>
          </cell>
          <cell r="L31">
            <v>2170</v>
          </cell>
          <cell r="M31">
            <v>1823</v>
          </cell>
          <cell r="N31">
            <v>1864</v>
          </cell>
          <cell r="O31">
            <v>1851</v>
          </cell>
          <cell r="P31">
            <v>1022</v>
          </cell>
          <cell r="Q31">
            <v>909</v>
          </cell>
          <cell r="R31">
            <v>952</v>
          </cell>
          <cell r="S31">
            <v>912</v>
          </cell>
        </row>
        <row r="32">
          <cell r="E32" t="str">
            <v>U. TECNOLÓGICA METROPOLITANA</v>
          </cell>
          <cell r="F32" t="str">
            <v>UTM</v>
          </cell>
          <cell r="G32" t="str">
            <v>CRUCH Est.</v>
          </cell>
          <cell r="H32">
            <v>0.72512755102040816</v>
          </cell>
          <cell r="I32">
            <v>0.75057208237986273</v>
          </cell>
          <cell r="J32">
            <v>0.75785482123510295</v>
          </cell>
          <cell r="K32">
            <v>0.74829600778967864</v>
          </cell>
          <cell r="L32">
            <v>1568</v>
          </cell>
          <cell r="M32">
            <v>1748</v>
          </cell>
          <cell r="N32">
            <v>1846</v>
          </cell>
          <cell r="O32">
            <v>2054</v>
          </cell>
          <cell r="P32">
            <v>1137</v>
          </cell>
          <cell r="Q32">
            <v>1312</v>
          </cell>
          <cell r="R32">
            <v>1399</v>
          </cell>
          <cell r="S32">
            <v>1537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0.57637975407492137</v>
          </cell>
          <cell r="I33">
            <v>0.59971685451102241</v>
          </cell>
          <cell r="J33">
            <v>0.61606038794455831</v>
          </cell>
          <cell r="K33">
            <v>0.59552161083145283</v>
          </cell>
          <cell r="L33">
            <v>52455</v>
          </cell>
          <cell r="M33">
            <v>54389</v>
          </cell>
          <cell r="N33">
            <v>54183</v>
          </cell>
          <cell r="O33">
            <v>57610</v>
          </cell>
          <cell r="P33">
            <v>30234</v>
          </cell>
          <cell r="Q33">
            <v>32618</v>
          </cell>
          <cell r="R33">
            <v>33380</v>
          </cell>
          <cell r="S33">
            <v>34308</v>
          </cell>
        </row>
        <row r="34">
          <cell r="E34" t="str">
            <v>U. ACADEMIA HUMANISMO CRISTIANO</v>
          </cell>
          <cell r="F34" t="str">
            <v>AHC</v>
          </cell>
          <cell r="G34" t="str">
            <v>U. Privada</v>
          </cell>
          <cell r="H34">
            <v>0.60610687022900767</v>
          </cell>
          <cell r="I34">
            <v>0.59277504105090317</v>
          </cell>
          <cell r="J34">
            <v>0.57954545454545459</v>
          </cell>
          <cell r="K34">
            <v>0.53125</v>
          </cell>
          <cell r="L34">
            <v>655</v>
          </cell>
          <cell r="M34">
            <v>609</v>
          </cell>
          <cell r="N34">
            <v>616</v>
          </cell>
          <cell r="O34">
            <v>768</v>
          </cell>
          <cell r="P34">
            <v>397</v>
          </cell>
          <cell r="Q34">
            <v>361</v>
          </cell>
          <cell r="R34">
            <v>357</v>
          </cell>
          <cell r="S34">
            <v>408</v>
          </cell>
        </row>
        <row r="35">
          <cell r="E35" t="str">
            <v>U. ADOLFO IBAÑEZ</v>
          </cell>
          <cell r="F35" t="str">
            <v>UAI</v>
          </cell>
          <cell r="G35" t="str">
            <v>U. Privada</v>
          </cell>
          <cell r="H35">
            <v>7.758186397984887E-2</v>
          </cell>
          <cell r="I35">
            <v>0.11235059760956176</v>
          </cell>
          <cell r="J35">
            <v>0.11445279866332497</v>
          </cell>
          <cell r="K35">
            <v>0.1</v>
          </cell>
          <cell r="L35">
            <v>1985</v>
          </cell>
          <cell r="M35">
            <v>1255</v>
          </cell>
          <cell r="N35">
            <v>1197</v>
          </cell>
          <cell r="O35">
            <v>1220</v>
          </cell>
          <cell r="P35">
            <v>154</v>
          </cell>
          <cell r="Q35">
            <v>141</v>
          </cell>
          <cell r="R35">
            <v>137</v>
          </cell>
          <cell r="S35">
            <v>122</v>
          </cell>
        </row>
        <row r="36">
          <cell r="E36" t="str">
            <v>U. ADVENTISTA</v>
          </cell>
          <cell r="F36" t="str">
            <v>UAC</v>
          </cell>
          <cell r="G36" t="str">
            <v>U. Privada</v>
          </cell>
          <cell r="H36">
            <v>0.55631399317406138</v>
          </cell>
          <cell r="I36">
            <v>0.65957446808510634</v>
          </cell>
          <cell r="J36">
            <v>0.73421052631578942</v>
          </cell>
          <cell r="K36">
            <v>0.73087818696883855</v>
          </cell>
          <cell r="L36">
            <v>293</v>
          </cell>
          <cell r="M36">
            <v>376</v>
          </cell>
          <cell r="N36">
            <v>380</v>
          </cell>
          <cell r="O36">
            <v>353</v>
          </cell>
          <cell r="P36">
            <v>163</v>
          </cell>
          <cell r="Q36">
            <v>248</v>
          </cell>
          <cell r="R36">
            <v>279</v>
          </cell>
          <cell r="S36">
            <v>258</v>
          </cell>
        </row>
        <row r="37">
          <cell r="E37" t="str">
            <v>U. ALBERTO HURTADO</v>
          </cell>
          <cell r="F37" t="str">
            <v>UAH</v>
          </cell>
          <cell r="G37" t="str">
            <v>U. Privada</v>
          </cell>
          <cell r="H37">
            <v>0.52495697074010328</v>
          </cell>
          <cell r="I37">
            <v>0.54051863857374394</v>
          </cell>
          <cell r="J37">
            <v>0.54968454258675081</v>
          </cell>
          <cell r="K37">
            <v>0.5496598639455782</v>
          </cell>
          <cell r="L37">
            <v>1162</v>
          </cell>
          <cell r="M37">
            <v>1234</v>
          </cell>
          <cell r="N37">
            <v>1268</v>
          </cell>
          <cell r="O37">
            <v>1470</v>
          </cell>
          <cell r="P37">
            <v>610</v>
          </cell>
          <cell r="Q37">
            <v>667</v>
          </cell>
          <cell r="R37">
            <v>697</v>
          </cell>
          <cell r="S37">
            <v>808</v>
          </cell>
        </row>
        <row r="38">
          <cell r="E38" t="str">
            <v>U. ANDRÉS BELLO</v>
          </cell>
          <cell r="F38" t="str">
            <v>UAB</v>
          </cell>
          <cell r="G38" t="str">
            <v>U. Privada</v>
          </cell>
          <cell r="H38">
            <v>0.43491799875441145</v>
          </cell>
          <cell r="I38">
            <v>0.50858263854830799</v>
          </cell>
          <cell r="J38">
            <v>0.52253866465484722</v>
          </cell>
          <cell r="K38">
            <v>0.52252151559181848</v>
          </cell>
          <cell r="L38">
            <v>9634</v>
          </cell>
          <cell r="M38">
            <v>10195</v>
          </cell>
          <cell r="N38">
            <v>10604</v>
          </cell>
          <cell r="O38">
            <v>8947</v>
          </cell>
          <cell r="P38">
            <v>4190</v>
          </cell>
          <cell r="Q38">
            <v>5185</v>
          </cell>
          <cell r="R38">
            <v>5541</v>
          </cell>
          <cell r="S38">
            <v>4675</v>
          </cell>
        </row>
        <row r="39">
          <cell r="E39" t="str">
            <v>U. AUTÓNOMA DE CHILE</v>
          </cell>
          <cell r="F39" t="str">
            <v>UAU</v>
          </cell>
          <cell r="G39" t="str">
            <v>U. Privada</v>
          </cell>
          <cell r="H39">
            <v>0.70137795275590553</v>
          </cell>
          <cell r="I39">
            <v>0.71059954464963315</v>
          </cell>
          <cell r="J39">
            <v>0.69373988127361041</v>
          </cell>
          <cell r="K39">
            <v>0.66383701188455013</v>
          </cell>
          <cell r="L39">
            <v>5080</v>
          </cell>
          <cell r="M39">
            <v>3953</v>
          </cell>
          <cell r="N39">
            <v>3706</v>
          </cell>
          <cell r="O39">
            <v>4123</v>
          </cell>
          <cell r="P39">
            <v>3563</v>
          </cell>
          <cell r="Q39">
            <v>2809</v>
          </cell>
          <cell r="R39">
            <v>2571</v>
          </cell>
          <cell r="S39">
            <v>2737</v>
          </cell>
        </row>
        <row r="40">
          <cell r="E40" t="str">
            <v>U. BERNARDO O'HIGGINS</v>
          </cell>
          <cell r="F40" t="str">
            <v>UBO</v>
          </cell>
          <cell r="G40" t="str">
            <v>U. Privada</v>
          </cell>
          <cell r="H40">
            <v>0.53852596314907875</v>
          </cell>
          <cell r="I40">
            <v>0.37</v>
          </cell>
          <cell r="J40">
            <v>0.52112676056338025</v>
          </cell>
          <cell r="K40">
            <v>0.57673667205169632</v>
          </cell>
          <cell r="L40">
            <v>1194</v>
          </cell>
          <cell r="M40">
            <v>400</v>
          </cell>
          <cell r="N40">
            <v>1278</v>
          </cell>
          <cell r="O40">
            <v>1238</v>
          </cell>
          <cell r="P40">
            <v>643</v>
          </cell>
          <cell r="Q40">
            <v>148</v>
          </cell>
          <cell r="R40">
            <v>666</v>
          </cell>
          <cell r="S40">
            <v>714</v>
          </cell>
        </row>
        <row r="41">
          <cell r="E41" t="str">
            <v>U. BOLIVARIANA</v>
          </cell>
          <cell r="F41" t="str">
            <v>UBL</v>
          </cell>
          <cell r="G41" t="str">
            <v>U. Privada</v>
          </cell>
          <cell r="H41">
            <v>0.17765042979942694</v>
          </cell>
          <cell r="I41">
            <v>0.2058252427184466</v>
          </cell>
          <cell r="J41">
            <v>0.17391304347826086</v>
          </cell>
          <cell r="K41">
            <v>0.23798076923076922</v>
          </cell>
          <cell r="L41">
            <v>349</v>
          </cell>
          <cell r="M41">
            <v>1030</v>
          </cell>
          <cell r="N41">
            <v>460</v>
          </cell>
          <cell r="O41">
            <v>416</v>
          </cell>
          <cell r="P41">
            <v>62</v>
          </cell>
          <cell r="Q41">
            <v>212</v>
          </cell>
          <cell r="R41">
            <v>80</v>
          </cell>
          <cell r="S41">
            <v>99</v>
          </cell>
        </row>
        <row r="42">
          <cell r="E42" t="str">
            <v>U. C. SILVA HENRÍQUEZ</v>
          </cell>
          <cell r="F42" t="str">
            <v>UCS</v>
          </cell>
          <cell r="G42" t="str">
            <v>U. Privada</v>
          </cell>
          <cell r="H42">
            <v>0.44831223628691985</v>
          </cell>
          <cell r="I42">
            <v>0.55592105263157898</v>
          </cell>
          <cell r="J42">
            <v>0.54957507082152979</v>
          </cell>
          <cell r="K42">
            <v>0.58289241622574961</v>
          </cell>
          <cell r="L42">
            <v>948</v>
          </cell>
          <cell r="M42">
            <v>912</v>
          </cell>
          <cell r="N42">
            <v>1059</v>
          </cell>
          <cell r="O42">
            <v>1134</v>
          </cell>
          <cell r="P42">
            <v>425</v>
          </cell>
          <cell r="Q42">
            <v>507</v>
          </cell>
          <cell r="R42">
            <v>582</v>
          </cell>
          <cell r="S42">
            <v>661</v>
          </cell>
        </row>
        <row r="43">
          <cell r="E43" t="str">
            <v>U. CENTRAL</v>
          </cell>
          <cell r="F43" t="str">
            <v>UCE</v>
          </cell>
          <cell r="G43" t="str">
            <v>U. Privada</v>
          </cell>
          <cell r="H43">
            <v>0.54289166331051153</v>
          </cell>
          <cell r="I43">
            <v>0.5735115431348724</v>
          </cell>
          <cell r="J43">
            <v>0.59445337620578775</v>
          </cell>
          <cell r="K43">
            <v>0.53638344226579515</v>
          </cell>
          <cell r="L43">
            <v>2483</v>
          </cell>
          <cell r="M43">
            <v>2469</v>
          </cell>
          <cell r="N43">
            <v>2488</v>
          </cell>
          <cell r="O43">
            <v>2295</v>
          </cell>
          <cell r="P43">
            <v>1348</v>
          </cell>
          <cell r="Q43">
            <v>1416</v>
          </cell>
          <cell r="R43">
            <v>1479</v>
          </cell>
          <cell r="S43">
            <v>1231</v>
          </cell>
        </row>
        <row r="44">
          <cell r="E44" t="str">
            <v>U. CHILENO BRITÁNICA DE CULTURA</v>
          </cell>
          <cell r="F44" t="e">
            <v>#N/A</v>
          </cell>
          <cell r="G44" t="str">
            <v>U. Privada</v>
          </cell>
          <cell r="H44">
            <v>0.10752688172043011</v>
          </cell>
          <cell r="I44">
            <v>0.12380952380952381</v>
          </cell>
          <cell r="J44">
            <v>0.20143884892086331</v>
          </cell>
          <cell r="K44">
            <v>0.18939393939393939</v>
          </cell>
          <cell r="L44">
            <v>93</v>
          </cell>
          <cell r="M44">
            <v>105</v>
          </cell>
          <cell r="N44">
            <v>139</v>
          </cell>
          <cell r="O44">
            <v>132</v>
          </cell>
          <cell r="P44">
            <v>10</v>
          </cell>
          <cell r="Q44">
            <v>13</v>
          </cell>
          <cell r="R44">
            <v>28</v>
          </cell>
          <cell r="S44">
            <v>25</v>
          </cell>
        </row>
        <row r="45">
          <cell r="E45" t="str">
            <v>U. DE ACONCAGUA</v>
          </cell>
          <cell r="F45" t="e">
            <v>#N/A</v>
          </cell>
          <cell r="G45" t="str">
            <v>U. Privada</v>
          </cell>
          <cell r="H45">
            <v>0.18237082066869301</v>
          </cell>
          <cell r="I45">
            <v>0.18704379562043796</v>
          </cell>
          <cell r="J45">
            <v>0.25979680696661828</v>
          </cell>
          <cell r="K45">
            <v>0.30434782608695654</v>
          </cell>
          <cell r="L45">
            <v>1316</v>
          </cell>
          <cell r="M45">
            <v>1096</v>
          </cell>
          <cell r="N45">
            <v>689</v>
          </cell>
          <cell r="O45">
            <v>1081</v>
          </cell>
          <cell r="P45">
            <v>240</v>
          </cell>
          <cell r="Q45">
            <v>205</v>
          </cell>
          <cell r="R45">
            <v>179</v>
          </cell>
          <cell r="S45">
            <v>329</v>
          </cell>
        </row>
        <row r="46">
          <cell r="E46" t="str">
            <v>U. DE ARTES Y CS. SOCIALES ARCIS</v>
          </cell>
          <cell r="F46" t="str">
            <v>UAR</v>
          </cell>
          <cell r="G46" t="str">
            <v>U. Privada</v>
          </cell>
          <cell r="H46">
            <v>0.417940876656473</v>
          </cell>
          <cell r="I46">
            <v>0.46642246642246643</v>
          </cell>
          <cell r="J46">
            <v>0.4796854521625164</v>
          </cell>
          <cell r="K46">
            <v>0</v>
          </cell>
          <cell r="L46">
            <v>981</v>
          </cell>
          <cell r="M46">
            <v>819</v>
          </cell>
          <cell r="N46">
            <v>763</v>
          </cell>
          <cell r="O46">
            <v>0</v>
          </cell>
          <cell r="P46">
            <v>410</v>
          </cell>
          <cell r="Q46">
            <v>382</v>
          </cell>
          <cell r="R46">
            <v>366</v>
          </cell>
          <cell r="S46">
            <v>0</v>
          </cell>
        </row>
        <row r="47">
          <cell r="E47" t="str">
            <v>U. DE ARTES, CS. Y COMUNICACIÓN UNIACC</v>
          </cell>
          <cell r="F47" t="str">
            <v>UCC</v>
          </cell>
          <cell r="G47" t="str">
            <v>U. Privada</v>
          </cell>
          <cell r="H47">
            <v>0.11253196930946291</v>
          </cell>
          <cell r="I47">
            <v>0.14606741573033707</v>
          </cell>
          <cell r="J47">
            <v>0.20357142857142857</v>
          </cell>
          <cell r="K47">
            <v>0.22479564032697547</v>
          </cell>
          <cell r="L47">
            <v>782</v>
          </cell>
          <cell r="M47">
            <v>534</v>
          </cell>
          <cell r="N47">
            <v>560</v>
          </cell>
          <cell r="O47">
            <v>734</v>
          </cell>
          <cell r="P47">
            <v>88</v>
          </cell>
          <cell r="Q47">
            <v>78</v>
          </cell>
          <cell r="R47">
            <v>114</v>
          </cell>
          <cell r="S47">
            <v>165</v>
          </cell>
        </row>
        <row r="48">
          <cell r="E48" t="str">
            <v>U. DE LAS AMÉRICAS</v>
          </cell>
          <cell r="F48" t="str">
            <v>UAM</v>
          </cell>
          <cell r="G48" t="str">
            <v>U. Privada</v>
          </cell>
          <cell r="H48">
            <v>0.45065838141736941</v>
          </cell>
          <cell r="I48">
            <v>0.48454070201643018</v>
          </cell>
          <cell r="J48">
            <v>0.3836967808930426</v>
          </cell>
          <cell r="K48">
            <v>0.39352226720647776</v>
          </cell>
          <cell r="L48">
            <v>6759</v>
          </cell>
          <cell r="M48">
            <v>6695</v>
          </cell>
          <cell r="N48">
            <v>3852</v>
          </cell>
          <cell r="O48">
            <v>3705</v>
          </cell>
          <cell r="P48">
            <v>3046</v>
          </cell>
          <cell r="Q48">
            <v>3244</v>
          </cell>
          <cell r="R48">
            <v>1478</v>
          </cell>
          <cell r="S48">
            <v>1458</v>
          </cell>
        </row>
        <row r="49">
          <cell r="E49" t="str">
            <v>U. DE LOS ANDES</v>
          </cell>
          <cell r="F49" t="str">
            <v>UAN</v>
          </cell>
          <cell r="G49" t="str">
            <v>U. Privada</v>
          </cell>
          <cell r="H49">
            <v>0.10035419126328217</v>
          </cell>
          <cell r="I49">
            <v>9.9911582670203364E-2</v>
          </cell>
          <cell r="J49">
            <v>9.3648208469055375E-2</v>
          </cell>
          <cell r="K49">
            <v>9.5973154362416102E-2</v>
          </cell>
          <cell r="L49">
            <v>847</v>
          </cell>
          <cell r="M49">
            <v>1131</v>
          </cell>
          <cell r="N49">
            <v>1228</v>
          </cell>
          <cell r="O49">
            <v>1490</v>
          </cell>
          <cell r="P49">
            <v>85</v>
          </cell>
          <cell r="Q49">
            <v>113</v>
          </cell>
          <cell r="R49">
            <v>115</v>
          </cell>
          <cell r="S49">
            <v>143</v>
          </cell>
        </row>
        <row r="50">
          <cell r="E50" t="str">
            <v>U. DE VIÑA DEL MAR</v>
          </cell>
          <cell r="F50" t="str">
            <v>UVM</v>
          </cell>
          <cell r="G50" t="str">
            <v>U. Privada</v>
          </cell>
          <cell r="H50">
            <v>0.48609625668449197</v>
          </cell>
          <cell r="I50">
            <v>0.54300168634064083</v>
          </cell>
          <cell r="J50">
            <v>0.56441717791411039</v>
          </cell>
          <cell r="K50">
            <v>0.56050955414012738</v>
          </cell>
          <cell r="L50">
            <v>1870</v>
          </cell>
          <cell r="M50">
            <v>1186</v>
          </cell>
          <cell r="N50">
            <v>1956</v>
          </cell>
          <cell r="O50">
            <v>1884</v>
          </cell>
          <cell r="P50">
            <v>909</v>
          </cell>
          <cell r="Q50">
            <v>644</v>
          </cell>
          <cell r="R50">
            <v>1104</v>
          </cell>
          <cell r="S50">
            <v>1056</v>
          </cell>
        </row>
        <row r="51">
          <cell r="E51" t="str">
            <v>U. DEL DESARROLLO</v>
          </cell>
          <cell r="F51" t="str">
            <v>UDD</v>
          </cell>
          <cell r="G51" t="str">
            <v>U. Privada</v>
          </cell>
          <cell r="H51">
            <v>0.17700112739571588</v>
          </cell>
          <cell r="I51">
            <v>0.17885532591414943</v>
          </cell>
          <cell r="J51">
            <v>0.19187898089171976</v>
          </cell>
          <cell r="K51">
            <v>0.19924953095684803</v>
          </cell>
          <cell r="L51">
            <v>2661</v>
          </cell>
          <cell r="M51">
            <v>2516</v>
          </cell>
          <cell r="N51">
            <v>2512</v>
          </cell>
          <cell r="O51">
            <v>2665</v>
          </cell>
          <cell r="P51">
            <v>471</v>
          </cell>
          <cell r="Q51">
            <v>450</v>
          </cell>
          <cell r="R51">
            <v>482</v>
          </cell>
          <cell r="S51">
            <v>531</v>
          </cell>
        </row>
        <row r="52">
          <cell r="E52" t="str">
            <v>U. DEL MAR</v>
          </cell>
          <cell r="F52" t="str">
            <v>UDM</v>
          </cell>
          <cell r="G52" t="str">
            <v>U. Privada</v>
          </cell>
          <cell r="H52">
            <v>0.38678387390118218</v>
          </cell>
          <cell r="I52">
            <v>0</v>
          </cell>
          <cell r="J52">
            <v>0</v>
          </cell>
          <cell r="K52">
            <v>0</v>
          </cell>
          <cell r="L52">
            <v>3299</v>
          </cell>
          <cell r="M52">
            <v>0</v>
          </cell>
          <cell r="N52">
            <v>0</v>
          </cell>
          <cell r="O52">
            <v>0</v>
          </cell>
          <cell r="P52">
            <v>1276</v>
          </cell>
          <cell r="Q52">
            <v>0</v>
          </cell>
          <cell r="R52">
            <v>0</v>
          </cell>
          <cell r="S52">
            <v>0</v>
          </cell>
        </row>
        <row r="53">
          <cell r="E53" t="str">
            <v>U. DEL PACÍFICO</v>
          </cell>
          <cell r="F53" t="str">
            <v>UPO</v>
          </cell>
          <cell r="G53" t="str">
            <v>U. Privada</v>
          </cell>
          <cell r="H53">
            <v>0.35604395604395606</v>
          </cell>
          <cell r="I53">
            <v>0.36319018404907977</v>
          </cell>
          <cell r="J53">
            <v>0.36484687083888151</v>
          </cell>
          <cell r="K53">
            <v>0.30078125</v>
          </cell>
          <cell r="L53">
            <v>910</v>
          </cell>
          <cell r="M53">
            <v>815</v>
          </cell>
          <cell r="N53">
            <v>751</v>
          </cell>
          <cell r="O53">
            <v>512</v>
          </cell>
          <cell r="P53">
            <v>324</v>
          </cell>
          <cell r="Q53">
            <v>296</v>
          </cell>
          <cell r="R53">
            <v>274</v>
          </cell>
          <cell r="S53">
            <v>154</v>
          </cell>
        </row>
        <row r="54">
          <cell r="E54" t="str">
            <v>U. DIEGO PORTALES</v>
          </cell>
          <cell r="F54" t="str">
            <v>UDP</v>
          </cell>
          <cell r="G54" t="str">
            <v>U. Privada</v>
          </cell>
          <cell r="H54">
            <v>0.29138276553106213</v>
          </cell>
          <cell r="I54">
            <v>0.36324479540559945</v>
          </cell>
          <cell r="J54">
            <v>0.39039887045534771</v>
          </cell>
          <cell r="K54">
            <v>0.36712425202393523</v>
          </cell>
          <cell r="L54">
            <v>2495</v>
          </cell>
          <cell r="M54">
            <v>2786</v>
          </cell>
          <cell r="N54">
            <v>2833</v>
          </cell>
          <cell r="O54">
            <v>2841</v>
          </cell>
          <cell r="P54">
            <v>727</v>
          </cell>
          <cell r="Q54">
            <v>1012</v>
          </cell>
          <cell r="R54">
            <v>1106</v>
          </cell>
          <cell r="S54">
            <v>1043</v>
          </cell>
        </row>
        <row r="55">
          <cell r="E55" t="str">
            <v>U. FINIS TERRAE</v>
          </cell>
          <cell r="F55" t="str">
            <v>UFT</v>
          </cell>
          <cell r="G55" t="str">
            <v>U. Privada</v>
          </cell>
          <cell r="H55">
            <v>0.26178010471204188</v>
          </cell>
          <cell r="I55">
            <v>0.32300884955752213</v>
          </cell>
          <cell r="J55">
            <v>0.3080851063829787</v>
          </cell>
          <cell r="K55">
            <v>0.32340425531914896</v>
          </cell>
          <cell r="L55">
            <v>1146</v>
          </cell>
          <cell r="M55">
            <v>1130</v>
          </cell>
          <cell r="N55">
            <v>1175</v>
          </cell>
          <cell r="O55">
            <v>1410</v>
          </cell>
          <cell r="P55">
            <v>300</v>
          </cell>
          <cell r="Q55">
            <v>365</v>
          </cell>
          <cell r="R55">
            <v>362</v>
          </cell>
          <cell r="S55">
            <v>456</v>
          </cell>
        </row>
        <row r="56">
          <cell r="E56" t="str">
            <v>U. GABRIELA MISTRAL</v>
          </cell>
          <cell r="F56" t="str">
            <v>UGM</v>
          </cell>
          <cell r="G56" t="str">
            <v>U. Privada</v>
          </cell>
          <cell r="H56">
            <v>0</v>
          </cell>
          <cell r="I56">
            <v>0.20512820512820512</v>
          </cell>
          <cell r="J56">
            <v>0.21052631578947367</v>
          </cell>
          <cell r="K56">
            <v>7.3170731707317069E-2</v>
          </cell>
          <cell r="L56">
            <v>0</v>
          </cell>
          <cell r="M56">
            <v>195</v>
          </cell>
          <cell r="N56">
            <v>114</v>
          </cell>
          <cell r="O56">
            <v>41</v>
          </cell>
          <cell r="P56">
            <v>0</v>
          </cell>
          <cell r="Q56">
            <v>40</v>
          </cell>
          <cell r="R56">
            <v>24</v>
          </cell>
          <cell r="S56">
            <v>3</v>
          </cell>
        </row>
        <row r="57">
          <cell r="E57" t="str">
            <v>U. IBEROAMERICANA DE CS. Y TECNOLOGÍA UNICYT</v>
          </cell>
          <cell r="F57" t="str">
            <v>UIB</v>
          </cell>
          <cell r="G57" t="str">
            <v>U. Privada</v>
          </cell>
          <cell r="H57">
            <v>0.55159474671669795</v>
          </cell>
          <cell r="I57">
            <v>0.58664546899841019</v>
          </cell>
          <cell r="J57">
            <v>0.38738738738738737</v>
          </cell>
          <cell r="K57">
            <v>0.39884393063583817</v>
          </cell>
          <cell r="L57">
            <v>533</v>
          </cell>
          <cell r="M57">
            <v>629</v>
          </cell>
          <cell r="N57">
            <v>333</v>
          </cell>
          <cell r="O57">
            <v>346</v>
          </cell>
          <cell r="P57">
            <v>294</v>
          </cell>
          <cell r="Q57">
            <v>369</v>
          </cell>
          <cell r="R57">
            <v>129</v>
          </cell>
          <cell r="S57">
            <v>138</v>
          </cell>
        </row>
        <row r="58">
          <cell r="E58" t="str">
            <v>U. LA ARAUCANA</v>
          </cell>
          <cell r="F58" t="e">
            <v>#N/A</v>
          </cell>
          <cell r="G58" t="str">
            <v>U. Privada</v>
          </cell>
          <cell r="H58">
            <v>0.20618556701030927</v>
          </cell>
          <cell r="I58">
            <v>0.13223140495867769</v>
          </cell>
          <cell r="J58">
            <v>0.28455284552845528</v>
          </cell>
          <cell r="K58">
            <v>0.20346320346320346</v>
          </cell>
          <cell r="L58">
            <v>97</v>
          </cell>
          <cell r="M58">
            <v>121</v>
          </cell>
          <cell r="N58">
            <v>123</v>
          </cell>
          <cell r="O58">
            <v>231</v>
          </cell>
          <cell r="P58">
            <v>20</v>
          </cell>
          <cell r="Q58">
            <v>16</v>
          </cell>
          <cell r="R58">
            <v>35</v>
          </cell>
          <cell r="S58">
            <v>47</v>
          </cell>
        </row>
        <row r="59">
          <cell r="E59" t="str">
            <v>U. LA REPÚBLICA</v>
          </cell>
          <cell r="F59" t="str">
            <v>ULR</v>
          </cell>
          <cell r="G59" t="str">
            <v>U. Privada</v>
          </cell>
          <cell r="H59">
            <v>0.1943231441048035</v>
          </cell>
          <cell r="I59">
            <v>0.21848739495798319</v>
          </cell>
          <cell r="J59">
            <v>0.22165474974463739</v>
          </cell>
          <cell r="K59">
            <v>0.31965442764578833</v>
          </cell>
          <cell r="L59">
            <v>458</v>
          </cell>
          <cell r="M59">
            <v>595</v>
          </cell>
          <cell r="N59">
            <v>979</v>
          </cell>
          <cell r="O59">
            <v>926</v>
          </cell>
          <cell r="P59">
            <v>89</v>
          </cell>
          <cell r="Q59">
            <v>130</v>
          </cell>
          <cell r="R59">
            <v>217</v>
          </cell>
          <cell r="S59">
            <v>296</v>
          </cell>
        </row>
        <row r="60">
          <cell r="E60" t="str">
            <v>U. LOS LEONES</v>
          </cell>
          <cell r="F60" t="e">
            <v>#N/A</v>
          </cell>
          <cell r="G60" t="str">
            <v>U. Privada</v>
          </cell>
          <cell r="H60">
            <v>0.25794032723772858</v>
          </cell>
          <cell r="I60">
            <v>0.24035874439461882</v>
          </cell>
          <cell r="J60">
            <v>0.29014989293361887</v>
          </cell>
          <cell r="K60">
            <v>0.33858998144712432</v>
          </cell>
          <cell r="L60">
            <v>1039</v>
          </cell>
          <cell r="M60">
            <v>1115</v>
          </cell>
          <cell r="N60">
            <v>934</v>
          </cell>
          <cell r="O60">
            <v>1078</v>
          </cell>
          <cell r="P60">
            <v>268</v>
          </cell>
          <cell r="Q60">
            <v>268</v>
          </cell>
          <cell r="R60">
            <v>271</v>
          </cell>
          <cell r="S60">
            <v>365</v>
          </cell>
        </row>
        <row r="61">
          <cell r="E61" t="str">
            <v>U. MAYOR</v>
          </cell>
          <cell r="F61" t="str">
            <v>UMA</v>
          </cell>
          <cell r="G61" t="str">
            <v>U. Privada</v>
          </cell>
          <cell r="H61">
            <v>0.3845496009122007</v>
          </cell>
          <cell r="I61">
            <v>0.37844217151848936</v>
          </cell>
          <cell r="J61">
            <v>0.38699261992619927</v>
          </cell>
          <cell r="K61">
            <v>0.38349630336274743</v>
          </cell>
          <cell r="L61">
            <v>3508</v>
          </cell>
          <cell r="M61">
            <v>3813</v>
          </cell>
          <cell r="N61">
            <v>4336</v>
          </cell>
          <cell r="O61">
            <v>4193</v>
          </cell>
          <cell r="P61">
            <v>1349</v>
          </cell>
          <cell r="Q61">
            <v>1443</v>
          </cell>
          <cell r="R61">
            <v>1678</v>
          </cell>
          <cell r="S61">
            <v>1608</v>
          </cell>
        </row>
        <row r="62">
          <cell r="E62" t="str">
            <v>U. MIGUEL DE CERVANTES</v>
          </cell>
          <cell r="F62" t="e">
            <v>#N/A</v>
          </cell>
          <cell r="G62" t="str">
            <v>U. Privada</v>
          </cell>
          <cell r="H62">
            <v>0.11661807580174927</v>
          </cell>
          <cell r="I62">
            <v>9.4972067039106142E-2</v>
          </cell>
          <cell r="J62">
            <v>0.15294117647058825</v>
          </cell>
          <cell r="K62">
            <v>0.22764227642276422</v>
          </cell>
          <cell r="L62">
            <v>343</v>
          </cell>
          <cell r="M62">
            <v>179</v>
          </cell>
          <cell r="N62">
            <v>170</v>
          </cell>
          <cell r="O62">
            <v>246</v>
          </cell>
          <cell r="P62">
            <v>40</v>
          </cell>
          <cell r="Q62">
            <v>17</v>
          </cell>
          <cell r="R62">
            <v>26</v>
          </cell>
          <cell r="S62">
            <v>56</v>
          </cell>
        </row>
        <row r="63">
          <cell r="E63" t="str">
            <v>U. PEDRO DE VALDIVIA</v>
          </cell>
          <cell r="F63" t="str">
            <v>UPV</v>
          </cell>
          <cell r="G63" t="str">
            <v>U. Privada</v>
          </cell>
          <cell r="H63">
            <v>0.47987535705011686</v>
          </cell>
          <cell r="I63">
            <v>0.22071307300509338</v>
          </cell>
          <cell r="J63">
            <v>0.31983385254413293</v>
          </cell>
          <cell r="K63">
            <v>0.37717391304347825</v>
          </cell>
          <cell r="L63">
            <v>3851</v>
          </cell>
          <cell r="M63">
            <v>589</v>
          </cell>
          <cell r="N63">
            <v>963</v>
          </cell>
          <cell r="O63">
            <v>920</v>
          </cell>
          <cell r="P63">
            <v>1848</v>
          </cell>
          <cell r="Q63">
            <v>130</v>
          </cell>
          <cell r="R63">
            <v>308</v>
          </cell>
          <cell r="S63">
            <v>347</v>
          </cell>
        </row>
        <row r="64">
          <cell r="E64" t="str">
            <v>U. SAN SEBASTIÁN</v>
          </cell>
          <cell r="F64" t="str">
            <v>USS</v>
          </cell>
          <cell r="G64" t="str">
            <v>U. Privada</v>
          </cell>
          <cell r="H64">
            <v>0.61389578163771708</v>
          </cell>
          <cell r="I64">
            <v>0.63889397546236948</v>
          </cell>
          <cell r="J64">
            <v>0.65178397348410999</v>
          </cell>
          <cell r="K64">
            <v>0.64411314984709478</v>
          </cell>
          <cell r="L64">
            <v>6045</v>
          </cell>
          <cell r="M64">
            <v>5461</v>
          </cell>
          <cell r="N64">
            <v>5129</v>
          </cell>
          <cell r="O64">
            <v>5232</v>
          </cell>
          <cell r="P64">
            <v>3711</v>
          </cell>
          <cell r="Q64">
            <v>3489</v>
          </cell>
          <cell r="R64">
            <v>3343</v>
          </cell>
          <cell r="S64">
            <v>3370</v>
          </cell>
        </row>
        <row r="65">
          <cell r="E65" t="str">
            <v>U. SANTO TOMÁS</v>
          </cell>
          <cell r="F65" t="str">
            <v>UST</v>
          </cell>
          <cell r="G65" t="str">
            <v>U. Privada</v>
          </cell>
          <cell r="H65">
            <v>0.64249764076753701</v>
          </cell>
          <cell r="I65">
            <v>0.66124960555380241</v>
          </cell>
          <cell r="J65">
            <v>0.64146906756997679</v>
          </cell>
          <cell r="K65">
            <v>0.65513913463085094</v>
          </cell>
          <cell r="L65">
            <v>6358</v>
          </cell>
          <cell r="M65">
            <v>6338</v>
          </cell>
          <cell r="N65">
            <v>5609</v>
          </cell>
          <cell r="O65">
            <v>6217</v>
          </cell>
          <cell r="P65">
            <v>4085</v>
          </cell>
          <cell r="Q65">
            <v>4191</v>
          </cell>
          <cell r="R65">
            <v>3598</v>
          </cell>
          <cell r="S65">
            <v>4073</v>
          </cell>
        </row>
        <row r="66">
          <cell r="E66" t="str">
            <v>U. INTERNACIONAL SEK</v>
          </cell>
          <cell r="F66" t="str">
            <v>USK</v>
          </cell>
          <cell r="G66" t="str">
            <v>U. Privada</v>
          </cell>
          <cell r="H66">
            <v>0.39640883977900554</v>
          </cell>
          <cell r="I66">
            <v>0.44926108374384238</v>
          </cell>
          <cell r="J66">
            <v>0.3472972972972973</v>
          </cell>
          <cell r="K66">
            <v>0.33698030634573306</v>
          </cell>
          <cell r="L66">
            <v>1448</v>
          </cell>
          <cell r="M66">
            <v>1015</v>
          </cell>
          <cell r="N66">
            <v>740</v>
          </cell>
          <cell r="O66">
            <v>457</v>
          </cell>
          <cell r="P66">
            <v>574</v>
          </cell>
          <cell r="Q66">
            <v>456</v>
          </cell>
          <cell r="R66">
            <v>257</v>
          </cell>
          <cell r="S66">
            <v>154</v>
          </cell>
        </row>
        <row r="67">
          <cell r="E67" t="str">
            <v>U. TECNOLOGICA INACAP</v>
          </cell>
          <cell r="F67" t="str">
            <v>UTC</v>
          </cell>
          <cell r="G67" t="str">
            <v>U. Privada</v>
          </cell>
          <cell r="H67">
            <v>0.45969259723964867</v>
          </cell>
          <cell r="I67">
            <v>0.47794011283089832</v>
          </cell>
          <cell r="J67">
            <v>0.53134040501446478</v>
          </cell>
          <cell r="K67">
            <v>0.54752008866722079</v>
          </cell>
          <cell r="L67">
            <v>6376</v>
          </cell>
          <cell r="M67">
            <v>6913</v>
          </cell>
          <cell r="N67">
            <v>7259</v>
          </cell>
          <cell r="O67">
            <v>7218</v>
          </cell>
          <cell r="P67">
            <v>2931</v>
          </cell>
          <cell r="Q67">
            <v>3304</v>
          </cell>
          <cell r="R67">
            <v>3857</v>
          </cell>
          <cell r="S67">
            <v>3952</v>
          </cell>
        </row>
        <row r="68">
          <cell r="E68" t="str">
            <v>U.  UCINF</v>
          </cell>
          <cell r="F68" t="str">
            <v>UCI</v>
          </cell>
          <cell r="G68" t="str">
            <v>U. Privada</v>
          </cell>
          <cell r="H68">
            <v>0.56909643128321941</v>
          </cell>
          <cell r="I68">
            <v>0.2805872756933116</v>
          </cell>
          <cell r="J68">
            <v>0.29616724738675959</v>
          </cell>
          <cell r="K68">
            <v>0.354014598540146</v>
          </cell>
          <cell r="L68">
            <v>2634</v>
          </cell>
          <cell r="M68">
            <v>613</v>
          </cell>
          <cell r="N68">
            <v>287</v>
          </cell>
          <cell r="O68">
            <v>274</v>
          </cell>
          <cell r="P68">
            <v>1499</v>
          </cell>
          <cell r="Q68">
            <v>172</v>
          </cell>
          <cell r="R68">
            <v>85</v>
          </cell>
          <cell r="S68">
            <v>97</v>
          </cell>
        </row>
      </sheetData>
      <sheetData sheetId="6">
        <row r="10">
          <cell r="D10" t="str">
            <v>P. U. C. DE CHILE</v>
          </cell>
          <cell r="E10" t="str">
            <v>PUC</v>
          </cell>
          <cell r="F10" t="str">
            <v>CRUCH Priv.</v>
          </cell>
          <cell r="G10">
            <v>0.89298626174981921</v>
          </cell>
          <cell r="H10">
            <v>0.85682372055239642</v>
          </cell>
          <cell r="I10">
            <v>0.86888078325974272</v>
          </cell>
          <cell r="J10">
            <v>0.89136704479907714</v>
          </cell>
          <cell r="K10">
            <v>4149</v>
          </cell>
          <cell r="L10">
            <v>4924</v>
          </cell>
          <cell r="M10">
            <v>5209</v>
          </cell>
          <cell r="N10">
            <v>5201</v>
          </cell>
          <cell r="O10">
            <v>3705</v>
          </cell>
          <cell r="P10">
            <v>4219</v>
          </cell>
          <cell r="Q10">
            <v>4526</v>
          </cell>
          <cell r="R10">
            <v>4636</v>
          </cell>
        </row>
        <row r="11">
          <cell r="D11" t="str">
            <v>P. U. C. DE VALPARAISO</v>
          </cell>
          <cell r="E11" t="str">
            <v>UCV</v>
          </cell>
          <cell r="F11" t="str">
            <v>CRUCH Priv.</v>
          </cell>
          <cell r="G11">
            <v>0.75047558655675328</v>
          </cell>
          <cell r="H11">
            <v>0.75885103540414167</v>
          </cell>
          <cell r="I11">
            <v>0.75530586766541818</v>
          </cell>
          <cell r="J11">
            <v>0.79987492182614128</v>
          </cell>
          <cell r="K11">
            <v>3154</v>
          </cell>
          <cell r="L11">
            <v>2994</v>
          </cell>
          <cell r="M11">
            <v>3204</v>
          </cell>
          <cell r="N11">
            <v>3198</v>
          </cell>
          <cell r="O11">
            <v>2367</v>
          </cell>
          <cell r="P11">
            <v>2272</v>
          </cell>
          <cell r="Q11">
            <v>2420</v>
          </cell>
          <cell r="R11">
            <v>2558</v>
          </cell>
        </row>
        <row r="12">
          <cell r="D12" t="str">
            <v>U. ARTURO PRAT</v>
          </cell>
          <cell r="E12" t="str">
            <v>UAP</v>
          </cell>
          <cell r="F12" t="str">
            <v>CRUCH Est.</v>
          </cell>
          <cell r="G12">
            <v>0.59238095238095234</v>
          </cell>
          <cell r="H12">
            <v>0.75375375375375375</v>
          </cell>
          <cell r="I12">
            <v>0.69700103412616343</v>
          </cell>
          <cell r="J12">
            <v>0.74806201550387597</v>
          </cell>
          <cell r="K12">
            <v>1050</v>
          </cell>
          <cell r="L12">
            <v>999</v>
          </cell>
          <cell r="M12">
            <v>967</v>
          </cell>
          <cell r="N12">
            <v>1032</v>
          </cell>
          <cell r="O12">
            <v>622</v>
          </cell>
          <cell r="P12">
            <v>753</v>
          </cell>
          <cell r="Q12">
            <v>674</v>
          </cell>
          <cell r="R12">
            <v>772</v>
          </cell>
        </row>
        <row r="13">
          <cell r="D13" t="str">
            <v>U. AUSTRAL DE CHILE</v>
          </cell>
          <cell r="E13" t="str">
            <v>AUS</v>
          </cell>
          <cell r="F13" t="str">
            <v>CRUCH Priv.</v>
          </cell>
          <cell r="G13">
            <v>0.80495477782147073</v>
          </cell>
          <cell r="H13">
            <v>0.82813816343723679</v>
          </cell>
          <cell r="I13">
            <v>0.82636060718252502</v>
          </cell>
          <cell r="J13">
            <v>0.82806252271901126</v>
          </cell>
          <cell r="K13">
            <v>2543</v>
          </cell>
          <cell r="L13">
            <v>2374</v>
          </cell>
          <cell r="M13">
            <v>2701</v>
          </cell>
          <cell r="N13">
            <v>2751</v>
          </cell>
          <cell r="O13">
            <v>2047</v>
          </cell>
          <cell r="P13">
            <v>1966</v>
          </cell>
          <cell r="Q13">
            <v>2232</v>
          </cell>
          <cell r="R13">
            <v>2278</v>
          </cell>
        </row>
        <row r="14">
          <cell r="D14" t="str">
            <v>U. C. DE LA STMA. CONCEPCIÓN</v>
          </cell>
          <cell r="E14" t="str">
            <v>USC</v>
          </cell>
          <cell r="F14" t="str">
            <v>CRUCH Priv.</v>
          </cell>
          <cell r="G14">
            <v>0.81583287520615722</v>
          </cell>
          <cell r="H14">
            <v>0.8288912579957356</v>
          </cell>
          <cell r="I14">
            <v>0.83742534837425353</v>
          </cell>
          <cell r="J14">
            <v>0.85072886297376094</v>
          </cell>
          <cell r="K14">
            <v>1819</v>
          </cell>
          <cell r="L14">
            <v>1876</v>
          </cell>
          <cell r="M14">
            <v>1507</v>
          </cell>
          <cell r="N14">
            <v>1715</v>
          </cell>
          <cell r="O14">
            <v>1484</v>
          </cell>
          <cell r="P14">
            <v>1555</v>
          </cell>
          <cell r="Q14">
            <v>1262</v>
          </cell>
          <cell r="R14">
            <v>1459</v>
          </cell>
        </row>
        <row r="15">
          <cell r="D15" t="str">
            <v>U. C. DE TEMUCO</v>
          </cell>
          <cell r="E15" t="str">
            <v>UCT</v>
          </cell>
          <cell r="F15" t="str">
            <v>CRUCH Priv.</v>
          </cell>
          <cell r="G15">
            <v>0.75808457711442789</v>
          </cell>
          <cell r="H15">
            <v>0.80024286581663628</v>
          </cell>
          <cell r="I15">
            <v>0.82510964912280704</v>
          </cell>
          <cell r="J15">
            <v>0.84678845020624627</v>
          </cell>
          <cell r="K15">
            <v>1608</v>
          </cell>
          <cell r="L15">
            <v>1647</v>
          </cell>
          <cell r="M15">
            <v>1824</v>
          </cell>
          <cell r="N15">
            <v>1697</v>
          </cell>
          <cell r="O15">
            <v>1219</v>
          </cell>
          <cell r="P15">
            <v>1318</v>
          </cell>
          <cell r="Q15">
            <v>1505</v>
          </cell>
          <cell r="R15">
            <v>1437</v>
          </cell>
        </row>
        <row r="16">
          <cell r="D16" t="str">
            <v>U. C. DEL MAULE</v>
          </cell>
          <cell r="E16" t="str">
            <v>UCM</v>
          </cell>
          <cell r="F16" t="str">
            <v>CRUCH Priv.</v>
          </cell>
          <cell r="G16">
            <v>0.83007047768206732</v>
          </cell>
          <cell r="H16">
            <v>0.90519877675840976</v>
          </cell>
          <cell r="I16">
            <v>0.86107290233837686</v>
          </cell>
          <cell r="J16">
            <v>0.85092250922509227</v>
          </cell>
          <cell r="K16">
            <v>1277</v>
          </cell>
          <cell r="L16">
            <v>1308</v>
          </cell>
          <cell r="M16">
            <v>1454</v>
          </cell>
          <cell r="N16">
            <v>1355</v>
          </cell>
          <cell r="O16">
            <v>1060</v>
          </cell>
          <cell r="P16">
            <v>1184</v>
          </cell>
          <cell r="Q16">
            <v>1252</v>
          </cell>
          <cell r="R16">
            <v>1153</v>
          </cell>
        </row>
        <row r="17">
          <cell r="D17" t="str">
            <v>U. C. DEL NORTE</v>
          </cell>
          <cell r="E17" t="str">
            <v>UCN</v>
          </cell>
          <cell r="F17" t="str">
            <v>CRUCH Priv.</v>
          </cell>
          <cell r="G17">
            <v>0.74725877192982459</v>
          </cell>
          <cell r="H17">
            <v>0.79702687249857063</v>
          </cell>
          <cell r="I17">
            <v>0.82404997397188962</v>
          </cell>
          <cell r="J17">
            <v>0.80914407230196705</v>
          </cell>
          <cell r="K17">
            <v>1824</v>
          </cell>
          <cell r="L17">
            <v>1749</v>
          </cell>
          <cell r="M17">
            <v>1921</v>
          </cell>
          <cell r="N17">
            <v>1881</v>
          </cell>
          <cell r="O17">
            <v>1363</v>
          </cell>
          <cell r="P17">
            <v>1394</v>
          </cell>
          <cell r="Q17">
            <v>1583</v>
          </cell>
          <cell r="R17">
            <v>1522</v>
          </cell>
        </row>
        <row r="18">
          <cell r="D18" t="str">
            <v>U. DE ANTOFAGASTA</v>
          </cell>
          <cell r="E18" t="str">
            <v>ANT</v>
          </cell>
          <cell r="F18" t="str">
            <v>CRUCH Est.</v>
          </cell>
          <cell r="G18">
            <v>0.76744186046511631</v>
          </cell>
          <cell r="H18">
            <v>0.84669338677354711</v>
          </cell>
          <cell r="I18">
            <v>0.81341911764705888</v>
          </cell>
          <cell r="J18">
            <v>0.8433420365535248</v>
          </cell>
          <cell r="K18">
            <v>817</v>
          </cell>
          <cell r="L18">
            <v>998</v>
          </cell>
          <cell r="M18">
            <v>1088</v>
          </cell>
          <cell r="N18">
            <v>1149</v>
          </cell>
          <cell r="O18">
            <v>627</v>
          </cell>
          <cell r="P18">
            <v>845</v>
          </cell>
          <cell r="Q18">
            <v>885</v>
          </cell>
          <cell r="R18">
            <v>969</v>
          </cell>
        </row>
        <row r="19">
          <cell r="D19" t="str">
            <v>U. DE ATACAMA</v>
          </cell>
          <cell r="E19" t="str">
            <v>ATA</v>
          </cell>
          <cell r="F19" t="str">
            <v>CRUCH Est.</v>
          </cell>
          <cell r="G19">
            <v>0.67192429022082023</v>
          </cell>
          <cell r="H19">
            <v>0.74014598540145982</v>
          </cell>
          <cell r="I19">
            <v>0.80804020100502516</v>
          </cell>
          <cell r="J19">
            <v>0.70819304152637486</v>
          </cell>
          <cell r="K19">
            <v>634</v>
          </cell>
          <cell r="L19">
            <v>685</v>
          </cell>
          <cell r="M19">
            <v>995</v>
          </cell>
          <cell r="N19">
            <v>891</v>
          </cell>
          <cell r="O19">
            <v>426</v>
          </cell>
          <cell r="P19">
            <v>507</v>
          </cell>
          <cell r="Q19">
            <v>804</v>
          </cell>
          <cell r="R19">
            <v>631</v>
          </cell>
        </row>
        <row r="20">
          <cell r="D20" t="str">
            <v>U. DE CHILE</v>
          </cell>
          <cell r="E20" t="str">
            <v>UCH</v>
          </cell>
          <cell r="F20" t="str">
            <v>CRUCH Est.</v>
          </cell>
          <cell r="G20">
            <v>0.8391969787318625</v>
          </cell>
          <cell r="H20">
            <v>0.84856344772545889</v>
          </cell>
          <cell r="I20">
            <v>0.82985187998480825</v>
          </cell>
          <cell r="J20">
            <v>0.83977110157367663</v>
          </cell>
          <cell r="K20">
            <v>5031</v>
          </cell>
          <cell r="L20">
            <v>5012</v>
          </cell>
          <cell r="M20">
            <v>5266</v>
          </cell>
          <cell r="N20">
            <v>5592</v>
          </cell>
          <cell r="O20">
            <v>4222</v>
          </cell>
          <cell r="P20">
            <v>4253</v>
          </cell>
          <cell r="Q20">
            <v>4370</v>
          </cell>
          <cell r="R20">
            <v>4696</v>
          </cell>
        </row>
        <row r="21">
          <cell r="D21" t="str">
            <v>U. DE CONCEPCIÓN</v>
          </cell>
          <cell r="E21" t="str">
            <v>UCO</v>
          </cell>
          <cell r="F21" t="str">
            <v>CRUCH Priv.</v>
          </cell>
          <cell r="G21">
            <v>0.79117835073513743</v>
          </cell>
          <cell r="H21">
            <v>0.80757031084795938</v>
          </cell>
          <cell r="I21">
            <v>0.8164328657314629</v>
          </cell>
          <cell r="J21">
            <v>0.80204125026578776</v>
          </cell>
          <cell r="K21">
            <v>4693</v>
          </cell>
          <cell r="L21">
            <v>4729</v>
          </cell>
          <cell r="M21">
            <v>4990</v>
          </cell>
          <cell r="N21">
            <v>4703</v>
          </cell>
          <cell r="O21">
            <v>3713</v>
          </cell>
          <cell r="P21">
            <v>3819</v>
          </cell>
          <cell r="Q21">
            <v>4074</v>
          </cell>
          <cell r="R21">
            <v>3772</v>
          </cell>
        </row>
        <row r="22">
          <cell r="D22" t="str">
            <v>U. DE LA FRONTERA</v>
          </cell>
          <cell r="E22" t="str">
            <v>FRO</v>
          </cell>
          <cell r="F22" t="str">
            <v>CRUCH Est.</v>
          </cell>
          <cell r="G22">
            <v>0.82997762863534674</v>
          </cell>
          <cell r="H22">
            <v>0.85479733196511032</v>
          </cell>
          <cell r="I22">
            <v>0.83732789393166751</v>
          </cell>
          <cell r="J22">
            <v>0.84185556141275697</v>
          </cell>
          <cell r="K22">
            <v>1788</v>
          </cell>
          <cell r="L22">
            <v>1949</v>
          </cell>
          <cell r="M22">
            <v>1961</v>
          </cell>
          <cell r="N22">
            <v>1897</v>
          </cell>
          <cell r="O22">
            <v>1484</v>
          </cell>
          <cell r="P22">
            <v>1666</v>
          </cell>
          <cell r="Q22">
            <v>1642</v>
          </cell>
          <cell r="R22">
            <v>1597</v>
          </cell>
        </row>
        <row r="23">
          <cell r="D23" t="str">
            <v>U. DE LA SERENA</v>
          </cell>
          <cell r="E23" t="str">
            <v>ULS</v>
          </cell>
          <cell r="F23" t="str">
            <v>CRUCH Est.</v>
          </cell>
          <cell r="G23">
            <v>0.78412911903160731</v>
          </cell>
          <cell r="H23">
            <v>0.8282763072950291</v>
          </cell>
          <cell r="I23">
            <v>0.78045763760049469</v>
          </cell>
          <cell r="J23">
            <v>0.79430789133247093</v>
          </cell>
          <cell r="K23">
            <v>1487</v>
          </cell>
          <cell r="L23">
            <v>1549</v>
          </cell>
          <cell r="M23">
            <v>1617</v>
          </cell>
          <cell r="N23">
            <v>1546</v>
          </cell>
          <cell r="O23">
            <v>1166</v>
          </cell>
          <cell r="P23">
            <v>1283</v>
          </cell>
          <cell r="Q23">
            <v>1262</v>
          </cell>
          <cell r="R23">
            <v>1228</v>
          </cell>
        </row>
        <row r="24">
          <cell r="D24" t="str">
            <v>U. DE LOS LAGOS</v>
          </cell>
          <cell r="E24" t="str">
            <v>ULA</v>
          </cell>
          <cell r="F24" t="str">
            <v>CRUCH Est.</v>
          </cell>
          <cell r="G24">
            <v>0.77974683544303802</v>
          </cell>
          <cell r="H24">
            <v>0.85825545171339568</v>
          </cell>
          <cell r="I24">
            <v>0.78331090174966356</v>
          </cell>
          <cell r="J24">
            <v>0.80564971751412429</v>
          </cell>
          <cell r="K24">
            <v>790</v>
          </cell>
          <cell r="L24">
            <v>642</v>
          </cell>
          <cell r="M24">
            <v>743</v>
          </cell>
          <cell r="N24">
            <v>885</v>
          </cell>
          <cell r="O24">
            <v>616</v>
          </cell>
          <cell r="P24">
            <v>551</v>
          </cell>
          <cell r="Q24">
            <v>582</v>
          </cell>
          <cell r="R24">
            <v>713</v>
          </cell>
        </row>
        <row r="25">
          <cell r="D25" t="str">
            <v>U. DE MAGALLANES</v>
          </cell>
          <cell r="E25" t="str">
            <v>MAG</v>
          </cell>
          <cell r="F25" t="str">
            <v>CRUCH Est.</v>
          </cell>
          <cell r="G25">
            <v>0.80842105263157893</v>
          </cell>
          <cell r="H25">
            <v>0.80090497737556565</v>
          </cell>
          <cell r="I25">
            <v>0.80991735537190079</v>
          </cell>
          <cell r="J25">
            <v>0.83542039355992848</v>
          </cell>
          <cell r="K25">
            <v>475</v>
          </cell>
          <cell r="L25">
            <v>442</v>
          </cell>
          <cell r="M25">
            <v>605</v>
          </cell>
          <cell r="N25">
            <v>559</v>
          </cell>
          <cell r="O25">
            <v>384</v>
          </cell>
          <cell r="P25">
            <v>354</v>
          </cell>
          <cell r="Q25">
            <v>490</v>
          </cell>
          <cell r="R25">
            <v>467</v>
          </cell>
        </row>
        <row r="26">
          <cell r="D26" t="str">
            <v>U. DE PLAYA ANCHA DE CS. DE LA ED.</v>
          </cell>
          <cell r="E26" t="str">
            <v>UPA</v>
          </cell>
          <cell r="F26" t="str">
            <v>CRUCH Est.</v>
          </cell>
          <cell r="G26">
            <v>0.75848416289592757</v>
          </cell>
          <cell r="H26">
            <v>0.80068027210884352</v>
          </cell>
          <cell r="I26">
            <v>0.74563242487770787</v>
          </cell>
          <cell r="J26">
            <v>0.78206026629292225</v>
          </cell>
          <cell r="K26">
            <v>1768</v>
          </cell>
          <cell r="L26">
            <v>1470</v>
          </cell>
          <cell r="M26">
            <v>1431</v>
          </cell>
          <cell r="N26">
            <v>1427</v>
          </cell>
          <cell r="O26">
            <v>1341</v>
          </cell>
          <cell r="P26">
            <v>1177</v>
          </cell>
          <cell r="Q26">
            <v>1067</v>
          </cell>
          <cell r="R26">
            <v>1116</v>
          </cell>
        </row>
        <row r="27">
          <cell r="D27" t="str">
            <v>U. DE SANTIAGO</v>
          </cell>
          <cell r="E27" t="str">
            <v>USA</v>
          </cell>
          <cell r="F27" t="str">
            <v>CRUCH Est.</v>
          </cell>
          <cell r="G27">
            <v>0.75928143712574847</v>
          </cell>
          <cell r="H27">
            <v>0.8294005966910768</v>
          </cell>
          <cell r="I27">
            <v>0.80099040544722999</v>
          </cell>
          <cell r="J27">
            <v>0.79994721562417526</v>
          </cell>
          <cell r="K27">
            <v>3340</v>
          </cell>
          <cell r="L27">
            <v>3687</v>
          </cell>
          <cell r="M27">
            <v>3231</v>
          </cell>
          <cell r="N27">
            <v>3789</v>
          </cell>
          <cell r="O27">
            <v>2536</v>
          </cell>
          <cell r="P27">
            <v>3058</v>
          </cell>
          <cell r="Q27">
            <v>2588</v>
          </cell>
          <cell r="R27">
            <v>3031</v>
          </cell>
        </row>
        <row r="28">
          <cell r="D28" t="str">
            <v>U. DE TALCA</v>
          </cell>
          <cell r="E28" t="str">
            <v>TAL</v>
          </cell>
          <cell r="F28" t="str">
            <v>CRUCH Est.</v>
          </cell>
          <cell r="G28">
            <v>0.83706563706563708</v>
          </cell>
          <cell r="H28">
            <v>0.86922209695603159</v>
          </cell>
          <cell r="I28">
            <v>0.86737035337310697</v>
          </cell>
          <cell r="J28">
            <v>0.86436781609195401</v>
          </cell>
          <cell r="K28">
            <v>1295</v>
          </cell>
          <cell r="L28">
            <v>1774</v>
          </cell>
          <cell r="M28">
            <v>2179</v>
          </cell>
          <cell r="N28">
            <v>1740</v>
          </cell>
          <cell r="O28">
            <v>1084</v>
          </cell>
          <cell r="P28">
            <v>1542</v>
          </cell>
          <cell r="Q28">
            <v>1890</v>
          </cell>
          <cell r="R28">
            <v>1504</v>
          </cell>
        </row>
        <row r="29">
          <cell r="D29" t="str">
            <v>U. DE TARAPACÁ</v>
          </cell>
          <cell r="E29" t="str">
            <v>UTA</v>
          </cell>
          <cell r="F29" t="str">
            <v>CRUCH Est.</v>
          </cell>
          <cell r="G29">
            <v>0.75819672131147542</v>
          </cell>
          <cell r="H29">
            <v>0.80529172320217102</v>
          </cell>
          <cell r="I29">
            <v>0.80484610347085794</v>
          </cell>
          <cell r="J29">
            <v>0.80867544539116964</v>
          </cell>
          <cell r="K29">
            <v>1464</v>
          </cell>
          <cell r="L29">
            <v>1474</v>
          </cell>
          <cell r="M29">
            <v>1527</v>
          </cell>
          <cell r="N29">
            <v>1291</v>
          </cell>
          <cell r="O29">
            <v>1110</v>
          </cell>
          <cell r="P29">
            <v>1187</v>
          </cell>
          <cell r="Q29">
            <v>1229</v>
          </cell>
          <cell r="R29">
            <v>1044</v>
          </cell>
        </row>
        <row r="30">
          <cell r="D30" t="str">
            <v>U. DE VALPARAÍSO</v>
          </cell>
          <cell r="E30" t="str">
            <v>UVA</v>
          </cell>
          <cell r="F30" t="str">
            <v>CRUCH Est.</v>
          </cell>
          <cell r="G30">
            <v>0.78507164278573804</v>
          </cell>
          <cell r="H30">
            <v>0.81516443361753954</v>
          </cell>
          <cell r="I30">
            <v>0.77999335327351282</v>
          </cell>
          <cell r="J30">
            <v>0.80624780624780623</v>
          </cell>
          <cell r="K30">
            <v>3001</v>
          </cell>
          <cell r="L30">
            <v>3284</v>
          </cell>
          <cell r="M30">
            <v>3009</v>
          </cell>
          <cell r="N30">
            <v>2849</v>
          </cell>
          <cell r="O30">
            <v>2356</v>
          </cell>
          <cell r="P30">
            <v>2677</v>
          </cell>
          <cell r="Q30">
            <v>2347</v>
          </cell>
          <cell r="R30">
            <v>2297</v>
          </cell>
        </row>
        <row r="31">
          <cell r="D31" t="str">
            <v>U. DEL BÍO-BÍO</v>
          </cell>
          <cell r="E31" t="str">
            <v>UBB</v>
          </cell>
          <cell r="F31" t="str">
            <v>CRUCH Est.</v>
          </cell>
          <cell r="G31">
            <v>0.8360352014821677</v>
          </cell>
          <cell r="H31">
            <v>0.88483412322274879</v>
          </cell>
          <cell r="I31">
            <v>0.86964206805125943</v>
          </cell>
          <cell r="J31">
            <v>0.85059101654846336</v>
          </cell>
          <cell r="K31">
            <v>2159</v>
          </cell>
          <cell r="L31">
            <v>2110</v>
          </cell>
          <cell r="M31">
            <v>2263</v>
          </cell>
          <cell r="N31">
            <v>2115</v>
          </cell>
          <cell r="O31">
            <v>1805</v>
          </cell>
          <cell r="P31">
            <v>1867</v>
          </cell>
          <cell r="Q31">
            <v>1968</v>
          </cell>
          <cell r="R31">
            <v>1799</v>
          </cell>
        </row>
        <row r="32">
          <cell r="D32" t="str">
            <v>U. METROPOLITANA DE CS. DE LA ED.</v>
          </cell>
          <cell r="E32" t="str">
            <v>UMC</v>
          </cell>
          <cell r="F32" t="str">
            <v>CRUCH Est.</v>
          </cell>
          <cell r="G32">
            <v>0.83911368015414256</v>
          </cell>
          <cell r="H32">
            <v>0.82190378710337764</v>
          </cell>
          <cell r="I32">
            <v>0.80499075785582253</v>
          </cell>
          <cell r="J32">
            <v>0.83524904214559392</v>
          </cell>
          <cell r="K32">
            <v>1038</v>
          </cell>
          <cell r="L32">
            <v>977</v>
          </cell>
          <cell r="M32">
            <v>1082</v>
          </cell>
          <cell r="N32">
            <v>1044</v>
          </cell>
          <cell r="O32">
            <v>871</v>
          </cell>
          <cell r="P32">
            <v>803</v>
          </cell>
          <cell r="Q32">
            <v>871</v>
          </cell>
          <cell r="R32">
            <v>872</v>
          </cell>
        </row>
        <row r="33">
          <cell r="D33" t="str">
            <v>U. TÉCNICA FEDERICO STA. MARÍA</v>
          </cell>
          <cell r="E33" t="str">
            <v>FSM</v>
          </cell>
          <cell r="F33" t="str">
            <v>CRUCH Priv.</v>
          </cell>
          <cell r="G33">
            <v>0.83163571000599157</v>
          </cell>
          <cell r="H33">
            <v>0.81988636363636369</v>
          </cell>
          <cell r="I33">
            <v>0.80307185957213389</v>
          </cell>
          <cell r="J33">
            <v>0.80010746910263297</v>
          </cell>
          <cell r="K33">
            <v>1669</v>
          </cell>
          <cell r="L33">
            <v>1760</v>
          </cell>
          <cell r="M33">
            <v>1823</v>
          </cell>
          <cell r="N33">
            <v>1861</v>
          </cell>
          <cell r="O33">
            <v>1388</v>
          </cell>
          <cell r="P33">
            <v>1443</v>
          </cell>
          <cell r="Q33">
            <v>1464</v>
          </cell>
          <cell r="R33">
            <v>1489</v>
          </cell>
        </row>
        <row r="34">
          <cell r="D34" t="str">
            <v>U. TECNOLÓGICA METROPOLITANA</v>
          </cell>
          <cell r="E34" t="str">
            <v>UTM</v>
          </cell>
          <cell r="F34" t="str">
            <v>CRUCH Est.</v>
          </cell>
          <cell r="G34">
            <v>0.75558099599313111</v>
          </cell>
          <cell r="H34">
            <v>0.70790816326530615</v>
          </cell>
          <cell r="I34">
            <v>0.73997709049255445</v>
          </cell>
          <cell r="J34">
            <v>0.80552546045503792</v>
          </cell>
          <cell r="K34">
            <v>1747</v>
          </cell>
          <cell r="L34">
            <v>1568</v>
          </cell>
          <cell r="M34">
            <v>1746</v>
          </cell>
          <cell r="N34">
            <v>1846</v>
          </cell>
          <cell r="O34">
            <v>1320</v>
          </cell>
          <cell r="P34">
            <v>1110</v>
          </cell>
          <cell r="Q34">
            <v>1292</v>
          </cell>
          <cell r="R34">
            <v>1487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0.79644409324377718</v>
          </cell>
          <cell r="H35">
            <v>0.82343548604297723</v>
          </cell>
          <cell r="I35">
            <v>0.81480595476878348</v>
          </cell>
          <cell r="J35">
            <v>0.82436035102010585</v>
          </cell>
          <cell r="K35">
            <v>50620</v>
          </cell>
          <cell r="L35">
            <v>51981</v>
          </cell>
          <cell r="M35">
            <v>54343</v>
          </cell>
          <cell r="N35">
            <v>54014</v>
          </cell>
          <cell r="O35">
            <v>40316</v>
          </cell>
          <cell r="P35">
            <v>42803</v>
          </cell>
          <cell r="Q35">
            <v>44279</v>
          </cell>
          <cell r="R35">
            <v>44527</v>
          </cell>
        </row>
        <row r="36">
          <cell r="D36" t="str">
            <v>U. ACADEMIA HUMANISMO CRISTIANO</v>
          </cell>
          <cell r="E36" t="str">
            <v>AHC</v>
          </cell>
          <cell r="F36" t="str">
            <v>U. Privada</v>
          </cell>
          <cell r="G36">
            <v>0.69273743016759781</v>
          </cell>
          <cell r="H36">
            <v>0.69923664122137408</v>
          </cell>
          <cell r="I36">
            <v>0.68976897689768979</v>
          </cell>
          <cell r="J36">
            <v>0.74188311688311692</v>
          </cell>
          <cell r="K36">
            <v>716</v>
          </cell>
          <cell r="L36">
            <v>655</v>
          </cell>
          <cell r="M36">
            <v>606</v>
          </cell>
          <cell r="N36">
            <v>616</v>
          </cell>
          <cell r="O36">
            <v>496</v>
          </cell>
          <cell r="P36">
            <v>458</v>
          </cell>
          <cell r="Q36">
            <v>418</v>
          </cell>
          <cell r="R36">
            <v>457</v>
          </cell>
        </row>
        <row r="37">
          <cell r="D37" t="str">
            <v>U. ADOLFO IBAÑEZ</v>
          </cell>
          <cell r="E37" t="str">
            <v>UAI</v>
          </cell>
          <cell r="F37" t="str">
            <v>U. Privada</v>
          </cell>
          <cell r="G37">
            <v>0.77836973894512518</v>
          </cell>
          <cell r="H37">
            <v>0.84471421345472941</v>
          </cell>
          <cell r="I37">
            <v>0.84223107569721112</v>
          </cell>
          <cell r="J37">
            <v>0.86883876357560563</v>
          </cell>
          <cell r="K37">
            <v>1877</v>
          </cell>
          <cell r="L37">
            <v>1977</v>
          </cell>
          <cell r="M37">
            <v>1255</v>
          </cell>
          <cell r="N37">
            <v>1197</v>
          </cell>
          <cell r="O37">
            <v>1461</v>
          </cell>
          <cell r="P37">
            <v>1670</v>
          </cell>
          <cell r="Q37">
            <v>1057</v>
          </cell>
          <cell r="R37">
            <v>1040</v>
          </cell>
        </row>
        <row r="38">
          <cell r="D38" t="str">
            <v>U. ADVENTISTA</v>
          </cell>
          <cell r="E38" t="str">
            <v>UAC</v>
          </cell>
          <cell r="F38" t="str">
            <v>U. Privada</v>
          </cell>
          <cell r="G38">
            <v>0.82745098039215681</v>
          </cell>
          <cell r="H38">
            <v>0.81569965870307171</v>
          </cell>
          <cell r="I38">
            <v>0.8271276595744681</v>
          </cell>
          <cell r="J38">
            <v>0.83377308707124009</v>
          </cell>
          <cell r="K38">
            <v>255</v>
          </cell>
          <cell r="L38">
            <v>293</v>
          </cell>
          <cell r="M38">
            <v>376</v>
          </cell>
          <cell r="N38">
            <v>379</v>
          </cell>
          <cell r="O38">
            <v>211</v>
          </cell>
          <cell r="P38">
            <v>239</v>
          </cell>
          <cell r="Q38">
            <v>311</v>
          </cell>
          <cell r="R38">
            <v>316</v>
          </cell>
        </row>
        <row r="39">
          <cell r="D39" t="str">
            <v>U. ALBERTO HURTADO</v>
          </cell>
          <cell r="E39" t="str">
            <v>UAH</v>
          </cell>
          <cell r="F39" t="str">
            <v>U. Privada</v>
          </cell>
          <cell r="G39">
            <v>0.78167420814479638</v>
          </cell>
          <cell r="H39">
            <v>0.78764142732811138</v>
          </cell>
          <cell r="I39">
            <v>0.77390599675850891</v>
          </cell>
          <cell r="J39">
            <v>0.76006314127861085</v>
          </cell>
          <cell r="K39">
            <v>884</v>
          </cell>
          <cell r="L39">
            <v>1149</v>
          </cell>
          <cell r="M39">
            <v>1234</v>
          </cell>
          <cell r="N39">
            <v>1267</v>
          </cell>
          <cell r="O39">
            <v>691</v>
          </cell>
          <cell r="P39">
            <v>905</v>
          </cell>
          <cell r="Q39">
            <v>955</v>
          </cell>
          <cell r="R39">
            <v>963</v>
          </cell>
        </row>
        <row r="40">
          <cell r="D40" t="str">
            <v>U. ANDRÉS BELLO</v>
          </cell>
          <cell r="E40" t="str">
            <v>UAB</v>
          </cell>
          <cell r="F40" t="str">
            <v>U. Privada</v>
          </cell>
          <cell r="G40">
            <v>0.74413043478260865</v>
          </cell>
          <cell r="H40">
            <v>0.75265238194299977</v>
          </cell>
          <cell r="I40">
            <v>0.75412087912087911</v>
          </cell>
          <cell r="J40">
            <v>0.74348810872027182</v>
          </cell>
          <cell r="K40">
            <v>9200</v>
          </cell>
          <cell r="L40">
            <v>9614</v>
          </cell>
          <cell r="M40">
            <v>10192</v>
          </cell>
          <cell r="N40">
            <v>10596</v>
          </cell>
          <cell r="O40">
            <v>6846</v>
          </cell>
          <cell r="P40">
            <v>7236</v>
          </cell>
          <cell r="Q40">
            <v>7686</v>
          </cell>
          <cell r="R40">
            <v>7878</v>
          </cell>
        </row>
        <row r="41">
          <cell r="D41" t="str">
            <v>U. AUTÓNOMA DE CHILE</v>
          </cell>
          <cell r="E41" t="str">
            <v>UAU</v>
          </cell>
          <cell r="F41" t="str">
            <v>U. Privada</v>
          </cell>
          <cell r="G41">
            <v>0.82857142857142863</v>
          </cell>
          <cell r="H41">
            <v>0.80708661417322836</v>
          </cell>
          <cell r="I41">
            <v>0.79670468948035489</v>
          </cell>
          <cell r="J41">
            <v>0.82105263157894737</v>
          </cell>
          <cell r="K41">
            <v>4655</v>
          </cell>
          <cell r="L41">
            <v>5080</v>
          </cell>
          <cell r="M41">
            <v>3945</v>
          </cell>
          <cell r="N41">
            <v>3705</v>
          </cell>
          <cell r="O41">
            <v>3857</v>
          </cell>
          <cell r="P41">
            <v>4100</v>
          </cell>
          <cell r="Q41">
            <v>3143</v>
          </cell>
          <cell r="R41">
            <v>3042</v>
          </cell>
        </row>
        <row r="42">
          <cell r="D42" t="str">
            <v>U. BERNARDO O'HIGGINS</v>
          </cell>
          <cell r="E42" t="str">
            <v>UBO</v>
          </cell>
          <cell r="F42" t="str">
            <v>U. Privada</v>
          </cell>
          <cell r="G42">
            <v>0.79890023566378632</v>
          </cell>
          <cell r="H42">
            <v>0.66247906197654938</v>
          </cell>
          <cell r="I42">
            <v>0.6825</v>
          </cell>
          <cell r="J42">
            <v>0.82550860719874808</v>
          </cell>
          <cell r="K42">
            <v>1273</v>
          </cell>
          <cell r="L42">
            <v>1194</v>
          </cell>
          <cell r="M42">
            <v>400</v>
          </cell>
          <cell r="N42">
            <v>1278</v>
          </cell>
          <cell r="O42">
            <v>1017</v>
          </cell>
          <cell r="P42">
            <v>791</v>
          </cell>
          <cell r="Q42">
            <v>273</v>
          </cell>
          <cell r="R42">
            <v>1055</v>
          </cell>
        </row>
        <row r="43">
          <cell r="D43" t="str">
            <v>U. BOLIVARIANA</v>
          </cell>
          <cell r="E43" t="str">
            <v>UBL</v>
          </cell>
          <cell r="F43" t="str">
            <v>U. Privada</v>
          </cell>
          <cell r="G43">
            <v>0.58557284299858559</v>
          </cell>
          <cell r="H43">
            <v>0.56321839080459768</v>
          </cell>
          <cell r="I43">
            <v>0.56219392752203723</v>
          </cell>
          <cell r="J43">
            <v>0.5290178571428571</v>
          </cell>
          <cell r="K43">
            <v>707</v>
          </cell>
          <cell r="L43">
            <v>348</v>
          </cell>
          <cell r="M43">
            <v>1021</v>
          </cell>
          <cell r="N43">
            <v>448</v>
          </cell>
          <cell r="O43">
            <v>414</v>
          </cell>
          <cell r="P43">
            <v>196</v>
          </cell>
          <cell r="Q43">
            <v>574</v>
          </cell>
          <cell r="R43">
            <v>237</v>
          </cell>
        </row>
        <row r="44">
          <cell r="D44" t="str">
            <v>U. C. SILVA HENRÍQUEZ</v>
          </cell>
          <cell r="E44" t="str">
            <v>UCS</v>
          </cell>
          <cell r="F44" t="str">
            <v>U. Privada</v>
          </cell>
          <cell r="G44">
            <v>0.75690115761353516</v>
          </cell>
          <cell r="H44">
            <v>0.77109704641350207</v>
          </cell>
          <cell r="I44">
            <v>0.79057017543859653</v>
          </cell>
          <cell r="J44">
            <v>0.8101983002832861</v>
          </cell>
          <cell r="K44">
            <v>1123</v>
          </cell>
          <cell r="L44">
            <v>948</v>
          </cell>
          <cell r="M44">
            <v>912</v>
          </cell>
          <cell r="N44">
            <v>1059</v>
          </cell>
          <cell r="O44">
            <v>850</v>
          </cell>
          <cell r="P44">
            <v>731</v>
          </cell>
          <cell r="Q44">
            <v>721</v>
          </cell>
          <cell r="R44">
            <v>858</v>
          </cell>
        </row>
        <row r="45">
          <cell r="D45" t="str">
            <v>U. CENTRAL</v>
          </cell>
          <cell r="E45" t="str">
            <v>UCE</v>
          </cell>
          <cell r="F45" t="str">
            <v>U. Privada</v>
          </cell>
          <cell r="G45">
            <v>0.76762896355892096</v>
          </cell>
          <cell r="H45">
            <v>0.7711624139327663</v>
          </cell>
          <cell r="I45">
            <v>0.77665180381029586</v>
          </cell>
          <cell r="J45">
            <v>0.8086816720257235</v>
          </cell>
          <cell r="K45">
            <v>2113</v>
          </cell>
          <cell r="L45">
            <v>2469</v>
          </cell>
          <cell r="M45">
            <v>2467</v>
          </cell>
          <cell r="N45">
            <v>2488</v>
          </cell>
          <cell r="O45">
            <v>1622</v>
          </cell>
          <cell r="P45">
            <v>1904</v>
          </cell>
          <cell r="Q45">
            <v>1916</v>
          </cell>
          <cell r="R45">
            <v>2012</v>
          </cell>
        </row>
        <row r="46">
          <cell r="D46" t="str">
            <v>U. CHILENO BRITÁNICA DE CULTURA</v>
          </cell>
          <cell r="E46" t="e">
            <v>#N/A</v>
          </cell>
          <cell r="F46" t="str">
            <v>U. Privada</v>
          </cell>
          <cell r="G46">
            <v>0.67708333333333337</v>
          </cell>
          <cell r="H46">
            <v>0.70967741935483875</v>
          </cell>
          <cell r="I46">
            <v>0.82857142857142863</v>
          </cell>
          <cell r="J46">
            <v>0.70503597122302153</v>
          </cell>
          <cell r="K46">
            <v>96</v>
          </cell>
          <cell r="L46">
            <v>93</v>
          </cell>
          <cell r="M46">
            <v>105</v>
          </cell>
          <cell r="N46">
            <v>139</v>
          </cell>
          <cell r="O46">
            <v>65</v>
          </cell>
          <cell r="P46">
            <v>66</v>
          </cell>
          <cell r="Q46">
            <v>87</v>
          </cell>
          <cell r="R46">
            <v>98</v>
          </cell>
        </row>
        <row r="47">
          <cell r="D47" t="str">
            <v>U. DE ACONCAGUA</v>
          </cell>
          <cell r="E47" t="e">
            <v>#N/A</v>
          </cell>
          <cell r="F47" t="str">
            <v>U. Privada</v>
          </cell>
          <cell r="G47">
            <v>0.66044508255563528</v>
          </cell>
          <cell r="H47">
            <v>0.66563706563706559</v>
          </cell>
          <cell r="I47">
            <v>0.70720299345182414</v>
          </cell>
          <cell r="J47">
            <v>0.64389534883720934</v>
          </cell>
          <cell r="K47">
            <v>1393</v>
          </cell>
          <cell r="L47">
            <v>1295</v>
          </cell>
          <cell r="M47">
            <v>1069</v>
          </cell>
          <cell r="N47">
            <v>688</v>
          </cell>
          <cell r="O47">
            <v>920</v>
          </cell>
          <cell r="P47">
            <v>862</v>
          </cell>
          <cell r="Q47">
            <v>756</v>
          </cell>
          <cell r="R47">
            <v>443</v>
          </cell>
        </row>
        <row r="48">
          <cell r="D48" t="str">
            <v>U. DE ARTES Y CS. SOCIALES ARCIS</v>
          </cell>
          <cell r="E48" t="str">
            <v>UAR</v>
          </cell>
          <cell r="F48" t="str">
            <v>U. Privada</v>
          </cell>
          <cell r="G48">
            <v>0.69329073482428116</v>
          </cell>
          <cell r="H48">
            <v>0.69765066394279873</v>
          </cell>
          <cell r="I48">
            <v>0.68053855569155441</v>
          </cell>
          <cell r="J48">
            <v>0.25950196592398428</v>
          </cell>
          <cell r="K48">
            <v>939</v>
          </cell>
          <cell r="L48">
            <v>979</v>
          </cell>
          <cell r="M48">
            <v>817</v>
          </cell>
          <cell r="N48">
            <v>763</v>
          </cell>
          <cell r="O48">
            <v>651</v>
          </cell>
          <cell r="P48">
            <v>683</v>
          </cell>
          <cell r="Q48">
            <v>556</v>
          </cell>
          <cell r="R48">
            <v>198</v>
          </cell>
        </row>
        <row r="49">
          <cell r="D49" t="str">
            <v>U. DE ARTES, CS. Y COMUNICACIÓN UNIACC</v>
          </cell>
          <cell r="E49" t="str">
            <v>UCC</v>
          </cell>
          <cell r="F49" t="str">
            <v>U. Privada</v>
          </cell>
          <cell r="G49">
            <v>0.68487394957983194</v>
          </cell>
          <cell r="H49">
            <v>0.6035805626598465</v>
          </cell>
          <cell r="I49">
            <v>0.6278195488721805</v>
          </cell>
          <cell r="J49">
            <v>0.6265709156193896</v>
          </cell>
          <cell r="K49">
            <v>1190</v>
          </cell>
          <cell r="L49">
            <v>782</v>
          </cell>
          <cell r="M49">
            <v>532</v>
          </cell>
          <cell r="N49">
            <v>557</v>
          </cell>
          <cell r="O49">
            <v>815</v>
          </cell>
          <cell r="P49">
            <v>472</v>
          </cell>
          <cell r="Q49">
            <v>334</v>
          </cell>
          <cell r="R49">
            <v>349</v>
          </cell>
        </row>
        <row r="50">
          <cell r="D50" t="str">
            <v>U. DE LAS AMÉRICAS</v>
          </cell>
          <cell r="E50" t="str">
            <v>UAM</v>
          </cell>
          <cell r="F50" t="str">
            <v>U. Privada</v>
          </cell>
          <cell r="G50">
            <v>0.72618872368614751</v>
          </cell>
          <cell r="H50">
            <v>0.72848466893793518</v>
          </cell>
          <cell r="I50">
            <v>0.57221807318894702</v>
          </cell>
          <cell r="J50">
            <v>0.61095100864553309</v>
          </cell>
          <cell r="K50">
            <v>6793</v>
          </cell>
          <cell r="L50">
            <v>6751</v>
          </cell>
          <cell r="M50">
            <v>6695</v>
          </cell>
          <cell r="N50">
            <v>3817</v>
          </cell>
          <cell r="O50">
            <v>4933</v>
          </cell>
          <cell r="P50">
            <v>4918</v>
          </cell>
          <cell r="Q50">
            <v>3831</v>
          </cell>
          <cell r="R50">
            <v>2332</v>
          </cell>
        </row>
        <row r="51">
          <cell r="D51" t="str">
            <v>U. DE LOS ANDES</v>
          </cell>
          <cell r="E51" t="str">
            <v>UAN</v>
          </cell>
          <cell r="F51" t="str">
            <v>U. Privada</v>
          </cell>
          <cell r="G51">
            <v>0.87804878048780488</v>
          </cell>
          <cell r="H51">
            <v>0.89834515366430256</v>
          </cell>
          <cell r="I51">
            <v>0.9247787610619469</v>
          </cell>
          <cell r="J51">
            <v>0.89250814332247552</v>
          </cell>
          <cell r="K51">
            <v>902</v>
          </cell>
          <cell r="L51">
            <v>846</v>
          </cell>
          <cell r="M51">
            <v>1130</v>
          </cell>
          <cell r="N51">
            <v>1228</v>
          </cell>
          <cell r="O51">
            <v>792</v>
          </cell>
          <cell r="P51">
            <v>760</v>
          </cell>
          <cell r="Q51">
            <v>1045</v>
          </cell>
          <cell r="R51">
            <v>1096</v>
          </cell>
        </row>
        <row r="52">
          <cell r="D52" t="str">
            <v>U. DE VIÑA DEL MAR</v>
          </cell>
          <cell r="E52" t="str">
            <v>UVM</v>
          </cell>
          <cell r="F52" t="str">
            <v>U. Privada</v>
          </cell>
          <cell r="G52">
            <v>0.70570264765784119</v>
          </cell>
          <cell r="H52">
            <v>0.75013376136971643</v>
          </cell>
          <cell r="I52">
            <v>0.74767932489451472</v>
          </cell>
          <cell r="J52">
            <v>0.79038854805725967</v>
          </cell>
          <cell r="K52">
            <v>1964</v>
          </cell>
          <cell r="L52">
            <v>1869</v>
          </cell>
          <cell r="M52">
            <v>1185</v>
          </cell>
          <cell r="N52">
            <v>1956</v>
          </cell>
          <cell r="O52">
            <v>1386</v>
          </cell>
          <cell r="P52">
            <v>1402</v>
          </cell>
          <cell r="Q52">
            <v>886</v>
          </cell>
          <cell r="R52">
            <v>1546</v>
          </cell>
        </row>
        <row r="53">
          <cell r="D53" t="str">
            <v>U. DEL DESARROLLO</v>
          </cell>
          <cell r="E53" t="str">
            <v>UDD</v>
          </cell>
          <cell r="F53" t="str">
            <v>U. Privada</v>
          </cell>
          <cell r="G53">
            <v>0.85015989036089534</v>
          </cell>
          <cell r="H53">
            <v>0.85520872508461832</v>
          </cell>
          <cell r="I53">
            <v>0.85844930417495025</v>
          </cell>
          <cell r="J53">
            <v>0.79769016328156117</v>
          </cell>
          <cell r="K53">
            <v>2189</v>
          </cell>
          <cell r="L53">
            <v>2659</v>
          </cell>
          <cell r="M53">
            <v>2515</v>
          </cell>
          <cell r="N53">
            <v>2511</v>
          </cell>
          <cell r="O53">
            <v>1861</v>
          </cell>
          <cell r="P53">
            <v>2274</v>
          </cell>
          <cell r="Q53">
            <v>2159</v>
          </cell>
          <cell r="R53">
            <v>2003</v>
          </cell>
        </row>
        <row r="54">
          <cell r="D54" t="str">
            <v>U. DEL MAR</v>
          </cell>
          <cell r="E54" t="str">
            <v>UDM</v>
          </cell>
          <cell r="F54" t="str">
            <v>U. Privada</v>
          </cell>
          <cell r="G54">
            <v>0.67755856966707773</v>
          </cell>
          <cell r="H54">
            <v>7.8207109737248842E-2</v>
          </cell>
          <cell r="K54">
            <v>4866</v>
          </cell>
          <cell r="L54">
            <v>3235</v>
          </cell>
          <cell r="M54">
            <v>0</v>
          </cell>
          <cell r="N54">
            <v>0</v>
          </cell>
          <cell r="O54">
            <v>3297</v>
          </cell>
          <cell r="P54">
            <v>253</v>
          </cell>
          <cell r="Q54">
            <v>0</v>
          </cell>
          <cell r="R54">
            <v>0</v>
          </cell>
        </row>
        <row r="55">
          <cell r="D55" t="str">
            <v>U. DEL PACÍFICO</v>
          </cell>
          <cell r="E55" t="str">
            <v>UPO</v>
          </cell>
          <cell r="F55" t="str">
            <v>U. Privada</v>
          </cell>
          <cell r="G55">
            <v>0.76320422535211263</v>
          </cell>
          <cell r="H55">
            <v>0.78246392896781358</v>
          </cell>
          <cell r="I55">
            <v>0.75525339925834367</v>
          </cell>
          <cell r="J55">
            <v>0.77108433734939763</v>
          </cell>
          <cell r="K55">
            <v>1136</v>
          </cell>
          <cell r="L55">
            <v>901</v>
          </cell>
          <cell r="M55">
            <v>809</v>
          </cell>
          <cell r="N55">
            <v>747</v>
          </cell>
          <cell r="O55">
            <v>867</v>
          </cell>
          <cell r="P55">
            <v>705</v>
          </cell>
          <cell r="Q55">
            <v>611</v>
          </cell>
          <cell r="R55">
            <v>576</v>
          </cell>
        </row>
        <row r="56">
          <cell r="D56" t="str">
            <v>U. DIEGO PORTALES</v>
          </cell>
          <cell r="E56" t="str">
            <v>UDP</v>
          </cell>
          <cell r="F56" t="str">
            <v>U. Privada</v>
          </cell>
          <cell r="G56">
            <v>0.83614931237721024</v>
          </cell>
          <cell r="H56">
            <v>0.84929859719438883</v>
          </cell>
          <cell r="I56">
            <v>0.83919597989949746</v>
          </cell>
          <cell r="J56">
            <v>0.83892617449664431</v>
          </cell>
          <cell r="K56">
            <v>2545</v>
          </cell>
          <cell r="L56">
            <v>2495</v>
          </cell>
          <cell r="M56">
            <v>2786</v>
          </cell>
          <cell r="N56">
            <v>2831</v>
          </cell>
          <cell r="O56">
            <v>2128</v>
          </cell>
          <cell r="P56">
            <v>2119</v>
          </cell>
          <cell r="Q56">
            <v>2338</v>
          </cell>
          <cell r="R56">
            <v>2375</v>
          </cell>
        </row>
        <row r="57">
          <cell r="D57" t="str">
            <v>U. FINIS TERRAE</v>
          </cell>
          <cell r="E57" t="str">
            <v>UFT</v>
          </cell>
          <cell r="F57" t="str">
            <v>U. Privada</v>
          </cell>
          <cell r="G57">
            <v>0.79572446555819476</v>
          </cell>
          <cell r="H57">
            <v>0.80802792321116923</v>
          </cell>
          <cell r="I57">
            <v>0.81681415929203538</v>
          </cell>
          <cell r="J57">
            <v>0.84595744680851059</v>
          </cell>
          <cell r="K57">
            <v>842</v>
          </cell>
          <cell r="L57">
            <v>1146</v>
          </cell>
          <cell r="M57">
            <v>1130</v>
          </cell>
          <cell r="N57">
            <v>1175</v>
          </cell>
          <cell r="O57">
            <v>670</v>
          </cell>
          <cell r="P57">
            <v>926</v>
          </cell>
          <cell r="Q57">
            <v>923</v>
          </cell>
          <cell r="R57">
            <v>994</v>
          </cell>
        </row>
        <row r="58">
          <cell r="D58" t="str">
            <v>U. GABRIELA MISTRAL</v>
          </cell>
          <cell r="E58" t="str">
            <v>UGM</v>
          </cell>
          <cell r="F58" t="str">
            <v>U. Privada</v>
          </cell>
          <cell r="I58">
            <v>0.70769230769230773</v>
          </cell>
          <cell r="J58">
            <v>0.6228070175438597</v>
          </cell>
          <cell r="K58">
            <v>0</v>
          </cell>
          <cell r="L58">
            <v>0</v>
          </cell>
          <cell r="M58">
            <v>195</v>
          </cell>
          <cell r="N58">
            <v>114</v>
          </cell>
          <cell r="O58">
            <v>0</v>
          </cell>
          <cell r="P58">
            <v>0</v>
          </cell>
          <cell r="Q58">
            <v>138</v>
          </cell>
          <cell r="R58">
            <v>71</v>
          </cell>
        </row>
        <row r="59">
          <cell r="D59" t="str">
            <v>U. IBEROAMERICANA DE CS. Y TECNOLOGÍA UNICYT</v>
          </cell>
          <cell r="E59" t="str">
            <v>UIB</v>
          </cell>
          <cell r="F59" t="str">
            <v>U. Privada</v>
          </cell>
          <cell r="G59">
            <v>0.38173817381738173</v>
          </cell>
          <cell r="H59">
            <v>0.41538461538461541</v>
          </cell>
          <cell r="I59">
            <v>0.62644628099173549</v>
          </cell>
          <cell r="J59">
            <v>0.57530120481927716</v>
          </cell>
          <cell r="K59">
            <v>909</v>
          </cell>
          <cell r="L59">
            <v>260</v>
          </cell>
          <cell r="M59">
            <v>605</v>
          </cell>
          <cell r="N59">
            <v>332</v>
          </cell>
          <cell r="O59">
            <v>347</v>
          </cell>
          <cell r="P59">
            <v>108</v>
          </cell>
          <cell r="Q59">
            <v>379</v>
          </cell>
          <cell r="R59">
            <v>191</v>
          </cell>
        </row>
        <row r="60">
          <cell r="D60" t="str">
            <v>U. LA ARAUCANA</v>
          </cell>
          <cell r="E60" t="e">
            <v>#N/A</v>
          </cell>
          <cell r="F60" t="str">
            <v>U. Privada</v>
          </cell>
          <cell r="H60">
            <v>0.44329896907216493</v>
          </cell>
          <cell r="I60">
            <v>0.51260504201680668</v>
          </cell>
          <cell r="J60">
            <v>0.58536585365853655</v>
          </cell>
          <cell r="K60">
            <v>0</v>
          </cell>
          <cell r="L60">
            <v>97</v>
          </cell>
          <cell r="M60">
            <v>119</v>
          </cell>
          <cell r="N60">
            <v>123</v>
          </cell>
          <cell r="O60">
            <v>0</v>
          </cell>
          <cell r="P60">
            <v>43</v>
          </cell>
          <cell r="Q60">
            <v>61</v>
          </cell>
          <cell r="R60">
            <v>72</v>
          </cell>
        </row>
        <row r="61">
          <cell r="D61" t="str">
            <v>U. LA REPÚBLICA</v>
          </cell>
          <cell r="E61" t="str">
            <v>ULR</v>
          </cell>
          <cell r="F61" t="str">
            <v>U. Privada</v>
          </cell>
          <cell r="G61">
            <v>0.51506849315068493</v>
          </cell>
          <cell r="H61">
            <v>0.74444444444444446</v>
          </cell>
          <cell r="I61">
            <v>0.63543441226575814</v>
          </cell>
          <cell r="J61">
            <v>0.60766045548654246</v>
          </cell>
          <cell r="K61">
            <v>365</v>
          </cell>
          <cell r="L61">
            <v>450</v>
          </cell>
          <cell r="M61">
            <v>587</v>
          </cell>
          <cell r="N61">
            <v>966</v>
          </cell>
          <cell r="O61">
            <v>188</v>
          </cell>
          <cell r="P61">
            <v>335</v>
          </cell>
          <cell r="Q61">
            <v>373</v>
          </cell>
          <cell r="R61">
            <v>587</v>
          </cell>
        </row>
        <row r="62">
          <cell r="D62" t="str">
            <v>U. LOS LEONES</v>
          </cell>
          <cell r="E62" t="e">
            <v>#N/A</v>
          </cell>
          <cell r="F62" t="str">
            <v>U. Privada</v>
          </cell>
          <cell r="G62">
            <v>0.35097001763668428</v>
          </cell>
          <cell r="H62">
            <v>0.43695861405197306</v>
          </cell>
          <cell r="I62">
            <v>0.4116591928251121</v>
          </cell>
          <cell r="J62">
            <v>0.39013933547695606</v>
          </cell>
          <cell r="K62">
            <v>567</v>
          </cell>
          <cell r="L62">
            <v>1039</v>
          </cell>
          <cell r="M62">
            <v>1115</v>
          </cell>
          <cell r="N62">
            <v>933</v>
          </cell>
          <cell r="O62">
            <v>199</v>
          </cell>
          <cell r="P62">
            <v>454</v>
          </cell>
          <cell r="Q62">
            <v>459</v>
          </cell>
          <cell r="R62">
            <v>364</v>
          </cell>
        </row>
        <row r="63">
          <cell r="D63" t="str">
            <v>U. MAYOR</v>
          </cell>
          <cell r="E63" t="str">
            <v>UMA</v>
          </cell>
          <cell r="F63" t="str">
            <v>U. Privada</v>
          </cell>
          <cell r="G63">
            <v>0.84222661396574439</v>
          </cell>
          <cell r="H63">
            <v>0.83181299885974913</v>
          </cell>
          <cell r="I63">
            <v>0.79679705959569436</v>
          </cell>
          <cell r="J63">
            <v>0.76205861989383794</v>
          </cell>
          <cell r="K63">
            <v>3036</v>
          </cell>
          <cell r="L63">
            <v>3508</v>
          </cell>
          <cell r="M63">
            <v>3809</v>
          </cell>
          <cell r="N63">
            <v>4333</v>
          </cell>
          <cell r="O63">
            <v>2557</v>
          </cell>
          <cell r="P63">
            <v>2918</v>
          </cell>
          <cell r="Q63">
            <v>3035</v>
          </cell>
          <cell r="R63">
            <v>3302</v>
          </cell>
        </row>
        <row r="64">
          <cell r="D64" t="str">
            <v>U. MIGUEL DE CERVANTES</v>
          </cell>
          <cell r="E64" t="e">
            <v>#N/A</v>
          </cell>
          <cell r="F64" t="str">
            <v>U. Privada</v>
          </cell>
          <cell r="G64">
            <v>0.51264367816091949</v>
          </cell>
          <cell r="H64">
            <v>0.47230320699708456</v>
          </cell>
          <cell r="I64">
            <v>0.61452513966480449</v>
          </cell>
          <cell r="J64">
            <v>0.62941176470588234</v>
          </cell>
          <cell r="K64">
            <v>435</v>
          </cell>
          <cell r="L64">
            <v>343</v>
          </cell>
          <cell r="M64">
            <v>179</v>
          </cell>
          <cell r="N64">
            <v>170</v>
          </cell>
          <cell r="O64">
            <v>223</v>
          </cell>
          <cell r="P64">
            <v>162</v>
          </cell>
          <cell r="Q64">
            <v>110</v>
          </cell>
          <cell r="R64">
            <v>107</v>
          </cell>
        </row>
        <row r="65">
          <cell r="D65" t="str">
            <v>U. PEDRO DE VALDIVIA</v>
          </cell>
          <cell r="E65" t="str">
            <v>UPV</v>
          </cell>
          <cell r="F65" t="str">
            <v>U. Privada</v>
          </cell>
          <cell r="G65">
            <v>0.71563041862769383</v>
          </cell>
          <cell r="H65">
            <v>0.55723204994797082</v>
          </cell>
          <cell r="I65">
            <v>0.61969439728353137</v>
          </cell>
          <cell r="J65">
            <v>0.63343717549325029</v>
          </cell>
          <cell r="K65">
            <v>4037</v>
          </cell>
          <cell r="L65">
            <v>3844</v>
          </cell>
          <cell r="M65">
            <v>589</v>
          </cell>
          <cell r="N65">
            <v>963</v>
          </cell>
          <cell r="O65">
            <v>2889</v>
          </cell>
          <cell r="P65">
            <v>2142</v>
          </cell>
          <cell r="Q65">
            <v>365</v>
          </cell>
          <cell r="R65">
            <v>610</v>
          </cell>
        </row>
        <row r="66">
          <cell r="D66" t="str">
            <v>U. SAN SEBASTIÁN</v>
          </cell>
          <cell r="E66" t="str">
            <v>USS</v>
          </cell>
          <cell r="F66" t="str">
            <v>U. Privada</v>
          </cell>
          <cell r="G66">
            <v>0.8311988242704178</v>
          </cell>
          <cell r="H66">
            <v>0.83661971830985915</v>
          </cell>
          <cell r="I66">
            <v>0.80619161018501562</v>
          </cell>
          <cell r="J66">
            <v>0.81819964698960579</v>
          </cell>
          <cell r="K66">
            <v>4763</v>
          </cell>
          <cell r="L66">
            <v>6035</v>
          </cell>
          <cell r="M66">
            <v>5459</v>
          </cell>
          <cell r="N66">
            <v>5099</v>
          </cell>
          <cell r="O66">
            <v>3959</v>
          </cell>
          <cell r="P66">
            <v>5049</v>
          </cell>
          <cell r="Q66">
            <v>4401</v>
          </cell>
          <cell r="R66">
            <v>4172</v>
          </cell>
        </row>
        <row r="67">
          <cell r="D67" t="str">
            <v>U. SANTO TOMÁS</v>
          </cell>
          <cell r="E67" t="str">
            <v>UST</v>
          </cell>
          <cell r="F67" t="str">
            <v>U. Privada</v>
          </cell>
          <cell r="G67">
            <v>0.77339003645200488</v>
          </cell>
          <cell r="H67">
            <v>0.79504504504504503</v>
          </cell>
          <cell r="I67">
            <v>0.74124329441464187</v>
          </cell>
          <cell r="J67">
            <v>0.75681939739704052</v>
          </cell>
          <cell r="K67">
            <v>6584</v>
          </cell>
          <cell r="L67">
            <v>6216</v>
          </cell>
          <cell r="M67">
            <v>6338</v>
          </cell>
          <cell r="N67">
            <v>5609</v>
          </cell>
          <cell r="O67">
            <v>5092</v>
          </cell>
          <cell r="P67">
            <v>4942</v>
          </cell>
          <cell r="Q67">
            <v>4698</v>
          </cell>
          <cell r="R67">
            <v>4245</v>
          </cell>
        </row>
        <row r="68">
          <cell r="D68" t="str">
            <v>U. INTERNACIONAL SEK</v>
          </cell>
          <cell r="E68" t="str">
            <v>USK</v>
          </cell>
          <cell r="F68" t="str">
            <v>U. Privada</v>
          </cell>
          <cell r="G68">
            <v>0.60827586206896556</v>
          </cell>
          <cell r="H68">
            <v>0.600828729281768</v>
          </cell>
          <cell r="I68">
            <v>0.55745967741935487</v>
          </cell>
          <cell r="J68">
            <v>0.5547752808988764</v>
          </cell>
          <cell r="K68">
            <v>1450</v>
          </cell>
          <cell r="L68">
            <v>1448</v>
          </cell>
          <cell r="M68">
            <v>992</v>
          </cell>
          <cell r="N68">
            <v>712</v>
          </cell>
          <cell r="O68">
            <v>882</v>
          </cell>
          <cell r="P68">
            <v>870</v>
          </cell>
          <cell r="Q68">
            <v>553</v>
          </cell>
          <cell r="R68">
            <v>395</v>
          </cell>
        </row>
        <row r="69">
          <cell r="D69" t="str">
            <v>U. TECNOLOGICA INACAP</v>
          </cell>
          <cell r="E69" t="str">
            <v>UTC</v>
          </cell>
          <cell r="F69" t="str">
            <v>U. Privada</v>
          </cell>
          <cell r="G69">
            <v>0.69448077426105148</v>
          </cell>
          <cell r="H69">
            <v>0.70984943538268508</v>
          </cell>
          <cell r="I69">
            <v>0.68638796470418051</v>
          </cell>
          <cell r="J69">
            <v>0.69568811131009778</v>
          </cell>
          <cell r="K69">
            <v>7646</v>
          </cell>
          <cell r="L69">
            <v>6376</v>
          </cell>
          <cell r="M69">
            <v>6913</v>
          </cell>
          <cell r="N69">
            <v>7259</v>
          </cell>
          <cell r="O69">
            <v>5310</v>
          </cell>
          <cell r="P69">
            <v>4526</v>
          </cell>
          <cell r="Q69">
            <v>4745</v>
          </cell>
          <cell r="R69">
            <v>5050</v>
          </cell>
        </row>
        <row r="70">
          <cell r="D70" t="str">
            <v>U.  UCINF</v>
          </cell>
          <cell r="E70" t="str">
            <v>UCI</v>
          </cell>
          <cell r="F70" t="str">
            <v>U. Privada</v>
          </cell>
          <cell r="G70">
            <v>0.74193548387096775</v>
          </cell>
          <cell r="H70">
            <v>0.55239179954441908</v>
          </cell>
          <cell r="I70">
            <v>0.5450081833060556</v>
          </cell>
          <cell r="J70">
            <v>0.59440559440559437</v>
          </cell>
          <cell r="K70">
            <v>2232</v>
          </cell>
          <cell r="L70">
            <v>2634</v>
          </cell>
          <cell r="M70">
            <v>611</v>
          </cell>
          <cell r="N70">
            <v>286</v>
          </cell>
          <cell r="O70">
            <v>1656</v>
          </cell>
          <cell r="P70">
            <v>1455</v>
          </cell>
          <cell r="Q70">
            <v>333</v>
          </cell>
          <cell r="R70">
            <v>170</v>
          </cell>
        </row>
      </sheetData>
      <sheetData sheetId="7">
        <row r="10">
          <cell r="C10" t="str">
            <v>P. U. C. DE CHILE</v>
          </cell>
          <cell r="D10" t="str">
            <v>PUC</v>
          </cell>
          <cell r="E10" t="str">
            <v>CRUCH Priv.</v>
          </cell>
          <cell r="F10">
            <v>0.79674993936453997</v>
          </cell>
          <cell r="G10">
            <v>0.77154356060606055</v>
          </cell>
          <cell r="H10">
            <v>0.76631330977620726</v>
          </cell>
          <cell r="I10">
            <v>0.74095895977245019</v>
          </cell>
          <cell r="J10">
            <v>4123</v>
          </cell>
          <cell r="K10">
            <v>4224</v>
          </cell>
          <cell r="L10">
            <v>4245</v>
          </cell>
          <cell r="M10">
            <v>4922</v>
          </cell>
          <cell r="N10">
            <v>3285</v>
          </cell>
          <cell r="O10">
            <v>3259</v>
          </cell>
          <cell r="P10">
            <v>3253</v>
          </cell>
          <cell r="Q10">
            <v>3647</v>
          </cell>
        </row>
        <row r="11">
          <cell r="C11" t="str">
            <v>P. U. C. DE VALPARAISO</v>
          </cell>
          <cell r="D11" t="str">
            <v>UCV</v>
          </cell>
          <cell r="E11" t="str">
            <v>CRUCH Priv.</v>
          </cell>
          <cell r="F11">
            <v>0.59649122807017541</v>
          </cell>
          <cell r="G11">
            <v>0.59691998660863743</v>
          </cell>
          <cell r="H11">
            <v>0.5578813828100222</v>
          </cell>
          <cell r="I11">
            <v>0.57996661101836389</v>
          </cell>
          <cell r="J11">
            <v>2964</v>
          </cell>
          <cell r="K11">
            <v>2987</v>
          </cell>
          <cell r="L11">
            <v>3153</v>
          </cell>
          <cell r="M11">
            <v>2995</v>
          </cell>
          <cell r="N11">
            <v>1768</v>
          </cell>
          <cell r="O11">
            <v>1783</v>
          </cell>
          <cell r="P11">
            <v>1759</v>
          </cell>
          <cell r="Q11">
            <v>1737</v>
          </cell>
        </row>
        <row r="12">
          <cell r="C12" t="str">
            <v>U. ARTURO PRAT</v>
          </cell>
          <cell r="D12" t="str">
            <v>UAP</v>
          </cell>
          <cell r="E12" t="str">
            <v>CRUCH Est.</v>
          </cell>
          <cell r="F12">
            <v>0.42909625275532698</v>
          </cell>
          <cell r="G12">
            <v>0.52417061611374405</v>
          </cell>
          <cell r="H12">
            <v>0.48810656517602286</v>
          </cell>
          <cell r="I12">
            <v>0.5701402805611222</v>
          </cell>
          <cell r="J12">
            <v>1361</v>
          </cell>
          <cell r="K12">
            <v>1055</v>
          </cell>
          <cell r="L12">
            <v>1051</v>
          </cell>
          <cell r="M12">
            <v>998</v>
          </cell>
          <cell r="N12">
            <v>584</v>
          </cell>
          <cell r="O12">
            <v>553</v>
          </cell>
          <cell r="P12">
            <v>513</v>
          </cell>
          <cell r="Q12">
            <v>569</v>
          </cell>
        </row>
        <row r="13">
          <cell r="C13" t="str">
            <v>U. AUSTRAL DE CHILE</v>
          </cell>
          <cell r="D13" t="str">
            <v>AUS</v>
          </cell>
          <cell r="E13" t="str">
            <v>CRUCH Priv.</v>
          </cell>
          <cell r="F13">
            <v>0.6459459459459459</v>
          </cell>
          <cell r="G13">
            <v>0.63734076433121023</v>
          </cell>
          <cell r="H13">
            <v>0.63039253789350957</v>
          </cell>
          <cell r="I13">
            <v>0.62969211303247574</v>
          </cell>
          <cell r="J13">
            <v>2220</v>
          </cell>
          <cell r="K13">
            <v>2512</v>
          </cell>
          <cell r="L13">
            <v>2573</v>
          </cell>
          <cell r="M13">
            <v>2371</v>
          </cell>
          <cell r="N13">
            <v>1434</v>
          </cell>
          <cell r="O13">
            <v>1601</v>
          </cell>
          <cell r="P13">
            <v>1622</v>
          </cell>
          <cell r="Q13">
            <v>1493</v>
          </cell>
        </row>
        <row r="14">
          <cell r="C14" t="str">
            <v>U. C. DE LA STMA. CONCEPCIÓN</v>
          </cell>
          <cell r="D14" t="str">
            <v>USC</v>
          </cell>
          <cell r="E14" t="str">
            <v>CRUCH Priv.</v>
          </cell>
          <cell r="F14">
            <v>0.73834039975772259</v>
          </cell>
          <cell r="G14">
            <v>0.72203579418344521</v>
          </cell>
          <cell r="H14">
            <v>0.68609125893347989</v>
          </cell>
          <cell r="I14">
            <v>0.68763326226012789</v>
          </cell>
          <cell r="J14">
            <v>1651</v>
          </cell>
          <cell r="K14">
            <v>1788</v>
          </cell>
          <cell r="L14">
            <v>1819</v>
          </cell>
          <cell r="M14">
            <v>1876</v>
          </cell>
          <cell r="N14">
            <v>1219</v>
          </cell>
          <cell r="O14">
            <v>1291</v>
          </cell>
          <cell r="P14">
            <v>1248</v>
          </cell>
          <cell r="Q14">
            <v>1290</v>
          </cell>
        </row>
        <row r="15">
          <cell r="C15" t="str">
            <v>U. C. DE TEMUCO</v>
          </cell>
          <cell r="D15" t="str">
            <v>UCT</v>
          </cell>
          <cell r="E15" t="str">
            <v>CRUCH Priv.</v>
          </cell>
          <cell r="F15">
            <v>0.64031382015691007</v>
          </cell>
          <cell r="G15">
            <v>0.56772334293948123</v>
          </cell>
          <cell r="H15">
            <v>0.58519900497512434</v>
          </cell>
          <cell r="I15">
            <v>0.63934426229508201</v>
          </cell>
          <cell r="J15">
            <v>1657</v>
          </cell>
          <cell r="K15">
            <v>1735</v>
          </cell>
          <cell r="L15">
            <v>1608</v>
          </cell>
          <cell r="M15">
            <v>1647</v>
          </cell>
          <cell r="N15">
            <v>1061</v>
          </cell>
          <cell r="O15">
            <v>985</v>
          </cell>
          <cell r="P15">
            <v>941</v>
          </cell>
          <cell r="Q15">
            <v>1053</v>
          </cell>
        </row>
        <row r="16">
          <cell r="C16" t="str">
            <v>U. C. DEL MAULE</v>
          </cell>
          <cell r="D16" t="str">
            <v>UCM</v>
          </cell>
          <cell r="E16" t="str">
            <v>CRUCH Priv.</v>
          </cell>
          <cell r="F16">
            <v>0.7963496637848223</v>
          </cell>
          <cell r="G16">
            <v>0.80956678700361007</v>
          </cell>
          <cell r="H16">
            <v>0.75880971025841815</v>
          </cell>
          <cell r="I16">
            <v>0.77064220183486243</v>
          </cell>
          <cell r="J16">
            <v>1041</v>
          </cell>
          <cell r="K16">
            <v>1108</v>
          </cell>
          <cell r="L16">
            <v>1277</v>
          </cell>
          <cell r="M16">
            <v>1308</v>
          </cell>
          <cell r="N16">
            <v>829</v>
          </cell>
          <cell r="O16">
            <v>897</v>
          </cell>
          <cell r="P16">
            <v>969</v>
          </cell>
          <cell r="Q16">
            <v>1008</v>
          </cell>
        </row>
        <row r="17">
          <cell r="C17" t="str">
            <v>U. C. DEL NORTE</v>
          </cell>
          <cell r="D17" t="str">
            <v>UCN</v>
          </cell>
          <cell r="E17" t="str">
            <v>CRUCH Priv.</v>
          </cell>
          <cell r="F17">
            <v>0.58977272727272723</v>
          </cell>
          <cell r="G17">
            <v>0.64413722478238611</v>
          </cell>
          <cell r="H17">
            <v>0.58383727322704781</v>
          </cell>
          <cell r="I17">
            <v>0.64928366762177647</v>
          </cell>
          <cell r="J17">
            <v>1760</v>
          </cell>
          <cell r="K17">
            <v>1953</v>
          </cell>
          <cell r="L17">
            <v>1819</v>
          </cell>
          <cell r="M17">
            <v>1745</v>
          </cell>
          <cell r="N17">
            <v>1038</v>
          </cell>
          <cell r="O17">
            <v>1258</v>
          </cell>
          <cell r="P17">
            <v>1062</v>
          </cell>
          <cell r="Q17">
            <v>1133</v>
          </cell>
        </row>
        <row r="18">
          <cell r="C18" t="str">
            <v>U. DE ANTOFAGASTA</v>
          </cell>
          <cell r="D18" t="str">
            <v>ANT</v>
          </cell>
          <cell r="E18" t="str">
            <v>CRUCH Est.</v>
          </cell>
          <cell r="F18">
            <v>0.63561417971970324</v>
          </cell>
          <cell r="G18">
            <v>0.65701559020044542</v>
          </cell>
          <cell r="H18">
            <v>0.66585067319461444</v>
          </cell>
          <cell r="I18">
            <v>0.68436873747494986</v>
          </cell>
          <cell r="J18">
            <v>1213</v>
          </cell>
          <cell r="K18">
            <v>898</v>
          </cell>
          <cell r="L18">
            <v>817</v>
          </cell>
          <cell r="M18">
            <v>998</v>
          </cell>
          <cell r="N18">
            <v>771</v>
          </cell>
          <cell r="O18">
            <v>590</v>
          </cell>
          <cell r="P18">
            <v>544</v>
          </cell>
          <cell r="Q18">
            <v>683</v>
          </cell>
        </row>
        <row r="19">
          <cell r="C19" t="str">
            <v>U. DE ATACAMA</v>
          </cell>
          <cell r="D19" t="str">
            <v>ATA</v>
          </cell>
          <cell r="E19" t="str">
            <v>CRUCH Est.</v>
          </cell>
          <cell r="F19">
            <v>0.44983089064261556</v>
          </cell>
          <cell r="G19">
            <v>0.46313065976714102</v>
          </cell>
          <cell r="H19">
            <v>0.51892744479495267</v>
          </cell>
          <cell r="I19">
            <v>0.44314868804664725</v>
          </cell>
          <cell r="J19">
            <v>887</v>
          </cell>
          <cell r="K19">
            <v>773</v>
          </cell>
          <cell r="L19">
            <v>634</v>
          </cell>
          <cell r="M19">
            <v>686</v>
          </cell>
          <cell r="N19">
            <v>399</v>
          </cell>
          <cell r="O19">
            <v>358</v>
          </cell>
          <cell r="P19">
            <v>329</v>
          </cell>
          <cell r="Q19">
            <v>304</v>
          </cell>
        </row>
        <row r="20">
          <cell r="C20" t="str">
            <v>U. DE CHILE</v>
          </cell>
          <cell r="D20" t="str">
            <v>UCH</v>
          </cell>
          <cell r="E20" t="str">
            <v>CRUCH Est.</v>
          </cell>
          <cell r="F20">
            <v>0.77357237715803451</v>
          </cell>
          <cell r="G20">
            <v>0.68979980934223073</v>
          </cell>
          <cell r="H20">
            <v>0.70239198961616911</v>
          </cell>
          <cell r="I20">
            <v>0.71343045300339258</v>
          </cell>
          <cell r="J20">
            <v>4518</v>
          </cell>
          <cell r="K20">
            <v>5245</v>
          </cell>
          <cell r="L20">
            <v>5393</v>
          </cell>
          <cell r="M20">
            <v>5011</v>
          </cell>
          <cell r="N20">
            <v>3495</v>
          </cell>
          <cell r="O20">
            <v>3618</v>
          </cell>
          <cell r="P20">
            <v>3788</v>
          </cell>
          <cell r="Q20">
            <v>3575</v>
          </cell>
        </row>
        <row r="21">
          <cell r="C21" t="str">
            <v>U. DE CONCEPCIÓN</v>
          </cell>
          <cell r="D21" t="str">
            <v>UCO</v>
          </cell>
          <cell r="E21" t="str">
            <v>CRUCH Priv.</v>
          </cell>
          <cell r="F21">
            <v>0.65728666209105469</v>
          </cell>
          <cell r="G21">
            <v>0.65969345484672748</v>
          </cell>
          <cell r="H21">
            <v>0.65565736202855318</v>
          </cell>
          <cell r="I21">
            <v>0.65961497778718003</v>
          </cell>
          <cell r="J21">
            <v>4371</v>
          </cell>
          <cell r="K21">
            <v>4828</v>
          </cell>
          <cell r="L21">
            <v>4693</v>
          </cell>
          <cell r="M21">
            <v>4727</v>
          </cell>
          <cell r="N21">
            <v>2873</v>
          </cell>
          <cell r="O21">
            <v>3185</v>
          </cell>
          <cell r="P21">
            <v>3077</v>
          </cell>
          <cell r="Q21">
            <v>3118</v>
          </cell>
        </row>
        <row r="22">
          <cell r="C22" t="str">
            <v>U. DE LA FRONTERA</v>
          </cell>
          <cell r="D22" t="str">
            <v>FRO</v>
          </cell>
          <cell r="E22" t="str">
            <v>CRUCH Est.</v>
          </cell>
          <cell r="F22">
            <v>0.70175438596491224</v>
          </cell>
          <cell r="G22">
            <v>0.66843220338983056</v>
          </cell>
          <cell r="H22">
            <v>0.64093959731543626</v>
          </cell>
          <cell r="I22">
            <v>0.66393022062596208</v>
          </cell>
          <cell r="J22">
            <v>1710</v>
          </cell>
          <cell r="K22">
            <v>1888</v>
          </cell>
          <cell r="L22">
            <v>1788</v>
          </cell>
          <cell r="M22">
            <v>1949</v>
          </cell>
          <cell r="N22">
            <v>1200</v>
          </cell>
          <cell r="O22">
            <v>1262</v>
          </cell>
          <cell r="P22">
            <v>1146</v>
          </cell>
          <cell r="Q22">
            <v>1294</v>
          </cell>
        </row>
        <row r="23">
          <cell r="C23" t="str">
            <v>U. DE LA SERENA</v>
          </cell>
          <cell r="D23" t="str">
            <v>ULS</v>
          </cell>
          <cell r="E23" t="str">
            <v>CRUCH Est.</v>
          </cell>
          <cell r="F23">
            <v>0.64012944983818765</v>
          </cell>
          <cell r="G23">
            <v>0.61448140900195691</v>
          </cell>
          <cell r="H23">
            <v>0.58439811701412236</v>
          </cell>
          <cell r="I23">
            <v>0.61419354838709672</v>
          </cell>
          <cell r="J23">
            <v>1545</v>
          </cell>
          <cell r="K23">
            <v>1533</v>
          </cell>
          <cell r="L23">
            <v>1487</v>
          </cell>
          <cell r="M23">
            <v>1550</v>
          </cell>
          <cell r="N23">
            <v>989</v>
          </cell>
          <cell r="O23">
            <v>942</v>
          </cell>
          <cell r="P23">
            <v>869</v>
          </cell>
          <cell r="Q23">
            <v>952</v>
          </cell>
        </row>
        <row r="24">
          <cell r="C24" t="str">
            <v>U. DE LOS LAGOS</v>
          </cell>
          <cell r="D24" t="str">
            <v>ULA</v>
          </cell>
          <cell r="E24" t="str">
            <v>CRUCH Est.</v>
          </cell>
          <cell r="F24">
            <v>0.62439024390243902</v>
          </cell>
          <cell r="G24">
            <v>0.62425149700598803</v>
          </cell>
          <cell r="H24">
            <v>0.61742424242424243</v>
          </cell>
          <cell r="I24">
            <v>0.66614664586583461</v>
          </cell>
          <cell r="J24">
            <v>820</v>
          </cell>
          <cell r="K24">
            <v>668</v>
          </cell>
          <cell r="L24">
            <v>792</v>
          </cell>
          <cell r="M24">
            <v>641</v>
          </cell>
          <cell r="N24">
            <v>512</v>
          </cell>
          <cell r="O24">
            <v>417</v>
          </cell>
          <cell r="P24">
            <v>489</v>
          </cell>
          <cell r="Q24">
            <v>427</v>
          </cell>
        </row>
        <row r="25">
          <cell r="C25" t="str">
            <v>U. DE MAGALLANES</v>
          </cell>
          <cell r="D25" t="str">
            <v>MAG</v>
          </cell>
          <cell r="E25" t="str">
            <v>CRUCH Est.</v>
          </cell>
          <cell r="F25">
            <v>0.6216216216216216</v>
          </cell>
          <cell r="G25">
            <v>0.60493827160493829</v>
          </cell>
          <cell r="H25">
            <v>0.63779527559055116</v>
          </cell>
          <cell r="I25">
            <v>0.63452914798206284</v>
          </cell>
          <cell r="J25">
            <v>666</v>
          </cell>
          <cell r="K25">
            <v>648</v>
          </cell>
          <cell r="L25">
            <v>508</v>
          </cell>
          <cell r="M25">
            <v>446</v>
          </cell>
          <cell r="N25">
            <v>414</v>
          </cell>
          <cell r="O25">
            <v>392</v>
          </cell>
          <cell r="P25">
            <v>324</v>
          </cell>
          <cell r="Q25">
            <v>283</v>
          </cell>
        </row>
        <row r="26">
          <cell r="C26" t="str">
            <v>U. DE PLAYA ANCHA DE CS. DE LA ED.</v>
          </cell>
          <cell r="D26" t="str">
            <v>UPA</v>
          </cell>
          <cell r="E26" t="str">
            <v>CRUCH Est.</v>
          </cell>
          <cell r="F26">
            <v>0.63931623931623927</v>
          </cell>
          <cell r="G26">
            <v>0.64087193460490466</v>
          </cell>
          <cell r="H26">
            <v>0.59954751131221717</v>
          </cell>
          <cell r="I26">
            <v>0.59619306594153632</v>
          </cell>
          <cell r="J26">
            <v>1755</v>
          </cell>
          <cell r="K26">
            <v>1835</v>
          </cell>
          <cell r="L26">
            <v>1768</v>
          </cell>
          <cell r="M26">
            <v>1471</v>
          </cell>
          <cell r="N26">
            <v>1122</v>
          </cell>
          <cell r="O26">
            <v>1176</v>
          </cell>
          <cell r="P26">
            <v>1060</v>
          </cell>
          <cell r="Q26">
            <v>877</v>
          </cell>
        </row>
        <row r="27">
          <cell r="C27" t="str">
            <v>U. DE SANTIAGO</v>
          </cell>
          <cell r="D27" t="str">
            <v>USA</v>
          </cell>
          <cell r="E27" t="str">
            <v>CRUCH Est.</v>
          </cell>
          <cell r="F27">
            <v>0.71329365079365081</v>
          </cell>
          <cell r="G27">
            <v>0.68065573770491805</v>
          </cell>
          <cell r="H27">
            <v>0.55658682634730539</v>
          </cell>
          <cell r="I27">
            <v>0.62788823213326173</v>
          </cell>
          <cell r="J27">
            <v>3024</v>
          </cell>
          <cell r="K27">
            <v>3050</v>
          </cell>
          <cell r="L27">
            <v>3340</v>
          </cell>
          <cell r="M27">
            <v>3722</v>
          </cell>
          <cell r="N27">
            <v>2157</v>
          </cell>
          <cell r="O27">
            <v>2076</v>
          </cell>
          <cell r="P27">
            <v>1859</v>
          </cell>
          <cell r="Q27">
            <v>2337</v>
          </cell>
        </row>
        <row r="28">
          <cell r="C28" t="str">
            <v>U. DE TALCA</v>
          </cell>
          <cell r="D28" t="str">
            <v>TAL</v>
          </cell>
          <cell r="E28" t="str">
            <v>CRUCH Est.</v>
          </cell>
          <cell r="F28">
            <v>0.76491732566498927</v>
          </cell>
          <cell r="G28">
            <v>0.7556596409055425</v>
          </cell>
          <cell r="H28">
            <v>0.70656370656370659</v>
          </cell>
          <cell r="I28">
            <v>0.70518602029312294</v>
          </cell>
          <cell r="J28">
            <v>1391</v>
          </cell>
          <cell r="K28">
            <v>1281</v>
          </cell>
          <cell r="L28">
            <v>1295</v>
          </cell>
          <cell r="M28">
            <v>1774</v>
          </cell>
          <cell r="N28">
            <v>1064</v>
          </cell>
          <cell r="O28">
            <v>968</v>
          </cell>
          <cell r="P28">
            <v>915</v>
          </cell>
          <cell r="Q28">
            <v>1251</v>
          </cell>
        </row>
        <row r="29">
          <cell r="C29" t="str">
            <v>U. DE TARAPACÁ</v>
          </cell>
          <cell r="D29" t="str">
            <v>UTA</v>
          </cell>
          <cell r="E29" t="str">
            <v>CRUCH Est.</v>
          </cell>
          <cell r="F29">
            <v>0.62388724035608312</v>
          </cell>
          <cell r="G29">
            <v>0.59766963673749141</v>
          </cell>
          <cell r="H29">
            <v>0.63847203274215547</v>
          </cell>
          <cell r="I29">
            <v>0.70169491525423733</v>
          </cell>
          <cell r="J29">
            <v>1348</v>
          </cell>
          <cell r="K29">
            <v>1459</v>
          </cell>
          <cell r="L29">
            <v>1466</v>
          </cell>
          <cell r="M29">
            <v>1475</v>
          </cell>
          <cell r="N29">
            <v>841</v>
          </cell>
          <cell r="O29">
            <v>872</v>
          </cell>
          <cell r="P29">
            <v>936</v>
          </cell>
          <cell r="Q29">
            <v>1035</v>
          </cell>
        </row>
        <row r="30">
          <cell r="C30" t="str">
            <v>U. DE VALPARAÍSO</v>
          </cell>
          <cell r="D30" t="str">
            <v>UVA</v>
          </cell>
          <cell r="E30" t="str">
            <v>CRUCH Est.</v>
          </cell>
          <cell r="F30">
            <v>0.67007402185407117</v>
          </cell>
          <cell r="G30">
            <v>0.6637140145523569</v>
          </cell>
          <cell r="H30">
            <v>0.64890073284477012</v>
          </cell>
          <cell r="I30">
            <v>0.64079147640791478</v>
          </cell>
          <cell r="J30">
            <v>2837</v>
          </cell>
          <cell r="K30">
            <v>3161</v>
          </cell>
          <cell r="L30">
            <v>3002</v>
          </cell>
          <cell r="M30">
            <v>3285</v>
          </cell>
          <cell r="N30">
            <v>1901</v>
          </cell>
          <cell r="O30">
            <v>2098</v>
          </cell>
          <cell r="P30">
            <v>1948</v>
          </cell>
          <cell r="Q30">
            <v>2105</v>
          </cell>
        </row>
        <row r="31">
          <cell r="C31" t="str">
            <v>U. DEL BÍO-BÍO</v>
          </cell>
          <cell r="D31" t="str">
            <v>UBB</v>
          </cell>
          <cell r="E31" t="str">
            <v>CRUCH Est.</v>
          </cell>
          <cell r="F31">
            <v>0.71873589164785556</v>
          </cell>
          <cell r="G31">
            <v>0.76222826086956519</v>
          </cell>
          <cell r="H31">
            <v>0.72163038443723948</v>
          </cell>
          <cell r="I31">
            <v>0.7530805687203791</v>
          </cell>
          <cell r="J31">
            <v>2215</v>
          </cell>
          <cell r="K31">
            <v>2208</v>
          </cell>
          <cell r="L31">
            <v>2159</v>
          </cell>
          <cell r="M31">
            <v>2110</v>
          </cell>
          <cell r="N31">
            <v>1592</v>
          </cell>
          <cell r="O31">
            <v>1683</v>
          </cell>
          <cell r="P31">
            <v>1558</v>
          </cell>
          <cell r="Q31">
            <v>1589</v>
          </cell>
        </row>
        <row r="32">
          <cell r="C32" t="str">
            <v>U. METROPOLITANA DE CS. DE LA ED.</v>
          </cell>
          <cell r="D32" t="str">
            <v>UMC</v>
          </cell>
          <cell r="E32" t="str">
            <v>CRUCH Est.</v>
          </cell>
          <cell r="F32">
            <v>0.70460959548447788</v>
          </cell>
          <cell r="G32">
            <v>0.64579256360078274</v>
          </cell>
          <cell r="H32">
            <v>0.65895953757225434</v>
          </cell>
          <cell r="I32">
            <v>0.63561924257932445</v>
          </cell>
          <cell r="J32">
            <v>1063</v>
          </cell>
          <cell r="K32">
            <v>1022</v>
          </cell>
          <cell r="L32">
            <v>1038</v>
          </cell>
          <cell r="M32">
            <v>977</v>
          </cell>
          <cell r="N32">
            <v>749</v>
          </cell>
          <cell r="O32">
            <v>660</v>
          </cell>
          <cell r="P32">
            <v>684</v>
          </cell>
          <cell r="Q32">
            <v>621</v>
          </cell>
        </row>
        <row r="33">
          <cell r="C33" t="str">
            <v>U. TÉCNICA FEDERICO STA. MARÍA</v>
          </cell>
          <cell r="D33" t="str">
            <v>FSM</v>
          </cell>
          <cell r="E33" t="str">
            <v>CRUCH Priv.</v>
          </cell>
          <cell r="F33">
            <v>0.68058968058968061</v>
          </cell>
          <cell r="G33">
            <v>0.66422594142259417</v>
          </cell>
          <cell r="H33">
            <v>0.60167966406718654</v>
          </cell>
          <cell r="I33">
            <v>0.59113034072471604</v>
          </cell>
          <cell r="J33">
            <v>1628</v>
          </cell>
          <cell r="K33">
            <v>1912</v>
          </cell>
          <cell r="L33">
            <v>1667</v>
          </cell>
          <cell r="M33">
            <v>1849</v>
          </cell>
          <cell r="N33">
            <v>1108</v>
          </cell>
          <cell r="O33">
            <v>1270</v>
          </cell>
          <cell r="P33">
            <v>1003</v>
          </cell>
          <cell r="Q33">
            <v>1093</v>
          </cell>
        </row>
        <row r="34">
          <cell r="C34" t="str">
            <v>U. TECNOLÓGICA METROPOLITANA</v>
          </cell>
          <cell r="D34" t="str">
            <v>UTM</v>
          </cell>
          <cell r="E34" t="str">
            <v>CRUCH Est.</v>
          </cell>
          <cell r="F34">
            <v>0.52498457742134486</v>
          </cell>
          <cell r="G34">
            <v>0.52720207253886009</v>
          </cell>
          <cell r="H34">
            <v>0.51516886090440761</v>
          </cell>
          <cell r="I34">
            <v>0.49744897959183676</v>
          </cell>
          <cell r="J34">
            <v>1621</v>
          </cell>
          <cell r="K34">
            <v>1544</v>
          </cell>
          <cell r="L34">
            <v>1747</v>
          </cell>
          <cell r="M34">
            <v>1568</v>
          </cell>
          <cell r="N34">
            <v>851</v>
          </cell>
          <cell r="O34">
            <v>814</v>
          </cell>
          <cell r="P34">
            <v>900</v>
          </cell>
          <cell r="Q34">
            <v>780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0.67334831642673465</v>
          </cell>
          <cell r="G35">
            <v>0.66273019584916693</v>
          </cell>
          <cell r="H35">
            <v>0.64131093685836638</v>
          </cell>
          <cell r="I35">
            <v>0.6574537916738642</v>
          </cell>
          <cell r="J35">
            <v>49389</v>
          </cell>
          <cell r="K35">
            <v>51315</v>
          </cell>
          <cell r="L35">
            <v>51139</v>
          </cell>
          <cell r="M35">
            <v>52101</v>
          </cell>
          <cell r="N35">
            <v>33256</v>
          </cell>
          <cell r="O35">
            <v>34008</v>
          </cell>
          <cell r="P35">
            <v>32796</v>
          </cell>
          <cell r="Q35">
            <v>34254</v>
          </cell>
        </row>
        <row r="36">
          <cell r="C36" t="str">
            <v>U. ACADEMIA HUMANISMO CRISTIANO</v>
          </cell>
          <cell r="D36" t="str">
            <v>AHC</v>
          </cell>
          <cell r="E36" t="str">
            <v>U. Privada</v>
          </cell>
          <cell r="F36">
            <v>0.58789954337899542</v>
          </cell>
          <cell r="G36">
            <v>0.55204678362573101</v>
          </cell>
          <cell r="H36">
            <v>0.50977653631284914</v>
          </cell>
          <cell r="I36">
            <v>0.52519083969465652</v>
          </cell>
          <cell r="J36">
            <v>876</v>
          </cell>
          <cell r="K36">
            <v>855</v>
          </cell>
          <cell r="L36">
            <v>716</v>
          </cell>
          <cell r="M36">
            <v>655</v>
          </cell>
          <cell r="N36">
            <v>515</v>
          </cell>
          <cell r="O36">
            <v>472</v>
          </cell>
          <cell r="P36">
            <v>365</v>
          </cell>
          <cell r="Q36">
            <v>344</v>
          </cell>
        </row>
        <row r="37">
          <cell r="C37" t="str">
            <v>U. ADOLFO IBAÑEZ</v>
          </cell>
          <cell r="D37" t="str">
            <v>UAI</v>
          </cell>
          <cell r="E37" t="str">
            <v>U. Privada</v>
          </cell>
          <cell r="F37">
            <v>0.62838633686690226</v>
          </cell>
          <cell r="G37">
            <v>0.62402088772845954</v>
          </cell>
          <cell r="H37">
            <v>0.66489078316462435</v>
          </cell>
          <cell r="I37">
            <v>0.72983870967741937</v>
          </cell>
          <cell r="J37">
            <v>1698</v>
          </cell>
          <cell r="K37">
            <v>1532</v>
          </cell>
          <cell r="L37">
            <v>1877</v>
          </cell>
          <cell r="M37">
            <v>1984</v>
          </cell>
          <cell r="N37">
            <v>1067</v>
          </cell>
          <cell r="O37">
            <v>956</v>
          </cell>
          <cell r="P37">
            <v>1248</v>
          </cell>
          <cell r="Q37">
            <v>1448</v>
          </cell>
        </row>
        <row r="38">
          <cell r="C38" t="str">
            <v>U. ADVENTISTA</v>
          </cell>
          <cell r="D38" t="str">
            <v>UAC</v>
          </cell>
          <cell r="E38" t="str">
            <v>U. Privada</v>
          </cell>
          <cell r="F38">
            <v>0.65909090909090906</v>
          </cell>
          <cell r="G38">
            <v>0.59558823529411764</v>
          </cell>
          <cell r="H38">
            <v>0.67169811320754713</v>
          </cell>
          <cell r="I38">
            <v>0.68259385665529015</v>
          </cell>
          <cell r="J38">
            <v>176</v>
          </cell>
          <cell r="K38">
            <v>272</v>
          </cell>
          <cell r="L38">
            <v>265</v>
          </cell>
          <cell r="M38">
            <v>293</v>
          </cell>
          <cell r="N38">
            <v>116</v>
          </cell>
          <cell r="O38">
            <v>162</v>
          </cell>
          <cell r="P38">
            <v>178</v>
          </cell>
          <cell r="Q38">
            <v>200</v>
          </cell>
        </row>
        <row r="39">
          <cell r="C39" t="str">
            <v>U. ALBERTO HURTADO</v>
          </cell>
          <cell r="D39" t="str">
            <v>UAH</v>
          </cell>
          <cell r="E39" t="str">
            <v>U. Privada</v>
          </cell>
          <cell r="F39">
            <v>0.651685393258427</v>
          </cell>
          <cell r="G39">
            <v>0.63916391639163916</v>
          </cell>
          <cell r="H39">
            <v>0.61085972850678738</v>
          </cell>
          <cell r="I39">
            <v>0.63989637305699487</v>
          </cell>
          <cell r="J39">
            <v>801</v>
          </cell>
          <cell r="K39">
            <v>909</v>
          </cell>
          <cell r="L39">
            <v>884</v>
          </cell>
          <cell r="M39">
            <v>1158</v>
          </cell>
          <cell r="N39">
            <v>522</v>
          </cell>
          <cell r="O39">
            <v>581</v>
          </cell>
          <cell r="P39">
            <v>540</v>
          </cell>
          <cell r="Q39">
            <v>741</v>
          </cell>
        </row>
        <row r="40">
          <cell r="C40" t="str">
            <v>U. ANDRÉS BELLO</v>
          </cell>
          <cell r="D40" t="str">
            <v>UAB</v>
          </cell>
          <cell r="E40" t="str">
            <v>U. Privada</v>
          </cell>
          <cell r="F40">
            <v>0.52313640207804757</v>
          </cell>
          <cell r="G40">
            <v>0.54298693923906871</v>
          </cell>
          <cell r="H40">
            <v>0.54033041788143832</v>
          </cell>
          <cell r="I40">
            <v>0.55392768079800503</v>
          </cell>
          <cell r="J40">
            <v>8277</v>
          </cell>
          <cell r="K40">
            <v>8805</v>
          </cell>
          <cell r="L40">
            <v>9261</v>
          </cell>
          <cell r="M40">
            <v>9624</v>
          </cell>
          <cell r="N40">
            <v>4330</v>
          </cell>
          <cell r="O40">
            <v>4781</v>
          </cell>
          <cell r="P40">
            <v>5004</v>
          </cell>
          <cell r="Q40">
            <v>5331</v>
          </cell>
        </row>
        <row r="41">
          <cell r="C41" t="str">
            <v>U. AUTÓNOMA DE CHILE</v>
          </cell>
          <cell r="D41" t="str">
            <v>UAU</v>
          </cell>
          <cell r="E41" t="str">
            <v>U. Privada</v>
          </cell>
          <cell r="F41">
            <v>0.68061336254107341</v>
          </cell>
          <cell r="G41">
            <v>0.70216466950135292</v>
          </cell>
          <cell r="H41">
            <v>0.70311493018259941</v>
          </cell>
          <cell r="I41">
            <v>0.66791338582677162</v>
          </cell>
          <cell r="J41">
            <v>4565</v>
          </cell>
          <cell r="K41">
            <v>5174</v>
          </cell>
          <cell r="L41">
            <v>4655</v>
          </cell>
          <cell r="M41">
            <v>5080</v>
          </cell>
          <cell r="N41">
            <v>3107</v>
          </cell>
          <cell r="O41">
            <v>3633</v>
          </cell>
          <cell r="P41">
            <v>3273</v>
          </cell>
          <cell r="Q41">
            <v>3393</v>
          </cell>
        </row>
        <row r="42">
          <cell r="C42" t="str">
            <v>U. BERNARDO O'HIGGINS</v>
          </cell>
          <cell r="D42" t="str">
            <v>UBO</v>
          </cell>
          <cell r="E42" t="str">
            <v>U. Privada</v>
          </cell>
          <cell r="F42">
            <v>0.62453531598513012</v>
          </cell>
          <cell r="G42">
            <v>0.62899050905953413</v>
          </cell>
          <cell r="H42">
            <v>0.56718749999999996</v>
          </cell>
          <cell r="I42">
            <v>0.55360134003350081</v>
          </cell>
          <cell r="J42">
            <v>1076</v>
          </cell>
          <cell r="K42">
            <v>1159</v>
          </cell>
          <cell r="L42">
            <v>1280</v>
          </cell>
          <cell r="M42">
            <v>1194</v>
          </cell>
          <cell r="N42">
            <v>672</v>
          </cell>
          <cell r="O42">
            <v>729</v>
          </cell>
          <cell r="P42">
            <v>726</v>
          </cell>
          <cell r="Q42">
            <v>661</v>
          </cell>
        </row>
        <row r="43">
          <cell r="C43" t="str">
            <v>U. BOLIVARIANA</v>
          </cell>
          <cell r="D43" t="str">
            <v>UBL</v>
          </cell>
          <cell r="E43" t="str">
            <v>U. Privada</v>
          </cell>
          <cell r="F43">
            <v>0.2814814814814815</v>
          </cell>
          <cell r="G43">
            <v>0.32131147540983607</v>
          </cell>
          <cell r="H43">
            <v>0.39660056657223797</v>
          </cell>
          <cell r="I43">
            <v>0.29799426934097423</v>
          </cell>
          <cell r="J43">
            <v>1080</v>
          </cell>
          <cell r="K43">
            <v>915</v>
          </cell>
          <cell r="L43">
            <v>706</v>
          </cell>
          <cell r="M43">
            <v>349</v>
          </cell>
          <cell r="N43">
            <v>304</v>
          </cell>
          <cell r="O43">
            <v>294</v>
          </cell>
          <cell r="P43">
            <v>280</v>
          </cell>
          <cell r="Q43">
            <v>104</v>
          </cell>
        </row>
        <row r="44">
          <cell r="C44" t="str">
            <v>U. C. SILVA HENRÍQUEZ</v>
          </cell>
          <cell r="D44" t="str">
            <v>UCS</v>
          </cell>
          <cell r="E44" t="str">
            <v>U. Privada</v>
          </cell>
          <cell r="F44">
            <v>0.59631728045325783</v>
          </cell>
          <cell r="G44">
            <v>0.62131303520456704</v>
          </cell>
          <cell r="H44">
            <v>0.60266666666666668</v>
          </cell>
          <cell r="I44">
            <v>0.6033755274261603</v>
          </cell>
          <cell r="J44">
            <v>1412</v>
          </cell>
          <cell r="K44">
            <v>1051</v>
          </cell>
          <cell r="L44">
            <v>1125</v>
          </cell>
          <cell r="M44">
            <v>948</v>
          </cell>
          <cell r="N44">
            <v>842</v>
          </cell>
          <cell r="O44">
            <v>653</v>
          </cell>
          <cell r="P44">
            <v>678</v>
          </cell>
          <cell r="Q44">
            <v>572</v>
          </cell>
        </row>
        <row r="45">
          <cell r="C45" t="str">
            <v>U. CENTRAL</v>
          </cell>
          <cell r="D45" t="str">
            <v>UCE</v>
          </cell>
          <cell r="E45" t="str">
            <v>U. Privada</v>
          </cell>
          <cell r="F45">
            <v>0.59445628997867805</v>
          </cell>
          <cell r="G45">
            <v>0.62917795844625113</v>
          </cell>
          <cell r="H45">
            <v>0.59069325735992406</v>
          </cell>
          <cell r="I45">
            <v>0.57628490489680295</v>
          </cell>
          <cell r="J45">
            <v>2345</v>
          </cell>
          <cell r="K45">
            <v>2214</v>
          </cell>
          <cell r="L45">
            <v>2106</v>
          </cell>
          <cell r="M45">
            <v>2471</v>
          </cell>
          <cell r="N45">
            <v>1394</v>
          </cell>
          <cell r="O45">
            <v>1393</v>
          </cell>
          <cell r="P45">
            <v>1244</v>
          </cell>
          <cell r="Q45">
            <v>1424</v>
          </cell>
        </row>
        <row r="46">
          <cell r="C46" t="str">
            <v>U. CHILENO BRITÁNICA DE CULTURA</v>
          </cell>
          <cell r="D46" t="e">
            <v>#N/A</v>
          </cell>
          <cell r="E46" t="str">
            <v>U. Privada</v>
          </cell>
          <cell r="F46">
            <v>0.50819672131147542</v>
          </cell>
          <cell r="G46">
            <v>0.55555555555555558</v>
          </cell>
          <cell r="H46">
            <v>0.51041666666666663</v>
          </cell>
          <cell r="I46">
            <v>0.55913978494623651</v>
          </cell>
          <cell r="J46">
            <v>122</v>
          </cell>
          <cell r="K46">
            <v>90</v>
          </cell>
          <cell r="L46">
            <v>96</v>
          </cell>
          <cell r="M46">
            <v>93</v>
          </cell>
          <cell r="N46">
            <v>62</v>
          </cell>
          <cell r="O46">
            <v>50</v>
          </cell>
          <cell r="P46">
            <v>49</v>
          </cell>
          <cell r="Q46">
            <v>52</v>
          </cell>
        </row>
        <row r="47">
          <cell r="C47" t="str">
            <v>U. DE ACONCAGUA</v>
          </cell>
          <cell r="D47" t="e">
            <v>#N/A</v>
          </cell>
          <cell r="E47" t="str">
            <v>U. Privada</v>
          </cell>
          <cell r="F47">
            <v>0.30660042583392477</v>
          </cell>
          <cell r="G47">
            <v>0.41933418693982072</v>
          </cell>
          <cell r="H47">
            <v>0.43443804034582134</v>
          </cell>
          <cell r="I47">
            <v>0.41551459293394777</v>
          </cell>
          <cell r="J47">
            <v>1409</v>
          </cell>
          <cell r="K47">
            <v>1562</v>
          </cell>
          <cell r="L47">
            <v>1388</v>
          </cell>
          <cell r="M47">
            <v>1302</v>
          </cell>
          <cell r="N47">
            <v>432</v>
          </cell>
          <cell r="O47">
            <v>655</v>
          </cell>
          <cell r="P47">
            <v>603</v>
          </cell>
          <cell r="Q47">
            <v>541</v>
          </cell>
        </row>
        <row r="48">
          <cell r="C48" t="str">
            <v>U. DE ARTES Y CS. SOCIALES ARCIS</v>
          </cell>
          <cell r="D48" t="str">
            <v>UAR</v>
          </cell>
          <cell r="E48" t="str">
            <v>U. Privada</v>
          </cell>
          <cell r="F48">
            <v>0.38154269972451793</v>
          </cell>
          <cell r="G48">
            <v>0.43133462282398455</v>
          </cell>
          <cell r="H48">
            <v>0.46702127659574466</v>
          </cell>
          <cell r="I48">
            <v>0.28644240570846075</v>
          </cell>
          <cell r="J48">
            <v>726</v>
          </cell>
          <cell r="K48">
            <v>517</v>
          </cell>
          <cell r="L48">
            <v>940</v>
          </cell>
          <cell r="M48">
            <v>981</v>
          </cell>
          <cell r="N48">
            <v>277</v>
          </cell>
          <cell r="O48">
            <v>223</v>
          </cell>
          <cell r="P48">
            <v>439</v>
          </cell>
          <cell r="Q48">
            <v>281</v>
          </cell>
        </row>
        <row r="49">
          <cell r="C49" t="str">
            <v>U. DE ARTES, CS. Y COMUNICACIÓN UNIACC</v>
          </cell>
          <cell r="D49" t="str">
            <v>UCC</v>
          </cell>
          <cell r="E49" t="str">
            <v>U. Privada</v>
          </cell>
          <cell r="F49">
            <v>0.49010477299185101</v>
          </cell>
          <cell r="G49">
            <v>0.43168316831683168</v>
          </cell>
          <cell r="H49">
            <v>0.40756302521008403</v>
          </cell>
          <cell r="I49">
            <v>0.29833546734955185</v>
          </cell>
          <cell r="J49">
            <v>859</v>
          </cell>
          <cell r="K49">
            <v>1010</v>
          </cell>
          <cell r="L49">
            <v>1190</v>
          </cell>
          <cell r="M49">
            <v>781</v>
          </cell>
          <cell r="N49">
            <v>421</v>
          </cell>
          <cell r="O49">
            <v>436</v>
          </cell>
          <cell r="P49">
            <v>485</v>
          </cell>
          <cell r="Q49">
            <v>233</v>
          </cell>
        </row>
        <row r="50">
          <cell r="C50" t="str">
            <v>U. DE LAS AMÉRICAS</v>
          </cell>
          <cell r="D50" t="str">
            <v>UAM</v>
          </cell>
          <cell r="E50" t="str">
            <v>U. Privada</v>
          </cell>
          <cell r="F50">
            <v>0.55668247996073938</v>
          </cell>
          <cell r="G50">
            <v>0.58507564167941528</v>
          </cell>
          <cell r="H50">
            <v>0.50861180627116154</v>
          </cell>
          <cell r="I50">
            <v>0.45107327905255368</v>
          </cell>
          <cell r="J50">
            <v>6113</v>
          </cell>
          <cell r="K50">
            <v>5883</v>
          </cell>
          <cell r="L50">
            <v>6793</v>
          </cell>
          <cell r="M50">
            <v>6755</v>
          </cell>
          <cell r="N50">
            <v>3403</v>
          </cell>
          <cell r="O50">
            <v>3442</v>
          </cell>
          <cell r="P50">
            <v>3455</v>
          </cell>
          <cell r="Q50">
            <v>3047</v>
          </cell>
        </row>
        <row r="51">
          <cell r="C51" t="str">
            <v>U. DE LOS ANDES</v>
          </cell>
          <cell r="D51" t="str">
            <v>UAN</v>
          </cell>
          <cell r="E51" t="str">
            <v>U. Privada</v>
          </cell>
          <cell r="F51">
            <v>0.81222707423580787</v>
          </cell>
          <cell r="G51">
            <v>0.78400000000000003</v>
          </cell>
          <cell r="H51">
            <v>0.76829268292682928</v>
          </cell>
          <cell r="I51">
            <v>0.81582054309327035</v>
          </cell>
          <cell r="J51">
            <v>687</v>
          </cell>
          <cell r="K51">
            <v>750</v>
          </cell>
          <cell r="L51">
            <v>902</v>
          </cell>
          <cell r="M51">
            <v>847</v>
          </cell>
          <cell r="N51">
            <v>558</v>
          </cell>
          <cell r="O51">
            <v>588</v>
          </cell>
          <cell r="P51">
            <v>693</v>
          </cell>
          <cell r="Q51">
            <v>691</v>
          </cell>
        </row>
        <row r="52">
          <cell r="C52" t="str">
            <v>U. DE VIÑA DEL MAR</v>
          </cell>
          <cell r="D52" t="str">
            <v>UVM</v>
          </cell>
          <cell r="E52" t="str">
            <v>U. Privada</v>
          </cell>
          <cell r="F52">
            <v>0.53194650817236255</v>
          </cell>
          <cell r="G52">
            <v>0.56839309428950868</v>
          </cell>
          <cell r="H52">
            <v>0.52885572139303483</v>
          </cell>
          <cell r="I52">
            <v>0.58983957219251337</v>
          </cell>
          <cell r="J52">
            <v>1346</v>
          </cell>
          <cell r="K52">
            <v>1506</v>
          </cell>
          <cell r="L52">
            <v>2010</v>
          </cell>
          <cell r="M52">
            <v>1870</v>
          </cell>
          <cell r="N52">
            <v>716</v>
          </cell>
          <cell r="O52">
            <v>856</v>
          </cell>
          <cell r="P52">
            <v>1063</v>
          </cell>
          <cell r="Q52">
            <v>1103</v>
          </cell>
        </row>
        <row r="53">
          <cell r="C53" t="str">
            <v>U. DEL DESARROLLO</v>
          </cell>
          <cell r="D53" t="str">
            <v>UDD</v>
          </cell>
          <cell r="E53" t="str">
            <v>U. Privada</v>
          </cell>
          <cell r="F53">
            <v>0.75232198142414863</v>
          </cell>
          <cell r="G53">
            <v>0.76488095238095233</v>
          </cell>
          <cell r="H53">
            <v>0.72760511882998169</v>
          </cell>
          <cell r="I53">
            <v>0.73486273034975558</v>
          </cell>
          <cell r="J53">
            <v>2261</v>
          </cell>
          <cell r="K53">
            <v>2352</v>
          </cell>
          <cell r="L53">
            <v>2188</v>
          </cell>
          <cell r="M53">
            <v>2659</v>
          </cell>
          <cell r="N53">
            <v>1701</v>
          </cell>
          <cell r="O53">
            <v>1799</v>
          </cell>
          <cell r="P53">
            <v>1592</v>
          </cell>
          <cell r="Q53">
            <v>1954</v>
          </cell>
        </row>
        <row r="54">
          <cell r="C54" t="str">
            <v>U. DEL MAR</v>
          </cell>
          <cell r="D54" t="str">
            <v>UDM</v>
          </cell>
          <cell r="E54" t="str">
            <v>U. Privada</v>
          </cell>
          <cell r="F54">
            <v>0.42112159329140464</v>
          </cell>
          <cell r="G54">
            <v>0.1333013665787581</v>
          </cell>
          <cell r="H54">
            <v>2.2857142857142857E-2</v>
          </cell>
          <cell r="I54">
            <v>3.031221582297666E-4</v>
          </cell>
          <cell r="J54">
            <v>3816</v>
          </cell>
          <cell r="K54">
            <v>4171</v>
          </cell>
          <cell r="L54">
            <v>4900</v>
          </cell>
          <cell r="M54">
            <v>3299</v>
          </cell>
          <cell r="N54">
            <v>1607</v>
          </cell>
          <cell r="O54">
            <v>556</v>
          </cell>
          <cell r="P54">
            <v>112</v>
          </cell>
          <cell r="Q54">
            <v>1</v>
          </cell>
        </row>
        <row r="55">
          <cell r="C55" t="str">
            <v>U. DEL PACÍFICO</v>
          </cell>
          <cell r="D55" t="str">
            <v>UPO</v>
          </cell>
          <cell r="E55" t="str">
            <v>U. Privada</v>
          </cell>
          <cell r="F55">
            <v>0.59166115155526144</v>
          </cell>
          <cell r="G55">
            <v>0.56133225020308697</v>
          </cell>
          <cell r="H55">
            <v>0.59583694709453594</v>
          </cell>
          <cell r="I55">
            <v>0.61496149614961493</v>
          </cell>
          <cell r="J55">
            <v>1511</v>
          </cell>
          <cell r="K55">
            <v>1231</v>
          </cell>
          <cell r="L55">
            <v>1153</v>
          </cell>
          <cell r="M55">
            <v>909</v>
          </cell>
          <cell r="N55">
            <v>894</v>
          </cell>
          <cell r="O55">
            <v>691</v>
          </cell>
          <cell r="P55">
            <v>687</v>
          </cell>
          <cell r="Q55">
            <v>559</v>
          </cell>
        </row>
        <row r="56">
          <cell r="C56" t="str">
            <v>U. DIEGO PORTALES</v>
          </cell>
          <cell r="D56" t="str">
            <v>UDP</v>
          </cell>
          <cell r="E56" t="str">
            <v>U. Privada</v>
          </cell>
          <cell r="F56">
            <v>0.68855858969927408</v>
          </cell>
          <cell r="G56">
            <v>0.69433962264150939</v>
          </cell>
          <cell r="H56">
            <v>0.69783889980353631</v>
          </cell>
          <cell r="I56">
            <v>0.73736968724939855</v>
          </cell>
          <cell r="J56">
            <v>2893</v>
          </cell>
          <cell r="K56">
            <v>2650</v>
          </cell>
          <cell r="L56">
            <v>2545</v>
          </cell>
          <cell r="M56">
            <v>2494</v>
          </cell>
          <cell r="N56">
            <v>1992</v>
          </cell>
          <cell r="O56">
            <v>1840</v>
          </cell>
          <cell r="P56">
            <v>1776</v>
          </cell>
          <cell r="Q56">
            <v>1839</v>
          </cell>
        </row>
        <row r="57">
          <cell r="C57" t="str">
            <v>U. FINIS TERRAE</v>
          </cell>
          <cell r="D57" t="str">
            <v>UFT</v>
          </cell>
          <cell r="E57" t="str">
            <v>U. Privada</v>
          </cell>
          <cell r="F57">
            <v>0.60788863109048719</v>
          </cell>
          <cell r="G57">
            <v>0.64989733059548249</v>
          </cell>
          <cell r="H57">
            <v>0.63411764705882356</v>
          </cell>
          <cell r="I57">
            <v>0.68444055944055948</v>
          </cell>
          <cell r="J57">
            <v>862</v>
          </cell>
          <cell r="K57">
            <v>974</v>
          </cell>
          <cell r="L57">
            <v>850</v>
          </cell>
          <cell r="M57">
            <v>1144</v>
          </cell>
          <cell r="N57">
            <v>524</v>
          </cell>
          <cell r="O57">
            <v>633</v>
          </cell>
          <cell r="P57">
            <v>539</v>
          </cell>
          <cell r="Q57">
            <v>783</v>
          </cell>
        </row>
        <row r="58">
          <cell r="C58" t="str">
            <v>U. GABRIELA MISTRAL</v>
          </cell>
          <cell r="D58" t="str">
            <v>UGM</v>
          </cell>
          <cell r="E58" t="str">
            <v>U. Privada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U. IBEROAMERICANA DE CS. Y TECNOLOGÍA UNICYT</v>
          </cell>
          <cell r="D59" t="str">
            <v>UIB</v>
          </cell>
          <cell r="E59" t="str">
            <v>U. Privada</v>
          </cell>
          <cell r="F59">
            <v>0.18080357142857142</v>
          </cell>
          <cell r="G59">
            <v>0.58793103448275863</v>
          </cell>
          <cell r="H59">
            <v>0.45688960515713134</v>
          </cell>
          <cell r="I59">
            <v>0.24301675977653631</v>
          </cell>
          <cell r="J59">
            <v>896</v>
          </cell>
          <cell r="K59">
            <v>1160</v>
          </cell>
          <cell r="L59">
            <v>1241</v>
          </cell>
          <cell r="M59">
            <v>358</v>
          </cell>
          <cell r="N59">
            <v>162</v>
          </cell>
          <cell r="O59">
            <v>682</v>
          </cell>
          <cell r="P59">
            <v>567</v>
          </cell>
          <cell r="Q59">
            <v>87</v>
          </cell>
        </row>
        <row r="60">
          <cell r="C60" t="str">
            <v>U. LA ARAUCANA</v>
          </cell>
          <cell r="D60" t="e">
            <v>#N/A</v>
          </cell>
          <cell r="E60" t="str">
            <v>U. Privada</v>
          </cell>
          <cell r="F60">
            <v>0</v>
          </cell>
          <cell r="G60">
            <v>0</v>
          </cell>
          <cell r="H60">
            <v>0</v>
          </cell>
          <cell r="I60">
            <v>0.31958762886597936</v>
          </cell>
          <cell r="J60">
            <v>0</v>
          </cell>
          <cell r="K60">
            <v>0</v>
          </cell>
          <cell r="L60">
            <v>0</v>
          </cell>
          <cell r="M60">
            <v>97</v>
          </cell>
          <cell r="N60">
            <v>0</v>
          </cell>
          <cell r="O60">
            <v>0</v>
          </cell>
          <cell r="P60">
            <v>0</v>
          </cell>
          <cell r="Q60">
            <v>31</v>
          </cell>
        </row>
        <row r="61">
          <cell r="C61" t="str">
            <v>U. LA REPÚBLICA</v>
          </cell>
          <cell r="D61" t="str">
            <v>ULR</v>
          </cell>
          <cell r="E61" t="str">
            <v>U. Privada</v>
          </cell>
          <cell r="F61">
            <v>0.5</v>
          </cell>
          <cell r="G61">
            <v>0.44086021505376344</v>
          </cell>
          <cell r="H61">
            <v>0.33854166666666669</v>
          </cell>
          <cell r="I61">
            <v>0.36568848758465011</v>
          </cell>
          <cell r="J61">
            <v>42</v>
          </cell>
          <cell r="K61">
            <v>279</v>
          </cell>
          <cell r="L61">
            <v>384</v>
          </cell>
          <cell r="M61">
            <v>443</v>
          </cell>
          <cell r="N61">
            <v>21</v>
          </cell>
          <cell r="O61">
            <v>123</v>
          </cell>
          <cell r="P61">
            <v>130</v>
          </cell>
          <cell r="Q61">
            <v>162</v>
          </cell>
        </row>
        <row r="62">
          <cell r="C62" t="str">
            <v>U. LOS LEONES</v>
          </cell>
          <cell r="D62" t="e">
            <v>#N/A</v>
          </cell>
          <cell r="E62" t="str">
            <v>U. Privada</v>
          </cell>
          <cell r="F62">
            <v>0</v>
          </cell>
          <cell r="G62">
            <v>0</v>
          </cell>
          <cell r="H62">
            <v>0.21693121693121692</v>
          </cell>
          <cell r="I62">
            <v>0.26948989412897018</v>
          </cell>
          <cell r="J62">
            <v>0</v>
          </cell>
          <cell r="K62">
            <v>4</v>
          </cell>
          <cell r="L62">
            <v>567</v>
          </cell>
          <cell r="M62">
            <v>1039</v>
          </cell>
          <cell r="N62">
            <v>0</v>
          </cell>
          <cell r="O62">
            <v>0</v>
          </cell>
          <cell r="P62">
            <v>123</v>
          </cell>
          <cell r="Q62">
            <v>280</v>
          </cell>
        </row>
        <row r="63">
          <cell r="C63" t="str">
            <v>U. MAYOR</v>
          </cell>
          <cell r="D63" t="str">
            <v>UMA</v>
          </cell>
          <cell r="E63" t="str">
            <v>U. Privada</v>
          </cell>
          <cell r="F63">
            <v>0.69956002514142046</v>
          </cell>
          <cell r="G63">
            <v>0.70429362880886426</v>
          </cell>
          <cell r="H63">
            <v>0.6768774703557312</v>
          </cell>
          <cell r="I63">
            <v>0.67274800456100337</v>
          </cell>
          <cell r="J63">
            <v>3182</v>
          </cell>
          <cell r="K63">
            <v>2888</v>
          </cell>
          <cell r="L63">
            <v>3036</v>
          </cell>
          <cell r="M63">
            <v>3508</v>
          </cell>
          <cell r="N63">
            <v>2226</v>
          </cell>
          <cell r="O63">
            <v>2034</v>
          </cell>
          <cell r="P63">
            <v>2055</v>
          </cell>
          <cell r="Q63">
            <v>2360</v>
          </cell>
        </row>
        <row r="64">
          <cell r="C64" t="str">
            <v>U. MIGUEL DE CERVANTES</v>
          </cell>
          <cell r="D64" t="e">
            <v>#N/A</v>
          </cell>
          <cell r="E64" t="str">
            <v>U. Privada</v>
          </cell>
          <cell r="F64">
            <v>0.27947598253275108</v>
          </cell>
          <cell r="G64">
            <v>0.32923076923076922</v>
          </cell>
          <cell r="H64">
            <v>0.35172413793103446</v>
          </cell>
          <cell r="I64">
            <v>0.35276967930029157</v>
          </cell>
          <cell r="J64">
            <v>229</v>
          </cell>
          <cell r="K64">
            <v>325</v>
          </cell>
          <cell r="L64">
            <v>435</v>
          </cell>
          <cell r="M64">
            <v>343</v>
          </cell>
          <cell r="N64">
            <v>64</v>
          </cell>
          <cell r="O64">
            <v>107</v>
          </cell>
          <cell r="P64">
            <v>153</v>
          </cell>
          <cell r="Q64">
            <v>121</v>
          </cell>
        </row>
        <row r="65">
          <cell r="C65" t="str">
            <v>U. PEDRO DE VALDIVIA</v>
          </cell>
          <cell r="D65" t="str">
            <v>UPV</v>
          </cell>
          <cell r="E65" t="str">
            <v>U. Privada</v>
          </cell>
          <cell r="F65">
            <v>0.27644710578842313</v>
          </cell>
          <cell r="G65">
            <v>0.4799342105263158</v>
          </cell>
          <cell r="H65">
            <v>0.45040811278753401</v>
          </cell>
          <cell r="I65">
            <v>0.41644976574700676</v>
          </cell>
          <cell r="J65">
            <v>2004</v>
          </cell>
          <cell r="K65">
            <v>3040</v>
          </cell>
          <cell r="L65">
            <v>4043</v>
          </cell>
          <cell r="M65">
            <v>3842</v>
          </cell>
          <cell r="N65">
            <v>554</v>
          </cell>
          <cell r="O65">
            <v>1459</v>
          </cell>
          <cell r="P65">
            <v>1821</v>
          </cell>
          <cell r="Q65">
            <v>1600</v>
          </cell>
        </row>
        <row r="66">
          <cell r="C66" t="str">
            <v>U. REGIONAL SAN MARCOS</v>
          </cell>
          <cell r="D66" t="e">
            <v>#N/A</v>
          </cell>
          <cell r="E66" t="str">
            <v>U. Privada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121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C67" t="str">
            <v>U. SAN SEBASTIÁN</v>
          </cell>
          <cell r="D67" t="str">
            <v>USS</v>
          </cell>
          <cell r="E67" t="str">
            <v>U. Privada</v>
          </cell>
          <cell r="F67">
            <v>0.70819078285369286</v>
          </cell>
          <cell r="G67">
            <v>0.66319165998396146</v>
          </cell>
          <cell r="H67">
            <v>0.67758186397984888</v>
          </cell>
          <cell r="I67">
            <v>0.67623630932625289</v>
          </cell>
          <cell r="J67">
            <v>4969</v>
          </cell>
          <cell r="K67">
            <v>6235</v>
          </cell>
          <cell r="L67">
            <v>4764</v>
          </cell>
          <cell r="M67">
            <v>6026</v>
          </cell>
          <cell r="N67">
            <v>3519</v>
          </cell>
          <cell r="O67">
            <v>4135</v>
          </cell>
          <cell r="P67">
            <v>3228</v>
          </cell>
          <cell r="Q67">
            <v>4075</v>
          </cell>
        </row>
        <row r="68">
          <cell r="C68" t="str">
            <v>U. SANTO TOMÁS</v>
          </cell>
          <cell r="D68" t="str">
            <v>UST</v>
          </cell>
          <cell r="E68" t="str">
            <v>U. Privada</v>
          </cell>
          <cell r="F68">
            <v>0.60374559614314849</v>
          </cell>
          <cell r="G68">
            <v>0.62060194997880458</v>
          </cell>
          <cell r="H68">
            <v>0.60890036452004859</v>
          </cell>
          <cell r="I68">
            <v>0.61147306531066259</v>
          </cell>
          <cell r="J68">
            <v>5393</v>
          </cell>
          <cell r="K68">
            <v>7077</v>
          </cell>
          <cell r="L68">
            <v>6584</v>
          </cell>
          <cell r="M68">
            <v>6293</v>
          </cell>
          <cell r="N68">
            <v>3256</v>
          </cell>
          <cell r="O68">
            <v>4392</v>
          </cell>
          <cell r="P68">
            <v>4009</v>
          </cell>
          <cell r="Q68">
            <v>3848</v>
          </cell>
        </row>
        <row r="69">
          <cell r="C69" t="str">
            <v>U. INTERNACIONAL SEK</v>
          </cell>
          <cell r="D69" t="str">
            <v>USK</v>
          </cell>
          <cell r="E69" t="str">
            <v>U. Privada</v>
          </cell>
          <cell r="F69">
            <v>0.38898550724637682</v>
          </cell>
          <cell r="G69">
            <v>0.41558441558441561</v>
          </cell>
          <cell r="H69">
            <v>0.37804030576789438</v>
          </cell>
          <cell r="I69">
            <v>0.38381742738589214</v>
          </cell>
          <cell r="J69">
            <v>1725</v>
          </cell>
          <cell r="K69">
            <v>1925</v>
          </cell>
          <cell r="L69">
            <v>1439</v>
          </cell>
          <cell r="M69">
            <v>1446</v>
          </cell>
          <cell r="N69">
            <v>671</v>
          </cell>
          <cell r="O69">
            <v>800</v>
          </cell>
          <cell r="P69">
            <v>544</v>
          </cell>
          <cell r="Q69">
            <v>555</v>
          </cell>
        </row>
        <row r="70">
          <cell r="C70" t="str">
            <v>U. TECNOLOGICA INACAP</v>
          </cell>
          <cell r="D70" t="str">
            <v>UTC</v>
          </cell>
          <cell r="E70" t="str">
            <v>U. Privada</v>
          </cell>
          <cell r="F70">
            <v>0.51779448621553881</v>
          </cell>
          <cell r="G70">
            <v>0.54628149969268591</v>
          </cell>
          <cell r="H70">
            <v>0.53205128205128205</v>
          </cell>
          <cell r="I70">
            <v>0.55693224592220825</v>
          </cell>
          <cell r="J70">
            <v>5985</v>
          </cell>
          <cell r="K70">
            <v>8135</v>
          </cell>
          <cell r="L70">
            <v>7644</v>
          </cell>
          <cell r="M70">
            <v>6376</v>
          </cell>
          <cell r="N70">
            <v>3099</v>
          </cell>
          <cell r="O70">
            <v>4444</v>
          </cell>
          <cell r="P70">
            <v>4067</v>
          </cell>
          <cell r="Q70">
            <v>3551</v>
          </cell>
        </row>
        <row r="71">
          <cell r="C71" t="str">
            <v>U.  UCINF</v>
          </cell>
          <cell r="D71" t="str">
            <v>UCI</v>
          </cell>
          <cell r="E71" t="str">
            <v>U. Privada</v>
          </cell>
          <cell r="F71">
            <v>0.49100719424460432</v>
          </cell>
          <cell r="G71">
            <v>0.45398009950248758</v>
          </cell>
          <cell r="H71">
            <v>0.48319139399372479</v>
          </cell>
          <cell r="I71">
            <v>0.36522399392558846</v>
          </cell>
          <cell r="J71">
            <v>556</v>
          </cell>
          <cell r="K71">
            <v>804</v>
          </cell>
          <cell r="L71">
            <v>2231</v>
          </cell>
          <cell r="M71">
            <v>2634</v>
          </cell>
          <cell r="N71">
            <v>273</v>
          </cell>
          <cell r="O71">
            <v>365</v>
          </cell>
          <cell r="P71">
            <v>1078</v>
          </cell>
          <cell r="Q71">
            <v>962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 i)"/>
      <sheetName val="Indicador j)"/>
    </sheetNames>
    <sheetDataSet>
      <sheetData sheetId="0"/>
      <sheetData sheetId="1">
        <row r="7">
          <cell r="E7" t="str">
            <v>P. U. C. DE CHILE</v>
          </cell>
          <cell r="F7" t="str">
            <v>PUC</v>
          </cell>
          <cell r="G7" t="str">
            <v>CRUCH Priv.</v>
          </cell>
          <cell r="H7">
            <v>184</v>
          </cell>
          <cell r="I7">
            <v>0</v>
          </cell>
          <cell r="J7">
            <v>0</v>
          </cell>
          <cell r="K7">
            <v>7</v>
          </cell>
          <cell r="L7">
            <v>5</v>
          </cell>
          <cell r="M7">
            <v>27</v>
          </cell>
          <cell r="N7">
            <v>0.21195652173913043</v>
          </cell>
          <cell r="O7">
            <v>39</v>
          </cell>
        </row>
        <row r="8">
          <cell r="E8" t="str">
            <v>P. U. C. DE VALPARAISO</v>
          </cell>
          <cell r="F8" t="str">
            <v>UCV</v>
          </cell>
          <cell r="G8" t="str">
            <v>CRUCH Priv.</v>
          </cell>
          <cell r="H8">
            <v>56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9</v>
          </cell>
          <cell r="N8">
            <v>0.16071428571428573</v>
          </cell>
          <cell r="O8">
            <v>9</v>
          </cell>
        </row>
        <row r="9">
          <cell r="E9" t="str">
            <v>U. AUSTRAL DE CHILE</v>
          </cell>
          <cell r="F9" t="str">
            <v>AUS</v>
          </cell>
          <cell r="G9" t="str">
            <v>CRUCH Priv.</v>
          </cell>
          <cell r="H9">
            <v>54</v>
          </cell>
          <cell r="I9">
            <v>0</v>
          </cell>
          <cell r="J9">
            <v>0</v>
          </cell>
          <cell r="K9">
            <v>1</v>
          </cell>
          <cell r="L9">
            <v>1</v>
          </cell>
          <cell r="M9">
            <v>7</v>
          </cell>
          <cell r="N9">
            <v>0.16666666666666666</v>
          </cell>
          <cell r="O9">
            <v>9</v>
          </cell>
        </row>
        <row r="10">
          <cell r="E10" t="str">
            <v>U. C. DEL NORTE</v>
          </cell>
          <cell r="F10" t="str">
            <v>UCN</v>
          </cell>
          <cell r="G10" t="str">
            <v>CRUCH Priv.</v>
          </cell>
          <cell r="H10">
            <v>10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3</v>
          </cell>
          <cell r="N10">
            <v>0.3</v>
          </cell>
          <cell r="O10">
            <v>3</v>
          </cell>
        </row>
        <row r="11">
          <cell r="E11" t="str">
            <v>U. DE ANTOFAGASTA</v>
          </cell>
          <cell r="F11" t="str">
            <v>ANT</v>
          </cell>
          <cell r="G11" t="str">
            <v>CRUCH Est.</v>
          </cell>
          <cell r="H11">
            <v>8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0.125</v>
          </cell>
          <cell r="O11">
            <v>1</v>
          </cell>
        </row>
        <row r="12">
          <cell r="E12" t="str">
            <v>U. DE CHILE</v>
          </cell>
          <cell r="F12" t="str">
            <v>UCH</v>
          </cell>
          <cell r="G12" t="str">
            <v>CRUCH Est.</v>
          </cell>
          <cell r="H12">
            <v>188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20</v>
          </cell>
          <cell r="N12">
            <v>0.11170212765957446</v>
          </cell>
          <cell r="O12">
            <v>21</v>
          </cell>
        </row>
        <row r="13">
          <cell r="E13" t="str">
            <v>U. DE CONCEPCIÓN</v>
          </cell>
          <cell r="F13" t="str">
            <v>UCO</v>
          </cell>
          <cell r="G13" t="str">
            <v>CRUCH Priv.</v>
          </cell>
          <cell r="H13">
            <v>105</v>
          </cell>
          <cell r="I13">
            <v>0</v>
          </cell>
          <cell r="J13">
            <v>0</v>
          </cell>
          <cell r="K13">
            <v>2</v>
          </cell>
          <cell r="L13">
            <v>8</v>
          </cell>
          <cell r="M13">
            <v>14</v>
          </cell>
          <cell r="N13">
            <v>0.22857142857142856</v>
          </cell>
          <cell r="O13">
            <v>24</v>
          </cell>
        </row>
        <row r="14">
          <cell r="E14" t="str">
            <v>U. DE LA FRONTERA</v>
          </cell>
          <cell r="F14" t="str">
            <v>FRO</v>
          </cell>
          <cell r="G14" t="str">
            <v>CRUCH Est.</v>
          </cell>
          <cell r="H14">
            <v>42</v>
          </cell>
          <cell r="I14">
            <v>0</v>
          </cell>
          <cell r="J14">
            <v>0</v>
          </cell>
          <cell r="K14">
            <v>1</v>
          </cell>
          <cell r="L14">
            <v>4</v>
          </cell>
          <cell r="M14">
            <v>10</v>
          </cell>
          <cell r="N14">
            <v>0.35714285714285715</v>
          </cell>
          <cell r="O14">
            <v>15</v>
          </cell>
        </row>
        <row r="15">
          <cell r="E15" t="str">
            <v>U. DE LA SERENA</v>
          </cell>
          <cell r="F15" t="str">
            <v>ULS</v>
          </cell>
          <cell r="G15" t="str">
            <v>CRUCH Est.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E16" t="str">
            <v>U. DE PLAYA ANCHA DE CS. DE LA ED.</v>
          </cell>
          <cell r="F16" t="str">
            <v>UPA</v>
          </cell>
          <cell r="G16" t="str">
            <v>CRUCH Est.</v>
          </cell>
          <cell r="H16">
            <v>14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7.1428571428571425E-2</v>
          </cell>
          <cell r="O16">
            <v>1</v>
          </cell>
        </row>
        <row r="17">
          <cell r="E17" t="str">
            <v>U. DE SANTIAGO</v>
          </cell>
          <cell r="F17" t="str">
            <v>USA</v>
          </cell>
          <cell r="G17" t="str">
            <v>CRUCH Est.</v>
          </cell>
          <cell r="H17">
            <v>80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21</v>
          </cell>
          <cell r="N17">
            <v>0.26250000000000001</v>
          </cell>
          <cell r="O17">
            <v>21</v>
          </cell>
        </row>
        <row r="18">
          <cell r="E18" t="str">
            <v>U. DE TALCA</v>
          </cell>
          <cell r="F18" t="str">
            <v>TAL</v>
          </cell>
          <cell r="G18" t="str">
            <v>CRUCH Est.</v>
          </cell>
          <cell r="H18">
            <v>11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>
            <v>2</v>
          </cell>
          <cell r="N18">
            <v>0.36363636363636365</v>
          </cell>
          <cell r="O18">
            <v>4</v>
          </cell>
        </row>
        <row r="19">
          <cell r="E19" t="str">
            <v>U. DE TARAPACÁ</v>
          </cell>
          <cell r="F19" t="str">
            <v>UTA</v>
          </cell>
          <cell r="G19" t="str">
            <v>CRUCH Est.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1</v>
          </cell>
        </row>
        <row r="20">
          <cell r="E20" t="str">
            <v>U. DE VALPARAÍSO</v>
          </cell>
          <cell r="F20" t="str">
            <v>UVA</v>
          </cell>
          <cell r="G20" t="str">
            <v>CRUCH Est.</v>
          </cell>
          <cell r="H20">
            <v>5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 t="str">
            <v>U. METROPOLITANA DE CS. DE LA ED.</v>
          </cell>
          <cell r="F21" t="str">
            <v>UMC</v>
          </cell>
          <cell r="G21" t="str">
            <v>CRUCH Est.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 t="str">
            <v>U. TÉCNICA FEDERICO STA. MARÍA</v>
          </cell>
          <cell r="F22" t="str">
            <v>FSM</v>
          </cell>
          <cell r="G22" t="str">
            <v>CRUCH Priv.</v>
          </cell>
          <cell r="H22">
            <v>27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</v>
          </cell>
          <cell r="N22">
            <v>0.1111111111111111</v>
          </cell>
          <cell r="O22">
            <v>3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789</v>
          </cell>
          <cell r="I23">
            <v>0</v>
          </cell>
          <cell r="J23">
            <v>0</v>
          </cell>
          <cell r="K23">
            <v>11</v>
          </cell>
          <cell r="L23">
            <v>22</v>
          </cell>
          <cell r="M23">
            <v>118</v>
          </cell>
          <cell r="N23">
            <v>0.19138149556400508</v>
          </cell>
          <cell r="O23">
            <v>151</v>
          </cell>
        </row>
        <row r="24">
          <cell r="E24" t="str">
            <v>U. ACADEMIA HUMANISMO CRISTIANO</v>
          </cell>
          <cell r="F24" t="str">
            <v>AHC</v>
          </cell>
          <cell r="G24" t="str">
            <v>U. Privada</v>
          </cell>
          <cell r="H24">
            <v>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E25" t="str">
            <v>U. ADOLFO IBAÑEZ</v>
          </cell>
          <cell r="F25" t="str">
            <v>UAI</v>
          </cell>
          <cell r="G25" t="str">
            <v>U. Privada</v>
          </cell>
          <cell r="H25">
            <v>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0.33333333333333331</v>
          </cell>
          <cell r="O25">
            <v>1</v>
          </cell>
        </row>
        <row r="26">
          <cell r="E26" t="str">
            <v>U. ALBERTO HURTADO</v>
          </cell>
          <cell r="F26" t="str">
            <v>UAH</v>
          </cell>
          <cell r="G26" t="str">
            <v>U. Privada</v>
          </cell>
          <cell r="H26">
            <v>7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 t="str">
            <v>U. ANDRÉS BELLO</v>
          </cell>
          <cell r="F27" t="str">
            <v>UAB</v>
          </cell>
          <cell r="G27" t="str">
            <v>U. Privada</v>
          </cell>
          <cell r="H27">
            <v>58</v>
          </cell>
          <cell r="I27">
            <v>1</v>
          </cell>
          <cell r="J27">
            <v>2</v>
          </cell>
          <cell r="K27">
            <v>2</v>
          </cell>
          <cell r="L27">
            <v>5</v>
          </cell>
          <cell r="M27">
            <v>7</v>
          </cell>
          <cell r="N27">
            <v>0.29310344827586204</v>
          </cell>
          <cell r="O27">
            <v>17</v>
          </cell>
        </row>
        <row r="28">
          <cell r="E28" t="str">
            <v>U. DE ARTES Y CS. SOCIALES ARCIS</v>
          </cell>
          <cell r="F28" t="str">
            <v>UAR</v>
          </cell>
          <cell r="G28" t="str">
            <v>U. Privada</v>
          </cell>
          <cell r="H28">
            <v>50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U. DE ARTES, CS. Y COMUNICACIÓN UNIACC</v>
          </cell>
          <cell r="F29" t="str">
            <v>UCC</v>
          </cell>
          <cell r="G29" t="str">
            <v>U. Privada</v>
          </cell>
          <cell r="H29">
            <v>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0.125</v>
          </cell>
          <cell r="O29">
            <v>1</v>
          </cell>
        </row>
        <row r="30">
          <cell r="E30" t="str">
            <v>U. DE LOS ANDES</v>
          </cell>
          <cell r="F30" t="str">
            <v>UAN</v>
          </cell>
          <cell r="G30" t="str">
            <v>U. Privada</v>
          </cell>
          <cell r="H30">
            <v>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VALPARAISO"/>
      <sheetName val="UTFSM"/>
      <sheetName val="UTEM"/>
      <sheetName val="TARAPACA"/>
      <sheetName val="TALCA"/>
      <sheetName val="USERENA"/>
      <sheetName val="USACH"/>
      <sheetName val="UPLA"/>
      <sheetName val="UNAP"/>
      <sheetName val="UMCE"/>
      <sheetName val="MAGALLANES"/>
      <sheetName val="LOS LAGOS"/>
      <sheetName val="UFRO"/>
      <sheetName val="UC_TEMUCO"/>
      <sheetName val="UC_CONCE"/>
      <sheetName val="UDEC"/>
      <sheetName val="UCN"/>
      <sheetName val="UC_MAULE"/>
      <sheetName val="UCHILE"/>
      <sheetName val="BIO_BIO"/>
      <sheetName val="AUSTRAL"/>
      <sheetName val="ATACAMA"/>
      <sheetName val="ANTOFAGASTA"/>
      <sheetName val="PUCV"/>
      <sheetName val="PUC"/>
      <sheetName val="Quartil Revistas"/>
      <sheetName val="Resumen"/>
    </sheetNames>
    <sheetDataSet>
      <sheetData sheetId="0" refreshError="1">
        <row r="13">
          <cell r="B13" t="str">
            <v>U. DE CHILE</v>
          </cell>
          <cell r="C13">
            <v>10443</v>
          </cell>
          <cell r="D13">
            <v>61168</v>
          </cell>
          <cell r="E13">
            <v>8722</v>
          </cell>
          <cell r="F13">
            <v>49544</v>
          </cell>
          <cell r="G13">
            <v>1054</v>
          </cell>
          <cell r="H13">
            <v>2316</v>
          </cell>
          <cell r="I13">
            <v>667</v>
          </cell>
          <cell r="J13">
            <v>9308</v>
          </cell>
          <cell r="K13">
            <v>2369</v>
          </cell>
          <cell r="L13">
            <v>2294</v>
          </cell>
        </row>
        <row r="14">
          <cell r="B14" t="str">
            <v>P. U. C. DE CHILE</v>
          </cell>
          <cell r="C14">
            <v>8788</v>
          </cell>
          <cell r="D14">
            <v>68545</v>
          </cell>
          <cell r="E14">
            <v>7560</v>
          </cell>
          <cell r="F14">
            <v>60418</v>
          </cell>
          <cell r="G14">
            <v>623</v>
          </cell>
          <cell r="H14">
            <v>1148</v>
          </cell>
          <cell r="I14">
            <v>605</v>
          </cell>
          <cell r="J14">
            <v>6979</v>
          </cell>
          <cell r="K14">
            <v>1851</v>
          </cell>
          <cell r="L14">
            <v>1973</v>
          </cell>
        </row>
        <row r="15">
          <cell r="B15" t="str">
            <v>U. DE CONCEPCIÓN</v>
          </cell>
          <cell r="C15">
            <v>4558</v>
          </cell>
          <cell r="D15">
            <v>24135</v>
          </cell>
          <cell r="E15">
            <v>3955</v>
          </cell>
          <cell r="F15">
            <v>22360</v>
          </cell>
          <cell r="G15">
            <v>469</v>
          </cell>
          <cell r="H15">
            <v>583</v>
          </cell>
          <cell r="I15">
            <v>134</v>
          </cell>
          <cell r="J15">
            <v>1192</v>
          </cell>
          <cell r="K15">
            <v>946</v>
          </cell>
          <cell r="L15">
            <v>958</v>
          </cell>
        </row>
        <row r="16">
          <cell r="B16" t="str">
            <v>U. TÉCNICA FEDERICO STA. MARÍA</v>
          </cell>
          <cell r="C16">
            <v>2326</v>
          </cell>
          <cell r="D16">
            <v>23322</v>
          </cell>
          <cell r="E16">
            <v>1753</v>
          </cell>
          <cell r="F16">
            <v>21409</v>
          </cell>
          <cell r="G16">
            <v>541</v>
          </cell>
          <cell r="H16">
            <v>991</v>
          </cell>
          <cell r="I16">
            <v>32</v>
          </cell>
          <cell r="J16">
            <v>922</v>
          </cell>
          <cell r="K16">
            <v>495</v>
          </cell>
          <cell r="L16">
            <v>447</v>
          </cell>
        </row>
        <row r="17">
          <cell r="B17" t="str">
            <v>U. DE SANTIAGO</v>
          </cell>
          <cell r="C17">
            <v>2232</v>
          </cell>
          <cell r="D17">
            <v>9572</v>
          </cell>
          <cell r="E17">
            <v>1922</v>
          </cell>
          <cell r="F17">
            <v>8246</v>
          </cell>
          <cell r="G17">
            <v>200</v>
          </cell>
          <cell r="H17">
            <v>282</v>
          </cell>
          <cell r="I17">
            <v>110</v>
          </cell>
          <cell r="J17">
            <v>1044</v>
          </cell>
          <cell r="K17">
            <v>475</v>
          </cell>
          <cell r="L17">
            <v>503</v>
          </cell>
        </row>
        <row r="18">
          <cell r="B18" t="str">
            <v>U. AUSTRAL DE CHILE</v>
          </cell>
          <cell r="C18">
            <v>2124</v>
          </cell>
          <cell r="D18">
            <v>10927</v>
          </cell>
          <cell r="E18">
            <v>1951</v>
          </cell>
          <cell r="F18">
            <v>9929</v>
          </cell>
          <cell r="G18">
            <v>73</v>
          </cell>
          <cell r="H18">
            <v>72</v>
          </cell>
          <cell r="I18">
            <v>100</v>
          </cell>
          <cell r="J18">
            <v>926</v>
          </cell>
          <cell r="K18">
            <v>460</v>
          </cell>
          <cell r="L18">
            <v>440</v>
          </cell>
        </row>
        <row r="19">
          <cell r="B19" t="str">
            <v>P. U. C. DE VALPARAISO</v>
          </cell>
          <cell r="C19">
            <v>1890</v>
          </cell>
          <cell r="D19">
            <v>6917</v>
          </cell>
          <cell r="E19">
            <v>1578</v>
          </cell>
          <cell r="F19">
            <v>6261</v>
          </cell>
          <cell r="G19">
            <v>217</v>
          </cell>
          <cell r="H19">
            <v>238</v>
          </cell>
          <cell r="I19">
            <v>95</v>
          </cell>
          <cell r="J19">
            <v>418</v>
          </cell>
          <cell r="K19">
            <v>484</v>
          </cell>
          <cell r="L19">
            <v>450</v>
          </cell>
        </row>
        <row r="20">
          <cell r="B20" t="str">
            <v>U. DE LA FRONTERA</v>
          </cell>
          <cell r="C20">
            <v>1655</v>
          </cell>
          <cell r="D20">
            <v>8512</v>
          </cell>
          <cell r="E20">
            <v>1504</v>
          </cell>
          <cell r="F20">
            <v>7992</v>
          </cell>
          <cell r="G20">
            <v>61</v>
          </cell>
          <cell r="H20">
            <v>96</v>
          </cell>
          <cell r="I20">
            <v>90</v>
          </cell>
          <cell r="J20">
            <v>424</v>
          </cell>
          <cell r="K20">
            <v>408</v>
          </cell>
          <cell r="L20">
            <v>372</v>
          </cell>
        </row>
        <row r="21">
          <cell r="B21" t="str">
            <v>U. DE VALPARAÍSO</v>
          </cell>
          <cell r="C21">
            <v>1446</v>
          </cell>
          <cell r="D21">
            <v>9149</v>
          </cell>
          <cell r="E21">
            <v>1249</v>
          </cell>
          <cell r="F21">
            <v>6920</v>
          </cell>
          <cell r="G21">
            <v>99</v>
          </cell>
          <cell r="H21">
            <v>114</v>
          </cell>
          <cell r="I21">
            <v>98</v>
          </cell>
          <cell r="J21">
            <v>2115</v>
          </cell>
          <cell r="K21">
            <v>341</v>
          </cell>
          <cell r="L21">
            <v>323</v>
          </cell>
        </row>
        <row r="22">
          <cell r="B22" t="str">
            <v>U. C. DEL NORTE</v>
          </cell>
          <cell r="C22">
            <v>1352</v>
          </cell>
          <cell r="D22">
            <v>5338</v>
          </cell>
          <cell r="E22">
            <v>1239</v>
          </cell>
          <cell r="F22">
            <v>5167</v>
          </cell>
          <cell r="G22">
            <v>75</v>
          </cell>
          <cell r="H22">
            <v>43</v>
          </cell>
          <cell r="I22">
            <v>38</v>
          </cell>
          <cell r="J22">
            <v>128</v>
          </cell>
          <cell r="K22">
            <v>312</v>
          </cell>
          <cell r="L22">
            <v>291</v>
          </cell>
        </row>
        <row r="23">
          <cell r="B23" t="str">
            <v>U. DE TALCA</v>
          </cell>
          <cell r="C23">
            <v>1326</v>
          </cell>
          <cell r="D23">
            <v>4053</v>
          </cell>
          <cell r="E23">
            <v>1143</v>
          </cell>
          <cell r="F23">
            <v>3521</v>
          </cell>
          <cell r="G23">
            <v>116</v>
          </cell>
          <cell r="H23">
            <v>205</v>
          </cell>
          <cell r="I23">
            <v>67</v>
          </cell>
          <cell r="J23">
            <v>327</v>
          </cell>
          <cell r="K23">
            <v>342</v>
          </cell>
          <cell r="L23">
            <v>297</v>
          </cell>
        </row>
        <row r="24">
          <cell r="B24" t="str">
            <v>U. DE TARAPACÁ</v>
          </cell>
          <cell r="C24">
            <v>820</v>
          </cell>
          <cell r="D24">
            <v>2919</v>
          </cell>
          <cell r="E24">
            <v>764</v>
          </cell>
          <cell r="F24">
            <v>2419</v>
          </cell>
          <cell r="G24">
            <v>21</v>
          </cell>
          <cell r="H24">
            <v>30</v>
          </cell>
          <cell r="I24">
            <v>35</v>
          </cell>
          <cell r="J24">
            <v>470</v>
          </cell>
          <cell r="K24">
            <v>189</v>
          </cell>
          <cell r="L24">
            <v>199</v>
          </cell>
        </row>
        <row r="25">
          <cell r="B25" t="str">
            <v>U. DEL BÍO-BÍO</v>
          </cell>
          <cell r="C25">
            <v>734</v>
          </cell>
          <cell r="D25">
            <v>2251</v>
          </cell>
          <cell r="E25">
            <v>614</v>
          </cell>
          <cell r="F25">
            <v>2003</v>
          </cell>
          <cell r="G25">
            <v>99</v>
          </cell>
          <cell r="H25">
            <v>155</v>
          </cell>
          <cell r="I25">
            <v>21</v>
          </cell>
          <cell r="J25">
            <v>93</v>
          </cell>
          <cell r="K25">
            <v>171</v>
          </cell>
          <cell r="L25">
            <v>159</v>
          </cell>
        </row>
        <row r="26">
          <cell r="B26" t="str">
            <v>U. DE ANTOFAGASTA</v>
          </cell>
          <cell r="C26">
            <v>596</v>
          </cell>
          <cell r="D26">
            <v>2340</v>
          </cell>
          <cell r="E26">
            <v>546</v>
          </cell>
          <cell r="F26">
            <v>2136</v>
          </cell>
          <cell r="G26">
            <v>33</v>
          </cell>
          <cell r="H26">
            <v>83</v>
          </cell>
          <cell r="I26">
            <v>17</v>
          </cell>
          <cell r="J26">
            <v>121</v>
          </cell>
          <cell r="K26">
            <v>147</v>
          </cell>
          <cell r="L26">
            <v>131</v>
          </cell>
        </row>
        <row r="27">
          <cell r="B27" t="str">
            <v>U. DE LA SERENA</v>
          </cell>
          <cell r="C27">
            <v>526</v>
          </cell>
          <cell r="D27">
            <v>3273</v>
          </cell>
          <cell r="E27">
            <v>498</v>
          </cell>
          <cell r="F27">
            <v>3017</v>
          </cell>
          <cell r="G27">
            <v>16</v>
          </cell>
          <cell r="H27">
            <v>18</v>
          </cell>
          <cell r="I27">
            <v>12</v>
          </cell>
          <cell r="J27">
            <v>238</v>
          </cell>
          <cell r="K27">
            <v>110</v>
          </cell>
          <cell r="L27">
            <v>106</v>
          </cell>
        </row>
        <row r="28">
          <cell r="B28" t="str">
            <v>U. C. DE TEMUCO</v>
          </cell>
          <cell r="C28">
            <v>455</v>
          </cell>
          <cell r="D28">
            <v>976</v>
          </cell>
          <cell r="E28">
            <v>405</v>
          </cell>
          <cell r="F28">
            <v>921</v>
          </cell>
          <cell r="G28">
            <v>19</v>
          </cell>
          <cell r="H28">
            <v>2</v>
          </cell>
          <cell r="I28">
            <v>31</v>
          </cell>
          <cell r="J28">
            <v>53</v>
          </cell>
          <cell r="K28">
            <v>109</v>
          </cell>
          <cell r="L28">
            <v>91</v>
          </cell>
        </row>
        <row r="29">
          <cell r="B29" t="str">
            <v>U. C. DEL MAULE</v>
          </cell>
          <cell r="C29">
            <v>332</v>
          </cell>
          <cell r="D29">
            <v>922</v>
          </cell>
          <cell r="E29">
            <v>285</v>
          </cell>
          <cell r="F29">
            <v>744</v>
          </cell>
          <cell r="G29">
            <v>22</v>
          </cell>
          <cell r="H29">
            <v>11</v>
          </cell>
          <cell r="I29">
            <v>25</v>
          </cell>
          <cell r="J29">
            <v>167</v>
          </cell>
          <cell r="K29">
            <v>66</v>
          </cell>
          <cell r="L29">
            <v>64</v>
          </cell>
        </row>
        <row r="30">
          <cell r="B30" t="str">
            <v>U. C. DE LA STMA. CONCEPCIÓN</v>
          </cell>
          <cell r="C30">
            <v>326</v>
          </cell>
          <cell r="D30">
            <v>790</v>
          </cell>
          <cell r="E30">
            <v>268</v>
          </cell>
          <cell r="F30">
            <v>700</v>
          </cell>
          <cell r="G30">
            <v>47</v>
          </cell>
          <cell r="H30">
            <v>24</v>
          </cell>
          <cell r="I30">
            <v>11</v>
          </cell>
          <cell r="J30">
            <v>66</v>
          </cell>
          <cell r="K30">
            <v>80</v>
          </cell>
          <cell r="L30">
            <v>63</v>
          </cell>
        </row>
        <row r="31">
          <cell r="B31" t="str">
            <v>U. DE LOS LAGOS</v>
          </cell>
          <cell r="C31">
            <v>311</v>
          </cell>
          <cell r="D31">
            <v>939</v>
          </cell>
          <cell r="E31">
            <v>286</v>
          </cell>
          <cell r="F31">
            <v>897</v>
          </cell>
          <cell r="G31">
            <v>6</v>
          </cell>
          <cell r="H31">
            <v>6</v>
          </cell>
          <cell r="I31">
            <v>19</v>
          </cell>
          <cell r="J31">
            <v>36</v>
          </cell>
          <cell r="K31">
            <v>81</v>
          </cell>
          <cell r="L31">
            <v>58</v>
          </cell>
        </row>
        <row r="32">
          <cell r="B32" t="str">
            <v>U. DE MAGALLANES</v>
          </cell>
          <cell r="C32">
            <v>268</v>
          </cell>
          <cell r="D32">
            <v>806</v>
          </cell>
          <cell r="E32">
            <v>249</v>
          </cell>
          <cell r="F32">
            <v>767</v>
          </cell>
          <cell r="G32">
            <v>11</v>
          </cell>
          <cell r="H32">
            <v>12</v>
          </cell>
          <cell r="I32">
            <v>8</v>
          </cell>
          <cell r="J32">
            <v>27</v>
          </cell>
          <cell r="K32">
            <v>77</v>
          </cell>
          <cell r="L32">
            <v>57</v>
          </cell>
        </row>
        <row r="33">
          <cell r="B33" t="str">
            <v>U. ARTURO PRAT</v>
          </cell>
          <cell r="C33">
            <v>264</v>
          </cell>
          <cell r="D33">
            <v>1165</v>
          </cell>
          <cell r="E33">
            <v>231</v>
          </cell>
          <cell r="F33">
            <v>847</v>
          </cell>
          <cell r="G33">
            <v>9</v>
          </cell>
          <cell r="H33">
            <v>51</v>
          </cell>
          <cell r="I33">
            <v>24</v>
          </cell>
          <cell r="J33">
            <v>267</v>
          </cell>
          <cell r="K33">
            <v>55</v>
          </cell>
          <cell r="L33">
            <v>55</v>
          </cell>
        </row>
        <row r="34">
          <cell r="B34" t="str">
            <v>U. DE PLAYA ANCHA DE CS. DE LA ED.</v>
          </cell>
          <cell r="C34">
            <v>245</v>
          </cell>
          <cell r="D34">
            <v>401</v>
          </cell>
          <cell r="E34">
            <v>175</v>
          </cell>
          <cell r="F34">
            <v>328</v>
          </cell>
          <cell r="G34">
            <v>57</v>
          </cell>
          <cell r="H34">
            <v>73</v>
          </cell>
          <cell r="I34">
            <v>13</v>
          </cell>
          <cell r="J34">
            <v>0</v>
          </cell>
          <cell r="K34">
            <v>111</v>
          </cell>
          <cell r="L34">
            <v>62</v>
          </cell>
        </row>
        <row r="35">
          <cell r="B35" t="str">
            <v>U. METROPOLITANA DE CS. DE LA ED.</v>
          </cell>
          <cell r="C35">
            <v>117</v>
          </cell>
          <cell r="D35">
            <v>341</v>
          </cell>
          <cell r="E35">
            <v>109</v>
          </cell>
          <cell r="F35">
            <v>332</v>
          </cell>
          <cell r="G35">
            <v>2</v>
          </cell>
          <cell r="H35">
            <v>0</v>
          </cell>
          <cell r="I35">
            <v>6</v>
          </cell>
          <cell r="J35">
            <v>9</v>
          </cell>
          <cell r="K35">
            <v>33</v>
          </cell>
          <cell r="L35">
            <v>21</v>
          </cell>
        </row>
        <row r="36">
          <cell r="B36" t="str">
            <v>U. DE ATACAMA</v>
          </cell>
          <cell r="C36">
            <v>116</v>
          </cell>
          <cell r="D36">
            <v>331</v>
          </cell>
          <cell r="E36">
            <v>103</v>
          </cell>
          <cell r="F36">
            <v>319</v>
          </cell>
          <cell r="G36">
            <v>11</v>
          </cell>
          <cell r="H36">
            <v>12</v>
          </cell>
          <cell r="I36">
            <v>2</v>
          </cell>
          <cell r="J36">
            <v>0</v>
          </cell>
          <cell r="K36">
            <v>26</v>
          </cell>
          <cell r="L36">
            <v>28</v>
          </cell>
        </row>
        <row r="37">
          <cell r="B37" t="str">
            <v>U. TECNOLÓGICA METROPOLITANA</v>
          </cell>
          <cell r="C37">
            <v>63</v>
          </cell>
          <cell r="D37">
            <v>301</v>
          </cell>
          <cell r="E37">
            <v>56</v>
          </cell>
          <cell r="F37">
            <v>294</v>
          </cell>
          <cell r="G37">
            <v>6</v>
          </cell>
          <cell r="H37">
            <v>4</v>
          </cell>
          <cell r="I37">
            <v>1</v>
          </cell>
          <cell r="J37">
            <v>3</v>
          </cell>
          <cell r="K37">
            <v>17</v>
          </cell>
          <cell r="L37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rgb="FF00B0F0"/>
  </sheetPr>
  <dimension ref="A1:AB42"/>
  <sheetViews>
    <sheetView tabSelected="1" view="pageLayout" zoomScale="159" zoomScaleNormal="90" zoomScaleSheetLayoutView="90" zoomScalePageLayoutView="159" workbookViewId="0">
      <selection activeCell="P9" sqref="P9"/>
    </sheetView>
  </sheetViews>
  <sheetFormatPr baseColWidth="10" defaultRowHeight="15" x14ac:dyDescent="0.2"/>
  <cols>
    <col min="1" max="1" width="5.83203125" style="16" customWidth="1"/>
    <col min="2" max="2" width="11.1640625" style="16" customWidth="1"/>
    <col min="3" max="5" width="9.83203125" style="16" customWidth="1"/>
    <col min="6" max="6" width="12.83203125" style="16" bestFit="1" customWidth="1"/>
    <col min="7" max="7" width="12.5" style="53" customWidth="1"/>
    <col min="8" max="8" width="12.1640625" style="16" customWidth="1"/>
    <col min="9" max="9" width="11.5" style="16" customWidth="1"/>
    <col min="10" max="10" width="13.6640625" style="53" customWidth="1"/>
    <col min="11" max="11" width="13.1640625" style="16" customWidth="1"/>
    <col min="12" max="12" width="8" style="16" customWidth="1"/>
    <col min="13" max="13" width="11.5" style="16" customWidth="1"/>
    <col min="14" max="14" width="20.5" style="16" customWidth="1"/>
    <col min="15" max="15" width="13" style="16" customWidth="1"/>
    <col min="16" max="16" width="7.5" style="16" bestFit="1" customWidth="1"/>
    <col min="17" max="17" width="5.83203125" style="16" customWidth="1"/>
    <col min="18" max="18" width="4.5" style="16" customWidth="1"/>
    <col min="19" max="19" width="2" style="16" hidden="1" customWidth="1"/>
    <col min="20" max="20" width="11.5" style="16" hidden="1" customWidth="1"/>
    <col min="21" max="21" width="14.33203125" hidden="1" customWidth="1"/>
    <col min="22" max="23" width="12.6640625" hidden="1" customWidth="1"/>
    <col min="24" max="24" width="12.5" hidden="1" customWidth="1"/>
    <col min="25" max="25" width="10.83203125" hidden="1" customWidth="1"/>
  </cols>
  <sheetData>
    <row r="1" spans="1:28" s="68" customFormat="1" ht="154" customHeight="1" x14ac:dyDescent="0.2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</row>
    <row r="2" spans="1:28" s="16" customFormat="1" ht="20" x14ac:dyDescent="0.25">
      <c r="A2" s="61" t="s">
        <v>158</v>
      </c>
      <c r="D2" s="61" t="s">
        <v>145</v>
      </c>
    </row>
    <row r="3" spans="1:28" s="16" customFormat="1" ht="23.25" customHeight="1" x14ac:dyDescent="0.2">
      <c r="A3" s="31" t="s">
        <v>176</v>
      </c>
    </row>
    <row r="4" spans="1:28" s="16" customFormat="1" ht="23.25" customHeight="1" x14ac:dyDescent="0.2">
      <c r="A4" s="31" t="s">
        <v>229</v>
      </c>
    </row>
    <row r="5" spans="1:28" s="16" customFormat="1" ht="15" customHeight="1" thickBot="1" x14ac:dyDescent="0.25">
      <c r="U5" s="18" t="s">
        <v>220</v>
      </c>
      <c r="V5" s="182">
        <f>+A32-2500000</f>
        <v>55326374</v>
      </c>
      <c r="W5" s="183"/>
      <c r="Y5" s="17"/>
    </row>
    <row r="6" spans="1:28" s="16" customFormat="1" ht="17" thickTop="1" x14ac:dyDescent="0.2">
      <c r="A6" s="9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102"/>
      <c r="O6" s="102"/>
      <c r="P6" s="74"/>
      <c r="Q6" s="74"/>
      <c r="R6" s="75"/>
      <c r="S6" s="59"/>
      <c r="T6" s="59"/>
      <c r="U6" s="174">
        <v>0.4</v>
      </c>
      <c r="V6" s="176">
        <f>+V5*U6</f>
        <v>22130549.600000001</v>
      </c>
      <c r="W6" s="101"/>
      <c r="Y6" s="17"/>
    </row>
    <row r="7" spans="1:28" s="16" customFormat="1" ht="30.75" customHeight="1" x14ac:dyDescent="0.2">
      <c r="A7" s="76" t="s">
        <v>159</v>
      </c>
      <c r="B7" s="232" t="s">
        <v>144</v>
      </c>
      <c r="C7" s="233"/>
      <c r="D7" s="233"/>
      <c r="E7" s="233"/>
      <c r="F7" s="233"/>
      <c r="G7" s="234"/>
      <c r="H7" s="240" t="s">
        <v>218</v>
      </c>
      <c r="I7" s="241"/>
      <c r="J7" s="242"/>
      <c r="K7" s="235" t="s">
        <v>141</v>
      </c>
      <c r="L7" s="236"/>
      <c r="M7" s="72" t="s">
        <v>150</v>
      </c>
      <c r="N7" s="237" t="s">
        <v>217</v>
      </c>
      <c r="O7" s="238"/>
      <c r="P7" s="239"/>
      <c r="Q7" s="59"/>
      <c r="R7" s="77"/>
      <c r="S7" s="59"/>
      <c r="T7" s="59"/>
      <c r="Y7" s="17"/>
    </row>
    <row r="8" spans="1:28" s="16" customFormat="1" ht="73.5" customHeight="1" x14ac:dyDescent="0.2">
      <c r="A8" s="78"/>
      <c r="B8" s="110" t="s">
        <v>228</v>
      </c>
      <c r="C8" s="110" t="s">
        <v>225</v>
      </c>
      <c r="D8" s="110" t="s">
        <v>147</v>
      </c>
      <c r="E8" s="110" t="s">
        <v>148</v>
      </c>
      <c r="F8" s="110" t="s">
        <v>224</v>
      </c>
      <c r="G8" s="112" t="s">
        <v>154</v>
      </c>
      <c r="H8" s="113" t="s">
        <v>166</v>
      </c>
      <c r="I8" s="113" t="s">
        <v>167</v>
      </c>
      <c r="J8" s="114" t="s">
        <v>165</v>
      </c>
      <c r="K8" s="70" t="s">
        <v>226</v>
      </c>
      <c r="L8" s="71" t="s">
        <v>182</v>
      </c>
      <c r="M8" s="115" t="s">
        <v>175</v>
      </c>
      <c r="N8" s="116" t="s">
        <v>157</v>
      </c>
      <c r="O8" s="168" t="s">
        <v>219</v>
      </c>
      <c r="P8" s="98" t="s">
        <v>174</v>
      </c>
      <c r="Q8" s="59"/>
      <c r="R8" s="77"/>
      <c r="S8" s="59"/>
      <c r="T8" s="69" t="s">
        <v>173</v>
      </c>
      <c r="U8" s="178" t="s">
        <v>221</v>
      </c>
      <c r="V8" s="23" t="s">
        <v>223</v>
      </c>
      <c r="W8" s="23" t="s">
        <v>150</v>
      </c>
      <c r="X8" s="23" t="s">
        <v>227</v>
      </c>
      <c r="Y8" s="23" t="s">
        <v>222</v>
      </c>
    </row>
    <row r="9" spans="1:28" s="16" customFormat="1" ht="15" customHeight="1" x14ac:dyDescent="0.2">
      <c r="A9" s="79" t="s">
        <v>40</v>
      </c>
      <c r="B9" s="111">
        <f>VLOOKUP($A9,'AFI 2016'!$A$7:$E$25,5,0)</f>
        <v>2609252.65</v>
      </c>
      <c r="C9" s="111"/>
      <c r="D9" s="111">
        <v>400000</v>
      </c>
      <c r="E9" s="111"/>
      <c r="F9" s="111">
        <f>VLOOKUP($A$9:$A$26,'Complejidad IES'!$AD$8:$AR$25,14,0)</f>
        <v>4378306.3737220364</v>
      </c>
      <c r="G9" s="111">
        <f>SUM(B9:F9)</f>
        <v>7387559.0237220358</v>
      </c>
      <c r="H9" s="119">
        <v>100000</v>
      </c>
      <c r="I9" s="119">
        <v>335578.0022446689</v>
      </c>
      <c r="J9" s="119">
        <f t="shared" ref="J9:J19" si="0">SUM(H9:I9)</f>
        <v>435578.0022446689</v>
      </c>
      <c r="K9" s="117">
        <f>VLOOKUP($A$9:$A$26,Desempeño!$BA$6:$BE$21,4,0)</f>
        <v>2839218.9353778996</v>
      </c>
      <c r="L9" s="118">
        <f t="shared" ref="L9:L26" si="1">K9/$K$27</f>
        <v>0.1030040949147011</v>
      </c>
      <c r="M9" s="120">
        <v>0</v>
      </c>
      <c r="N9" s="181">
        <f>SUM(G9,K9,J9,M9)</f>
        <v>10662355.961344603</v>
      </c>
      <c r="O9" s="121">
        <f>ROUND(N9,0)</f>
        <v>10662356</v>
      </c>
      <c r="P9" s="172">
        <f>O9/$O$27</f>
        <v>0.18438569862207507</v>
      </c>
      <c r="Q9" s="18" t="s">
        <v>40</v>
      </c>
      <c r="R9" s="165" t="str">
        <f>VLOOKUP(Q9,'Categoria 2017'!$B$8:$J$25,9,0)</f>
        <v>I</v>
      </c>
      <c r="S9" s="59"/>
      <c r="T9" s="65">
        <v>8936068</v>
      </c>
      <c r="U9" s="18">
        <f t="shared" ref="U9:U26" si="2">T9/$T$27</f>
        <v>0.19201001607384061</v>
      </c>
      <c r="V9" s="175">
        <f>TRUNC(U9*$V$6,0)</f>
        <v>4249287</v>
      </c>
      <c r="W9" s="175">
        <f t="shared" ref="W9:W26" si="3">+M9</f>
        <v>0</v>
      </c>
      <c r="X9" s="176">
        <f t="shared" ref="X9:X26" si="4">+O9-V9-W9</f>
        <v>6413069</v>
      </c>
      <c r="Y9" s="177">
        <f t="shared" ref="Y9:Y27" si="5">+X9/O9</f>
        <v>0.601468287121533</v>
      </c>
    </row>
    <row r="10" spans="1:28" x14ac:dyDescent="0.2">
      <c r="A10" s="79" t="s">
        <v>37</v>
      </c>
      <c r="B10" s="111">
        <f>VLOOKUP($A10,'AFI 2016'!$A$7:$E$25,5,0)</f>
        <v>674422.37</v>
      </c>
      <c r="C10" s="111"/>
      <c r="D10" s="111"/>
      <c r="E10" s="111"/>
      <c r="F10" s="111">
        <f>VLOOKUP($A$9:$A$26,'Complejidad IES'!$AD$8:$AR$25,14,0)</f>
        <v>1738263.9931278601</v>
      </c>
      <c r="G10" s="111">
        <f t="shared" ref="G10:G26" si="6">SUM(B10:F10)</f>
        <v>2412686.3631278602</v>
      </c>
      <c r="H10" s="119">
        <v>100000</v>
      </c>
      <c r="I10" s="119">
        <v>474186.30751964083</v>
      </c>
      <c r="J10" s="119">
        <f t="shared" si="0"/>
        <v>574186.30751964077</v>
      </c>
      <c r="K10" s="117">
        <f>VLOOKUP($A$9:$A$26,Desempeño!$BA$6:$BE$21,4,0)</f>
        <v>2673608.3706221008</v>
      </c>
      <c r="L10" s="118">
        <f t="shared" si="1"/>
        <v>9.6995905085298928E-2</v>
      </c>
      <c r="M10" s="120">
        <v>0</v>
      </c>
      <c r="N10" s="181">
        <f t="shared" ref="N10:N26" si="7">SUM(G10,K10,J10,M10)</f>
        <v>5660481.0412696023</v>
      </c>
      <c r="O10" s="121">
        <f t="shared" ref="O10:O26" si="8">ROUND(N10,0)</f>
        <v>5660481</v>
      </c>
      <c r="P10" s="172">
        <f t="shared" ref="P10:P26" si="9">O10/$O$27</f>
        <v>9.7887534773926338E-2</v>
      </c>
      <c r="Q10" s="18" t="s">
        <v>37</v>
      </c>
      <c r="R10" s="165" t="str">
        <f>VLOOKUP(Q10,'Categoria 2017'!$B$8:$J$25,9,0)</f>
        <v>I</v>
      </c>
      <c r="S10" s="59"/>
      <c r="T10" s="65">
        <v>4902887</v>
      </c>
      <c r="U10" s="18">
        <f t="shared" si="2"/>
        <v>0.10534872962898494</v>
      </c>
      <c r="V10" s="175">
        <f t="shared" ref="V10:V26" si="10">TRUNC(U10*$V$6,0)</f>
        <v>2331425</v>
      </c>
      <c r="W10" s="175">
        <f t="shared" si="3"/>
        <v>0</v>
      </c>
      <c r="X10" s="176">
        <f t="shared" si="4"/>
        <v>3329056</v>
      </c>
      <c r="Y10" s="177">
        <f t="shared" si="5"/>
        <v>0.58812245814445807</v>
      </c>
    </row>
    <row r="11" spans="1:28" x14ac:dyDescent="0.2">
      <c r="A11" s="79" t="s">
        <v>41</v>
      </c>
      <c r="B11" s="111">
        <f>VLOOKUP($A11,'AFI 2016'!$A$7:$E$25,5,0)</f>
        <v>231468.81</v>
      </c>
      <c r="C11" s="111"/>
      <c r="D11" s="111"/>
      <c r="E11" s="93">
        <v>0</v>
      </c>
      <c r="F11" s="111">
        <f>VLOOKUP($A$9:$A$26,'Complejidad IES'!$AD$8:$AR$25,14,0)</f>
        <v>1113615.0660237472</v>
      </c>
      <c r="G11" s="111">
        <f t="shared" si="6"/>
        <v>1345083.8760237473</v>
      </c>
      <c r="H11" s="119">
        <v>100000</v>
      </c>
      <c r="I11" s="119">
        <v>342873.17620650958</v>
      </c>
      <c r="J11" s="119">
        <f t="shared" si="0"/>
        <v>442873.17620650958</v>
      </c>
      <c r="K11" s="117">
        <f>VLOOKUP($A$9:$A$26,Desempeño!$BA$6:$BE$21,4,0)</f>
        <v>2266057.166558641</v>
      </c>
      <c r="L11" s="118">
        <f t="shared" si="1"/>
        <v>8.2210344738799665E-2</v>
      </c>
      <c r="M11" s="120">
        <v>0</v>
      </c>
      <c r="N11" s="181">
        <f t="shared" si="7"/>
        <v>4054014.2187888976</v>
      </c>
      <c r="O11" s="121">
        <f t="shared" si="8"/>
        <v>4054014</v>
      </c>
      <c r="P11" s="172">
        <f t="shared" si="9"/>
        <v>7.0106663444146206E-2</v>
      </c>
      <c r="Q11" s="18" t="s">
        <v>41</v>
      </c>
      <c r="R11" s="165" t="str">
        <f>VLOOKUP(Q11,'Categoria 2017'!$B$8:$J$25,9,0)</f>
        <v>II</v>
      </c>
      <c r="S11" s="59"/>
      <c r="T11" s="65">
        <v>4090748</v>
      </c>
      <c r="U11" s="18">
        <f t="shared" si="2"/>
        <v>8.7898233231218842E-2</v>
      </c>
      <c r="V11" s="175">
        <f t="shared" si="10"/>
        <v>1945236</v>
      </c>
      <c r="W11" s="175">
        <f t="shared" si="3"/>
        <v>0</v>
      </c>
      <c r="X11" s="176">
        <f t="shared" si="4"/>
        <v>2108778</v>
      </c>
      <c r="Y11" s="177">
        <f t="shared" si="5"/>
        <v>0.52017037928334731</v>
      </c>
    </row>
    <row r="12" spans="1:28" x14ac:dyDescent="0.2">
      <c r="A12" s="79" t="s">
        <v>43</v>
      </c>
      <c r="B12" s="111">
        <f>VLOOKUP($A12,'AFI 2016'!$A$7:$E$25,5,0)</f>
        <v>234072.65</v>
      </c>
      <c r="C12" s="111"/>
      <c r="D12" s="111"/>
      <c r="E12" s="93">
        <v>0</v>
      </c>
      <c r="F12" s="111">
        <f>VLOOKUP($A$9:$A$26,'Complejidad IES'!$AD$8:$AR$25,14,0)</f>
        <v>1022191.2311618859</v>
      </c>
      <c r="G12" s="111">
        <f t="shared" si="6"/>
        <v>1256263.8811618858</v>
      </c>
      <c r="H12" s="119">
        <v>100000</v>
      </c>
      <c r="I12" s="119">
        <v>452300.78563411901</v>
      </c>
      <c r="J12" s="119">
        <f t="shared" si="0"/>
        <v>552300.78563411906</v>
      </c>
      <c r="K12" s="117">
        <f>VLOOKUP($A$9:$A$26,Desempeño!$BA$6:$BE$21,4,0)</f>
        <v>2137175.0528137088</v>
      </c>
      <c r="L12" s="118">
        <f t="shared" si="1"/>
        <v>7.7534627304130133E-2</v>
      </c>
      <c r="M12" s="120">
        <v>0</v>
      </c>
      <c r="N12" s="181">
        <f t="shared" si="7"/>
        <v>3945739.7196097136</v>
      </c>
      <c r="O12" s="121">
        <f t="shared" si="8"/>
        <v>3945740</v>
      </c>
      <c r="P12" s="172">
        <f t="shared" si="9"/>
        <v>6.8234265155005747E-2</v>
      </c>
      <c r="Q12" s="18" t="s">
        <v>43</v>
      </c>
      <c r="R12" s="165" t="str">
        <f>VLOOKUP(Q12,'Categoria 2017'!$B$8:$J$25,9,0)</f>
        <v>II</v>
      </c>
      <c r="S12" s="59"/>
      <c r="T12" s="65">
        <v>3629363</v>
      </c>
      <c r="U12" s="18">
        <f t="shared" si="2"/>
        <v>7.7984416408626522E-2</v>
      </c>
      <c r="V12" s="175">
        <f t="shared" si="10"/>
        <v>1725837</v>
      </c>
      <c r="W12" s="175">
        <f t="shared" si="3"/>
        <v>0</v>
      </c>
      <c r="X12" s="176">
        <f t="shared" si="4"/>
        <v>2219903</v>
      </c>
      <c r="Y12" s="177">
        <f t="shared" si="5"/>
        <v>0.56260752102267253</v>
      </c>
    </row>
    <row r="13" spans="1:28" x14ac:dyDescent="0.2">
      <c r="A13" s="79" t="s">
        <v>45</v>
      </c>
      <c r="B13" s="111">
        <f>VLOOKUP($A13,'AFI 2016'!$A$7:$E$25,5,0)</f>
        <v>26722.32</v>
      </c>
      <c r="C13" s="111"/>
      <c r="D13" s="111"/>
      <c r="E13" s="111"/>
      <c r="F13" s="111">
        <f>VLOOKUP($A$9:$A$26,'Complejidad IES'!$AD$8:$AR$25,14,0)</f>
        <v>637818.87569206371</v>
      </c>
      <c r="G13" s="111">
        <f t="shared" si="6"/>
        <v>664541.19569206366</v>
      </c>
      <c r="H13" s="119">
        <v>100000</v>
      </c>
      <c r="I13" s="119">
        <v>423120.08978675643</v>
      </c>
      <c r="J13" s="119">
        <f t="shared" si="0"/>
        <v>523120.08978675643</v>
      </c>
      <c r="K13" s="117">
        <f>VLOOKUP($A$9:$A$26,Desempeño!$BA$6:$BE$21,4,0)</f>
        <v>2008836.8384972026</v>
      </c>
      <c r="L13" s="118">
        <f t="shared" si="1"/>
        <v>7.2878642010455991E-2</v>
      </c>
      <c r="M13" s="120">
        <v>0</v>
      </c>
      <c r="N13" s="181">
        <f t="shared" si="7"/>
        <v>3196498.1239760225</v>
      </c>
      <c r="O13" s="121">
        <f t="shared" si="8"/>
        <v>3196498</v>
      </c>
      <c r="P13" s="172">
        <f t="shared" si="9"/>
        <v>5.5277512481675319E-2</v>
      </c>
      <c r="Q13" s="18" t="s">
        <v>45</v>
      </c>
      <c r="R13" s="165" t="str">
        <f>VLOOKUP(Q13,'Categoria 2017'!$B$8:$J$25,9,0)</f>
        <v>II</v>
      </c>
      <c r="S13" s="59"/>
      <c r="T13" s="65">
        <v>2815853</v>
      </c>
      <c r="U13" s="18">
        <f t="shared" si="2"/>
        <v>6.0504461222941938E-2</v>
      </c>
      <c r="V13" s="175">
        <f t="shared" si="10"/>
        <v>1338996</v>
      </c>
      <c r="W13" s="175">
        <f t="shared" si="3"/>
        <v>0</v>
      </c>
      <c r="X13" s="176">
        <f t="shared" si="4"/>
        <v>1857502</v>
      </c>
      <c r="Y13" s="177">
        <f t="shared" si="5"/>
        <v>0.58110532213691357</v>
      </c>
    </row>
    <row r="14" spans="1:28" x14ac:dyDescent="0.2">
      <c r="A14" s="79" t="s">
        <v>38</v>
      </c>
      <c r="B14" s="111">
        <f>VLOOKUP($A14,'AFI 2016'!$A$7:$E$25,5,0)</f>
        <v>102449.98</v>
      </c>
      <c r="C14" s="111"/>
      <c r="D14" s="111"/>
      <c r="E14" s="111"/>
      <c r="F14" s="111">
        <f>VLOOKUP($A$9:$A$26,'Complejidad IES'!$AD$8:$AR$25,14,0)</f>
        <v>826863.02572682826</v>
      </c>
      <c r="G14" s="111">
        <f t="shared" si="6"/>
        <v>929313.00572682824</v>
      </c>
      <c r="H14" s="119">
        <v>100000</v>
      </c>
      <c r="I14" s="119">
        <v>517957.3512906846</v>
      </c>
      <c r="J14" s="119">
        <f t="shared" si="0"/>
        <v>617957.35129068466</v>
      </c>
      <c r="K14" s="117">
        <f>VLOOKUP($A$9:$A$26,Desempeño!$BA$6:$BE$21,4,0)</f>
        <v>1928137.0888186081</v>
      </c>
      <c r="L14" s="118">
        <f t="shared" si="1"/>
        <v>6.9950933769323057E-2</v>
      </c>
      <c r="M14" s="120">
        <v>0</v>
      </c>
      <c r="N14" s="181">
        <f t="shared" si="7"/>
        <v>3475407.4458361208</v>
      </c>
      <c r="O14" s="121">
        <f t="shared" si="8"/>
        <v>3475407</v>
      </c>
      <c r="P14" s="172">
        <f t="shared" si="9"/>
        <v>6.0100727052355973E-2</v>
      </c>
      <c r="Q14" s="18" t="s">
        <v>38</v>
      </c>
      <c r="R14" s="165" t="str">
        <f>VLOOKUP(Q14,'Categoria 2017'!$B$8:$J$25,9,0)</f>
        <v>II</v>
      </c>
      <c r="S14" s="59"/>
      <c r="T14" s="65">
        <v>2662617</v>
      </c>
      <c r="U14" s="18">
        <f t="shared" si="2"/>
        <v>5.7211866893636137E-2</v>
      </c>
      <c r="V14" s="175">
        <f t="shared" si="10"/>
        <v>1266130</v>
      </c>
      <c r="W14" s="175">
        <f t="shared" si="3"/>
        <v>0</v>
      </c>
      <c r="X14" s="176">
        <f t="shared" si="4"/>
        <v>2209277</v>
      </c>
      <c r="Y14" s="177">
        <f t="shared" si="5"/>
        <v>0.63568871214220379</v>
      </c>
    </row>
    <row r="15" spans="1:28" x14ac:dyDescent="0.2">
      <c r="A15" s="79" t="s">
        <v>39</v>
      </c>
      <c r="B15" s="111">
        <f>VLOOKUP($A15,'AFI 2016'!$A$7:$E$25,5,0)</f>
        <v>289815.22000000003</v>
      </c>
      <c r="C15" s="111"/>
      <c r="D15" s="111"/>
      <c r="E15" s="111"/>
      <c r="F15" s="111">
        <f>VLOOKUP($A$9:$A$26,'Complejidad IES'!$AD$8:$AR$25,14,0)</f>
        <v>1100342.0225336077</v>
      </c>
      <c r="G15" s="111">
        <f t="shared" si="6"/>
        <v>1390157.2425336076</v>
      </c>
      <c r="H15" s="119">
        <v>100000</v>
      </c>
      <c r="I15" s="119">
        <v>335578.0022446689</v>
      </c>
      <c r="J15" s="119">
        <f t="shared" si="0"/>
        <v>435578.0022446689</v>
      </c>
      <c r="K15" s="117">
        <f>VLOOKUP($A$9:$A$26,Desempeño!$BA$6:$BE$21,4,0)</f>
        <v>1696999.6753719477</v>
      </c>
      <c r="L15" s="118">
        <f t="shared" si="1"/>
        <v>6.1565493753993818E-2</v>
      </c>
      <c r="M15" s="120">
        <v>0</v>
      </c>
      <c r="N15" s="181">
        <f t="shared" si="7"/>
        <v>3522734.9201502241</v>
      </c>
      <c r="O15" s="121">
        <f t="shared" si="8"/>
        <v>3522735</v>
      </c>
      <c r="P15" s="172">
        <f t="shared" si="9"/>
        <v>6.0919177153289157E-2</v>
      </c>
      <c r="Q15" s="18" t="s">
        <v>39</v>
      </c>
      <c r="R15" s="165" t="str">
        <f>VLOOKUP(Q15,'Categoria 2017'!$B$8:$J$25,9,0)</f>
        <v>II</v>
      </c>
      <c r="S15" s="59"/>
      <c r="T15" s="65">
        <v>2761571</v>
      </c>
      <c r="U15" s="18">
        <f t="shared" si="2"/>
        <v>5.9338099497346274E-2</v>
      </c>
      <c r="V15" s="175">
        <f t="shared" si="10"/>
        <v>1313184</v>
      </c>
      <c r="W15" s="175">
        <f t="shared" si="3"/>
        <v>0</v>
      </c>
      <c r="X15" s="176">
        <f t="shared" si="4"/>
        <v>2209551</v>
      </c>
      <c r="Y15" s="177">
        <f t="shared" si="5"/>
        <v>0.62722600479457014</v>
      </c>
    </row>
    <row r="16" spans="1:28" x14ac:dyDescent="0.2">
      <c r="A16" s="79" t="s">
        <v>46</v>
      </c>
      <c r="B16" s="111">
        <f>VLOOKUP($A16,'AFI 2016'!$A$7:$E$25,5,0)</f>
        <v>111791.05</v>
      </c>
      <c r="C16" s="111"/>
      <c r="D16" s="111"/>
      <c r="E16" s="111"/>
      <c r="F16" s="111">
        <f>VLOOKUP($A$9:$A$26,'Complejidad IES'!$AD$8:$AR$25,14,0)</f>
        <v>536776.64842102071</v>
      </c>
      <c r="G16" s="111">
        <f t="shared" si="6"/>
        <v>648567.69842102076</v>
      </c>
      <c r="H16" s="119">
        <v>100000</v>
      </c>
      <c r="I16" s="119">
        <v>481481.48148148146</v>
      </c>
      <c r="J16" s="119">
        <f t="shared" si="0"/>
        <v>581481.48148148146</v>
      </c>
      <c r="K16" s="117">
        <f>VLOOKUP($A$9:$A$26,Desempeño!$BA$6:$BE$21,4,0)</f>
        <v>1574268.0389431531</v>
      </c>
      <c r="L16" s="118">
        <f t="shared" si="1"/>
        <v>5.7112909640023225E-2</v>
      </c>
      <c r="M16" s="120">
        <v>0</v>
      </c>
      <c r="N16" s="181">
        <f t="shared" si="7"/>
        <v>2804317.2188456552</v>
      </c>
      <c r="O16" s="121">
        <f t="shared" si="8"/>
        <v>2804317</v>
      </c>
      <c r="P16" s="172">
        <f>O16/$O$27</f>
        <v>4.8495468468953924E-2</v>
      </c>
      <c r="Q16" s="125" t="s">
        <v>46</v>
      </c>
      <c r="R16" s="165" t="str">
        <f>VLOOKUP(Q16,'Categoria 2017'!$B$8:$J$25,9,0)</f>
        <v>II</v>
      </c>
      <c r="S16" s="59"/>
      <c r="T16" s="65">
        <v>1736021</v>
      </c>
      <c r="U16" s="18">
        <f t="shared" si="2"/>
        <v>3.7302023676915264E-2</v>
      </c>
      <c r="V16" s="175">
        <f t="shared" si="10"/>
        <v>825514</v>
      </c>
      <c r="W16" s="175">
        <f t="shared" si="3"/>
        <v>0</v>
      </c>
      <c r="X16" s="176">
        <f t="shared" si="4"/>
        <v>1978803</v>
      </c>
      <c r="Y16" s="177">
        <f t="shared" si="5"/>
        <v>0.70562743085036395</v>
      </c>
    </row>
    <row r="17" spans="1:25" x14ac:dyDescent="0.2">
      <c r="A17" s="79" t="s">
        <v>51</v>
      </c>
      <c r="B17" s="111">
        <f>VLOOKUP($A17,'AFI 2016'!$A$7:$E$25,5,0)</f>
        <v>65926.180000000008</v>
      </c>
      <c r="C17" s="111"/>
      <c r="D17" s="111"/>
      <c r="E17" s="111"/>
      <c r="F17" s="111">
        <f>VLOOKUP($A$9:$A$26,'Complejidad IES'!$AD$8:$AR$25,14,0)</f>
        <v>652678.04146715102</v>
      </c>
      <c r="G17" s="111">
        <f t="shared" si="6"/>
        <v>718604.22146715107</v>
      </c>
      <c r="H17" s="119">
        <v>100000</v>
      </c>
      <c r="I17" s="119">
        <v>313692.48035914707</v>
      </c>
      <c r="J17" s="119">
        <f t="shared" si="0"/>
        <v>413692.48035914707</v>
      </c>
      <c r="K17" s="117">
        <f>VLOOKUP($A$9:$A$26,Desempeño!$BA$6:$BE$21,4,0)</f>
        <v>1606272.0283694325</v>
      </c>
      <c r="L17" s="118">
        <f t="shared" si="1"/>
        <v>5.8273983174521475E-2</v>
      </c>
      <c r="M17" s="120">
        <v>0</v>
      </c>
      <c r="N17" s="181">
        <f t="shared" si="7"/>
        <v>2738568.7301957309</v>
      </c>
      <c r="O17" s="121">
        <f t="shared" si="8"/>
        <v>2738569</v>
      </c>
      <c r="P17" s="172">
        <f t="shared" si="9"/>
        <v>4.7358478584822852E-2</v>
      </c>
      <c r="Q17" s="125" t="s">
        <v>51</v>
      </c>
      <c r="R17" s="165" t="str">
        <f>VLOOKUP(Q17,'Categoria 2017'!$B$8:$J$25,9,0)</f>
        <v>II</v>
      </c>
      <c r="S17" s="59"/>
      <c r="T17" s="65">
        <v>2374627</v>
      </c>
      <c r="U17" s="18">
        <f t="shared" si="2"/>
        <v>5.1023802464280253E-2</v>
      </c>
      <c r="V17" s="175">
        <f t="shared" si="10"/>
        <v>1129184</v>
      </c>
      <c r="W17" s="175">
        <f t="shared" si="3"/>
        <v>0</v>
      </c>
      <c r="X17" s="176">
        <f t="shared" si="4"/>
        <v>1609385</v>
      </c>
      <c r="Y17" s="177">
        <f t="shared" si="5"/>
        <v>0.58767370842217226</v>
      </c>
    </row>
    <row r="18" spans="1:25" x14ac:dyDescent="0.2">
      <c r="A18" s="79" t="s">
        <v>44</v>
      </c>
      <c r="B18" s="111">
        <f>VLOOKUP($A18,'AFI 2016'!$A$7:$E$25,5,0)</f>
        <v>25573.87</v>
      </c>
      <c r="C18" s="111"/>
      <c r="D18" s="111"/>
      <c r="E18" s="111"/>
      <c r="F18" s="111">
        <f>VLOOKUP($A$9:$A$26,'Complejidad IES'!$AD$8:$AR$25,14,0)</f>
        <v>478274.92526097031</v>
      </c>
      <c r="G18" s="111">
        <f t="shared" si="6"/>
        <v>503848.79526097031</v>
      </c>
      <c r="H18" s="119">
        <v>100000</v>
      </c>
      <c r="I18" s="119">
        <v>634680.13468013471</v>
      </c>
      <c r="J18" s="119">
        <f t="shared" si="0"/>
        <v>734680.13468013471</v>
      </c>
      <c r="K18" s="117">
        <f>VLOOKUP($A$9:$A$26,Desempeño!$BA$6:$BE$21,4,0)</f>
        <v>1483126.9266273044</v>
      </c>
      <c r="L18" s="118">
        <f t="shared" si="1"/>
        <v>5.3806398942085942E-2</v>
      </c>
      <c r="M18" s="120">
        <v>0</v>
      </c>
      <c r="N18" s="181">
        <f t="shared" si="7"/>
        <v>2721655.8565684091</v>
      </c>
      <c r="O18" s="121">
        <f t="shared" si="8"/>
        <v>2721656</v>
      </c>
      <c r="P18" s="172">
        <f t="shared" si="9"/>
        <v>4.7065999575418634E-2</v>
      </c>
      <c r="Q18" s="125" t="s">
        <v>44</v>
      </c>
      <c r="R18" s="165" t="str">
        <f>VLOOKUP(Q18,'Categoria 2017'!$B$8:$J$25,9,0)</f>
        <v>II</v>
      </c>
      <c r="S18" s="59"/>
      <c r="T18" s="65">
        <v>1513762</v>
      </c>
      <c r="U18" s="18">
        <f t="shared" si="2"/>
        <v>3.252632656241751E-2</v>
      </c>
      <c r="V18" s="175">
        <f t="shared" si="10"/>
        <v>719825</v>
      </c>
      <c r="W18" s="175">
        <f t="shared" si="3"/>
        <v>0</v>
      </c>
      <c r="X18" s="176">
        <f t="shared" si="4"/>
        <v>2001831</v>
      </c>
      <c r="Y18" s="177">
        <f t="shared" si="5"/>
        <v>0.73551947784731064</v>
      </c>
    </row>
    <row r="19" spans="1:25" x14ac:dyDescent="0.2">
      <c r="A19" s="79" t="s">
        <v>47</v>
      </c>
      <c r="B19" s="111">
        <f>VLOOKUP($A19,'AFI 2016'!$A$7:$E$25,5,0)</f>
        <v>9724.23</v>
      </c>
      <c r="C19" s="111"/>
      <c r="D19" s="111"/>
      <c r="E19" s="111"/>
      <c r="F19" s="111">
        <f>VLOOKUP($A$9:$A$26,'Complejidad IES'!$AD$8:$AR$25,14,0)</f>
        <v>404050.29043120821</v>
      </c>
      <c r="G19" s="111">
        <f t="shared" si="6"/>
        <v>413774.52043120819</v>
      </c>
      <c r="H19" s="119">
        <v>100000</v>
      </c>
      <c r="I19" s="119">
        <v>525252.52525252535</v>
      </c>
      <c r="J19" s="119">
        <f t="shared" si="0"/>
        <v>625252.52525252535</v>
      </c>
      <c r="K19" s="117">
        <f>VLOOKUP($A$9:$A$26,Desempeño!$BA$6:$BE$21,4,0)</f>
        <v>1370299.0996215828</v>
      </c>
      <c r="L19" s="118">
        <f t="shared" si="1"/>
        <v>4.971311537838994E-2</v>
      </c>
      <c r="M19" s="120">
        <f>ROUND(2500000/3,0)</f>
        <v>833333</v>
      </c>
      <c r="N19" s="181">
        <f t="shared" si="7"/>
        <v>3242659.1453053164</v>
      </c>
      <c r="O19" s="121">
        <f t="shared" si="8"/>
        <v>3242659</v>
      </c>
      <c r="P19" s="172">
        <f t="shared" si="9"/>
        <v>5.607578147908017E-2</v>
      </c>
      <c r="Q19" s="125" t="s">
        <v>47</v>
      </c>
      <c r="R19" s="165" t="str">
        <f>VLOOKUP(Q19,'Categoria 2017'!$B$8:$J$25,9,0)</f>
        <v>III</v>
      </c>
      <c r="S19" s="59"/>
      <c r="T19" s="65">
        <v>2376223</v>
      </c>
      <c r="U19" s="18">
        <f t="shared" si="2"/>
        <v>5.1058095845402003E-2</v>
      </c>
      <c r="V19" s="175">
        <f t="shared" si="10"/>
        <v>1129943</v>
      </c>
      <c r="W19" s="175">
        <f t="shared" si="3"/>
        <v>833333</v>
      </c>
      <c r="X19" s="176">
        <f t="shared" si="4"/>
        <v>1279383</v>
      </c>
      <c r="Y19" s="177">
        <f t="shared" si="5"/>
        <v>0.39454749944412904</v>
      </c>
    </row>
    <row r="20" spans="1:25" x14ac:dyDescent="0.2">
      <c r="A20" s="79" t="s">
        <v>42</v>
      </c>
      <c r="B20" s="111">
        <f>VLOOKUP($A20,'AFI 2016'!$A$7:$E$25,5,0)</f>
        <v>54057.49</v>
      </c>
      <c r="C20" s="111"/>
      <c r="D20" s="111"/>
      <c r="E20" s="111"/>
      <c r="F20" s="111">
        <f>VLOOKUP($A$9:$A$26,'Complejidad IES'!$AD$8:$AR$25,14,0)</f>
        <v>300758.28297173628</v>
      </c>
      <c r="G20" s="111">
        <f t="shared" si="6"/>
        <v>354815.77297173627</v>
      </c>
      <c r="H20" s="119"/>
      <c r="I20" s="119"/>
      <c r="J20" s="119"/>
      <c r="K20" s="117">
        <f>VLOOKUP($A$9:$A$26,Desempeño!$BA$6:$BE$21,4,0)</f>
        <v>1160498.6813144095</v>
      </c>
      <c r="L20" s="118">
        <f t="shared" si="1"/>
        <v>4.2101760744486107E-2</v>
      </c>
      <c r="M20" s="120">
        <f t="shared" ref="M20:M21" si="11">ROUND(2500000/3,0)</f>
        <v>833333</v>
      </c>
      <c r="N20" s="181">
        <f t="shared" si="7"/>
        <v>2348647.454286146</v>
      </c>
      <c r="O20" s="121">
        <f t="shared" si="8"/>
        <v>2348647</v>
      </c>
      <c r="P20" s="172">
        <f t="shared" si="9"/>
        <v>4.0615499793070192E-2</v>
      </c>
      <c r="Q20" s="18" t="s">
        <v>42</v>
      </c>
      <c r="R20" s="165" t="str">
        <f>VLOOKUP(Q20,'Categoria 2017'!$B$8:$J$25,9,0)</f>
        <v>III</v>
      </c>
      <c r="S20" s="59"/>
      <c r="T20" s="65">
        <v>2181918</v>
      </c>
      <c r="U20" s="18">
        <f t="shared" si="2"/>
        <v>4.6883048590476498E-2</v>
      </c>
      <c r="V20" s="175">
        <f t="shared" si="10"/>
        <v>1037547</v>
      </c>
      <c r="W20" s="175">
        <f t="shared" si="3"/>
        <v>833333</v>
      </c>
      <c r="X20" s="176">
        <f t="shared" si="4"/>
        <v>477767</v>
      </c>
      <c r="Y20" s="177">
        <f t="shared" si="5"/>
        <v>0.20342222564736206</v>
      </c>
    </row>
    <row r="21" spans="1:25" x14ac:dyDescent="0.2">
      <c r="A21" s="79" t="s">
        <v>49</v>
      </c>
      <c r="B21" s="111">
        <f>VLOOKUP($A21,'AFI 2016'!$A$7:$E$25,5,0)</f>
        <v>15697.2</v>
      </c>
      <c r="C21" s="111"/>
      <c r="D21" s="111"/>
      <c r="E21" s="111"/>
      <c r="F21" s="111">
        <f>VLOOKUP($A$9:$A$26,'Complejidad IES'!$AD$8:$AR$25,14,0)</f>
        <v>352928.39134786732</v>
      </c>
      <c r="G21" s="111">
        <f t="shared" si="6"/>
        <v>368625.59134786733</v>
      </c>
      <c r="H21" s="119">
        <v>100000</v>
      </c>
      <c r="I21" s="119">
        <v>372053.8720538721</v>
      </c>
      <c r="J21" s="119">
        <f t="shared" ref="J21:J26" si="12">SUM(H21:I21)</f>
        <v>472053.8720538721</v>
      </c>
      <c r="K21" s="117">
        <f>VLOOKUP($A$9:$A$26,Desempeño!$BA$6:$BE$21,4,0)</f>
        <v>1187743.8559642334</v>
      </c>
      <c r="L21" s="118">
        <f t="shared" si="1"/>
        <v>4.3090189118441195E-2</v>
      </c>
      <c r="M21" s="120">
        <f t="shared" si="11"/>
        <v>833333</v>
      </c>
      <c r="N21" s="181">
        <f t="shared" si="7"/>
        <v>2861756.3193659727</v>
      </c>
      <c r="O21" s="121">
        <f t="shared" si="8"/>
        <v>2861756</v>
      </c>
      <c r="P21" s="172">
        <f t="shared" si="9"/>
        <v>4.9488769587689163E-2</v>
      </c>
      <c r="Q21" s="18" t="s">
        <v>49</v>
      </c>
      <c r="R21" s="165" t="str">
        <f>VLOOKUP(Q21,'Categoria 2017'!$B$8:$J$25,9,0)</f>
        <v>III</v>
      </c>
      <c r="S21" s="59"/>
      <c r="T21" s="65">
        <v>2248229</v>
      </c>
      <c r="U21" s="18">
        <f t="shared" si="2"/>
        <v>4.8307878412258566E-2</v>
      </c>
      <c r="V21" s="175">
        <f t="shared" si="10"/>
        <v>1069079</v>
      </c>
      <c r="W21" s="175">
        <f t="shared" si="3"/>
        <v>833333</v>
      </c>
      <c r="X21" s="176">
        <f t="shared" si="4"/>
        <v>959344</v>
      </c>
      <c r="Y21" s="177">
        <f t="shared" si="5"/>
        <v>0.33522913903211876</v>
      </c>
    </row>
    <row r="22" spans="1:25" x14ac:dyDescent="0.2">
      <c r="A22" s="79" t="s">
        <v>52</v>
      </c>
      <c r="B22" s="111">
        <f>VLOOKUP($A22,'AFI 2016'!$A$7:$E$25,5,0)</f>
        <v>26799.57</v>
      </c>
      <c r="C22" s="111"/>
      <c r="D22" s="111"/>
      <c r="E22" s="111"/>
      <c r="F22" s="111">
        <f>VLOOKUP($A$9:$A$26,'Complejidad IES'!$AD$8:$AR$25,14,0)</f>
        <v>364149.50109139213</v>
      </c>
      <c r="G22" s="111">
        <f t="shared" si="6"/>
        <v>390949.07109139214</v>
      </c>
      <c r="H22" s="119">
        <v>100000</v>
      </c>
      <c r="I22" s="119">
        <v>386644.21997755329</v>
      </c>
      <c r="J22" s="119">
        <f t="shared" si="12"/>
        <v>486644.21997755329</v>
      </c>
      <c r="K22" s="117">
        <f>VLOOKUP($A$9:$A$26,Desempeño!$BA$6:$BE$21,4,0)</f>
        <v>1406427.9762520478</v>
      </c>
      <c r="L22" s="118">
        <f t="shared" si="1"/>
        <v>5.1023835799149118E-2</v>
      </c>
      <c r="M22" s="120">
        <v>0</v>
      </c>
      <c r="N22" s="181">
        <f t="shared" si="7"/>
        <v>2284021.2673209934</v>
      </c>
      <c r="O22" s="121">
        <f t="shared" si="8"/>
        <v>2284021</v>
      </c>
      <c r="P22" s="172">
        <f t="shared" si="9"/>
        <v>3.9497912820814697E-2</v>
      </c>
      <c r="Q22" s="18" t="s">
        <v>52</v>
      </c>
      <c r="R22" s="165" t="str">
        <f>VLOOKUP(Q22,'Categoria 2017'!$B$8:$J$25,9,0)</f>
        <v>III</v>
      </c>
      <c r="S22" s="59"/>
      <c r="T22" s="65">
        <v>1574671</v>
      </c>
      <c r="U22" s="18">
        <f t="shared" si="2"/>
        <v>3.3835083173159676E-2</v>
      </c>
      <c r="V22" s="175">
        <f t="shared" si="10"/>
        <v>748788</v>
      </c>
      <c r="W22" s="175">
        <f t="shared" si="3"/>
        <v>0</v>
      </c>
      <c r="X22" s="176">
        <f t="shared" si="4"/>
        <v>1535233</v>
      </c>
      <c r="Y22" s="177">
        <f t="shared" si="5"/>
        <v>0.67216238379594584</v>
      </c>
    </row>
    <row r="23" spans="1:25" x14ac:dyDescent="0.2">
      <c r="A23" s="79" t="s">
        <v>48</v>
      </c>
      <c r="B23" s="111">
        <f>VLOOKUP($A23,'AFI 2016'!$A$7:$E$25,5,0)</f>
        <v>105971.55</v>
      </c>
      <c r="C23" s="111"/>
      <c r="D23" s="111"/>
      <c r="E23" s="111"/>
      <c r="F23" s="111">
        <f>VLOOKUP($A$9:$A$26,'Complejidad IES'!$AD$8:$AR$25,14,0)</f>
        <v>256115.19369081274</v>
      </c>
      <c r="G23" s="111">
        <f t="shared" si="6"/>
        <v>362086.74369081273</v>
      </c>
      <c r="H23" s="119">
        <v>100000</v>
      </c>
      <c r="I23" s="119">
        <v>620089.78675645345</v>
      </c>
      <c r="J23" s="119">
        <f t="shared" si="12"/>
        <v>720089.78675645345</v>
      </c>
      <c r="K23" s="117">
        <f>VLOOKUP($A$9:$A$26,Desempeño!$BA$6:$BE$21,4,0)</f>
        <v>1155090.1428468884</v>
      </c>
      <c r="L23" s="118">
        <f t="shared" si="1"/>
        <v>4.1905544241871033E-2</v>
      </c>
      <c r="M23" s="120">
        <v>0</v>
      </c>
      <c r="N23" s="181">
        <f t="shared" si="7"/>
        <v>2237266.6732941545</v>
      </c>
      <c r="O23" s="121">
        <f t="shared" si="8"/>
        <v>2237267</v>
      </c>
      <c r="P23" s="172">
        <f t="shared" si="9"/>
        <v>3.8689388986741208E-2</v>
      </c>
      <c r="Q23" s="18" t="s">
        <v>48</v>
      </c>
      <c r="R23" s="165" t="str">
        <f>VLOOKUP(Q23,'Categoria 2017'!$B$8:$J$25,9,0)</f>
        <v>III</v>
      </c>
      <c r="S23" s="59"/>
      <c r="T23" s="65">
        <v>1446491</v>
      </c>
      <c r="U23" s="18">
        <f t="shared" si="2"/>
        <v>3.1080869142968225E-2</v>
      </c>
      <c r="V23" s="175">
        <f t="shared" si="10"/>
        <v>687836</v>
      </c>
      <c r="W23" s="175">
        <f t="shared" si="3"/>
        <v>0</v>
      </c>
      <c r="X23" s="176">
        <f t="shared" si="4"/>
        <v>1549431</v>
      </c>
      <c r="Y23" s="177">
        <f t="shared" si="5"/>
        <v>0.69255524709388727</v>
      </c>
    </row>
    <row r="24" spans="1:25" x14ac:dyDescent="0.2">
      <c r="A24" s="79" t="s">
        <v>50</v>
      </c>
      <c r="B24" s="111">
        <f>VLOOKUP($A24,'AFI 2016'!$A$7:$E$25,5,0)</f>
        <v>21898.83</v>
      </c>
      <c r="C24" s="111"/>
      <c r="D24" s="111"/>
      <c r="E24" s="111"/>
      <c r="F24" s="111">
        <f>VLOOKUP($A$9:$A$26,'Complejidad IES'!$AD$8:$AR$25,14,0)</f>
        <v>293461.63732981222</v>
      </c>
      <c r="G24" s="111">
        <f t="shared" si="6"/>
        <v>315360.46732981224</v>
      </c>
      <c r="H24" s="119">
        <v>100000</v>
      </c>
      <c r="I24" s="119">
        <v>284511.7845117845</v>
      </c>
      <c r="J24" s="119">
        <f t="shared" si="12"/>
        <v>384511.7845117845</v>
      </c>
      <c r="K24" s="117">
        <f>VLOOKUP($A$9:$A$26,Desempeño!$BA$6:$BE$21,4,0)</f>
        <v>1070376.6520008384</v>
      </c>
      <c r="L24" s="118">
        <f t="shared" si="1"/>
        <v>3.8832221384329305E-2</v>
      </c>
      <c r="M24" s="120">
        <v>0</v>
      </c>
      <c r="N24" s="181">
        <f t="shared" si="7"/>
        <v>1770248.9038424352</v>
      </c>
      <c r="O24" s="121">
        <f t="shared" si="8"/>
        <v>1770249</v>
      </c>
      <c r="P24" s="172">
        <f t="shared" si="9"/>
        <v>3.0613177669178347E-2</v>
      </c>
      <c r="Q24" s="18" t="s">
        <v>50</v>
      </c>
      <c r="R24" s="165" t="str">
        <f>VLOOKUP(Q24,'Categoria 2017'!$B$8:$J$25,9,0)</f>
        <v>III</v>
      </c>
      <c r="S24" s="59"/>
      <c r="T24" s="65">
        <v>1288544</v>
      </c>
      <c r="U24" s="18">
        <f t="shared" si="2"/>
        <v>2.7687049175526741E-2</v>
      </c>
      <c r="V24" s="175">
        <f t="shared" si="10"/>
        <v>612729</v>
      </c>
      <c r="W24" s="175">
        <f t="shared" si="3"/>
        <v>0</v>
      </c>
      <c r="X24" s="176">
        <f t="shared" si="4"/>
        <v>1157520</v>
      </c>
      <c r="Y24" s="177">
        <f t="shared" si="5"/>
        <v>0.65387411601418788</v>
      </c>
    </row>
    <row r="25" spans="1:25" x14ac:dyDescent="0.2">
      <c r="A25" s="79" t="s">
        <v>152</v>
      </c>
      <c r="B25" s="111">
        <f>VLOOKUP($A25,'AFI 2016'!$A$7:$E$25,5,0)</f>
        <v>0</v>
      </c>
      <c r="C25" s="111">
        <v>150000</v>
      </c>
      <c r="D25" s="111"/>
      <c r="E25" s="111"/>
      <c r="F25" s="111">
        <f>VLOOKUP($A$9:$A$26,'Complejidad IES'!$AD$8:$AR$25,14,0)</f>
        <v>0</v>
      </c>
      <c r="G25" s="111">
        <f t="shared" si="6"/>
        <v>150000</v>
      </c>
      <c r="H25" s="119"/>
      <c r="I25" s="119"/>
      <c r="J25" s="119">
        <f t="shared" si="12"/>
        <v>0</v>
      </c>
      <c r="K25" s="117">
        <v>0</v>
      </c>
      <c r="L25" s="118">
        <f t="shared" si="1"/>
        <v>0</v>
      </c>
      <c r="M25" s="120">
        <v>0</v>
      </c>
      <c r="N25" s="181">
        <f t="shared" si="7"/>
        <v>150000</v>
      </c>
      <c r="O25" s="121">
        <f t="shared" si="8"/>
        <v>150000</v>
      </c>
      <c r="P25" s="172">
        <f>O25/$O$27</f>
        <v>2.5939721758785074E-3</v>
      </c>
      <c r="Q25" s="18" t="s">
        <v>152</v>
      </c>
      <c r="R25" s="165" t="str">
        <f>VLOOKUP(Q25,'Categoria 2017'!$B$8:$J$25,9,0)</f>
        <v>III</v>
      </c>
      <c r="S25" s="59"/>
      <c r="T25" s="65"/>
      <c r="U25" s="18">
        <f t="shared" si="2"/>
        <v>0</v>
      </c>
      <c r="V25" s="175">
        <f t="shared" si="10"/>
        <v>0</v>
      </c>
      <c r="W25" s="175">
        <f t="shared" si="3"/>
        <v>0</v>
      </c>
      <c r="X25" s="176">
        <f t="shared" si="4"/>
        <v>150000</v>
      </c>
      <c r="Y25" s="177">
        <f t="shared" si="5"/>
        <v>1</v>
      </c>
    </row>
    <row r="26" spans="1:25" x14ac:dyDescent="0.2">
      <c r="A26" s="79" t="s">
        <v>153</v>
      </c>
      <c r="B26" s="111">
        <f>VLOOKUP($A26,'AFI 2016'!$A$7:$E$25,5,0)</f>
        <v>0</v>
      </c>
      <c r="C26" s="111">
        <v>150000</v>
      </c>
      <c r="D26" s="111"/>
      <c r="E26" s="111"/>
      <c r="F26" s="111">
        <f>VLOOKUP($A$9:$A$26,'Complejidad IES'!$AD$8:$AR$25,14,0)</f>
        <v>0</v>
      </c>
      <c r="G26" s="111">
        <f t="shared" si="6"/>
        <v>150000</v>
      </c>
      <c r="H26" s="119"/>
      <c r="I26" s="119"/>
      <c r="J26" s="119">
        <f t="shared" si="12"/>
        <v>0</v>
      </c>
      <c r="K26" s="117">
        <v>0</v>
      </c>
      <c r="L26" s="118">
        <f t="shared" si="1"/>
        <v>0</v>
      </c>
      <c r="M26" s="120">
        <v>0</v>
      </c>
      <c r="N26" s="181">
        <f t="shared" si="7"/>
        <v>150000</v>
      </c>
      <c r="O26" s="121">
        <f t="shared" si="8"/>
        <v>150000</v>
      </c>
      <c r="P26" s="172">
        <f t="shared" si="9"/>
        <v>2.5939721758785074E-3</v>
      </c>
      <c r="Q26" s="18" t="s">
        <v>153</v>
      </c>
      <c r="R26" s="173" t="str">
        <f>VLOOKUP(Q26,'Categoria 2017'!$B$8:$J$25,9,0)</f>
        <v>III</v>
      </c>
      <c r="S26" s="59"/>
      <c r="T26" s="65"/>
      <c r="U26" s="18">
        <f t="shared" si="2"/>
        <v>0</v>
      </c>
      <c r="V26" s="175">
        <f t="shared" si="10"/>
        <v>0</v>
      </c>
      <c r="W26" s="175">
        <f t="shared" si="3"/>
        <v>0</v>
      </c>
      <c r="X26" s="176">
        <f t="shared" si="4"/>
        <v>150000</v>
      </c>
      <c r="Y26" s="177">
        <f t="shared" si="5"/>
        <v>1</v>
      </c>
    </row>
    <row r="27" spans="1:25" x14ac:dyDescent="0.2">
      <c r="A27" s="80" t="s">
        <v>138</v>
      </c>
      <c r="B27" s="93">
        <f t="shared" ref="B27:H27" si="13">SUM(B9:B26)</f>
        <v>4605643.9700000007</v>
      </c>
      <c r="C27" s="93">
        <f>SUM(C9:C26)</f>
        <v>300000</v>
      </c>
      <c r="D27" s="93">
        <f t="shared" si="13"/>
        <v>400000</v>
      </c>
      <c r="E27" s="93">
        <f t="shared" si="13"/>
        <v>0</v>
      </c>
      <c r="F27" s="93">
        <f>SUM(F9:F26)</f>
        <v>14456593.500000002</v>
      </c>
      <c r="G27" s="93">
        <f t="shared" si="13"/>
        <v>19762237.469999995</v>
      </c>
      <c r="H27" s="123">
        <f t="shared" si="13"/>
        <v>1500000</v>
      </c>
      <c r="I27" s="123">
        <f>SUM(I9:I26)</f>
        <v>6500000</v>
      </c>
      <c r="J27" s="123">
        <f>SUM(J9:J26)</f>
        <v>8000000</v>
      </c>
      <c r="K27" s="122">
        <f>SUM(K9:K26)</f>
        <v>27564136.529999997</v>
      </c>
      <c r="L27" s="118">
        <f>SUM(L9:L26)</f>
        <v>1</v>
      </c>
      <c r="M27" s="124">
        <f t="shared" ref="M27:O27" si="14">SUM(M9:M26)</f>
        <v>2499999</v>
      </c>
      <c r="N27" s="121">
        <f t="shared" si="14"/>
        <v>57826372.999999993</v>
      </c>
      <c r="O27" s="121">
        <f t="shared" si="14"/>
        <v>57826372</v>
      </c>
      <c r="P27" s="97">
        <f>SUM(P9:P26)</f>
        <v>1.0000000000000002</v>
      </c>
      <c r="Q27" s="59"/>
      <c r="R27" s="77"/>
      <c r="S27" s="59"/>
      <c r="T27" s="65">
        <f>SUM(T9:T26)</f>
        <v>46539593</v>
      </c>
      <c r="V27" s="179">
        <f>SUM(V9:V26)</f>
        <v>22130540</v>
      </c>
      <c r="W27" s="179">
        <f>SUM(W9:W26)</f>
        <v>2499999</v>
      </c>
      <c r="X27" s="179">
        <f>SUM(X9:X26)</f>
        <v>33195833</v>
      </c>
      <c r="Y27" s="180">
        <f t="shared" si="5"/>
        <v>0.57406044771406373</v>
      </c>
    </row>
    <row r="28" spans="1:25" x14ac:dyDescent="0.2">
      <c r="A28" s="82"/>
      <c r="B28" s="59"/>
      <c r="C28" s="59"/>
      <c r="D28" s="59"/>
      <c r="E28" s="59"/>
      <c r="F28" s="59"/>
      <c r="G28" s="127">
        <f>G27/A32</f>
        <v>0.34175128238198016</v>
      </c>
      <c r="H28" s="59"/>
      <c r="I28" s="59"/>
      <c r="J28" s="81"/>
      <c r="K28" s="59"/>
      <c r="L28" s="59"/>
      <c r="M28" s="59"/>
      <c r="N28" s="101"/>
      <c r="O28" s="101"/>
      <c r="P28" s="59"/>
      <c r="Q28" s="59"/>
      <c r="R28" s="77"/>
      <c r="S28" s="59"/>
      <c r="T28" s="59"/>
      <c r="V28" s="187"/>
      <c r="W28" s="188"/>
      <c r="X28" s="189">
        <f>+X27+W27+V27</f>
        <v>57826372</v>
      </c>
    </row>
    <row r="29" spans="1:25" x14ac:dyDescent="0.2">
      <c r="A29" s="82"/>
      <c r="B29" s="59"/>
      <c r="C29" s="59"/>
      <c r="D29" s="59"/>
      <c r="E29" s="59"/>
      <c r="F29" s="59"/>
      <c r="G29" s="81"/>
      <c r="H29" s="59"/>
      <c r="I29" s="59"/>
      <c r="J29" s="81"/>
      <c r="K29" s="59"/>
      <c r="L29" s="101"/>
      <c r="M29" s="59"/>
      <c r="N29" s="101"/>
      <c r="O29" s="101"/>
      <c r="P29" s="59"/>
      <c r="Q29" s="59"/>
      <c r="R29" s="77"/>
      <c r="S29" s="59"/>
      <c r="T29" s="59"/>
    </row>
    <row r="30" spans="1:25" ht="20" x14ac:dyDescent="0.25">
      <c r="A30" s="57" t="s">
        <v>137</v>
      </c>
      <c r="B30" s="56"/>
      <c r="C30" s="59"/>
      <c r="D30" s="59"/>
      <c r="E30" s="59"/>
      <c r="F30" s="105"/>
      <c r="G30" s="81"/>
      <c r="H30" s="59"/>
      <c r="I30" s="59"/>
      <c r="J30" s="81"/>
      <c r="K30" s="59"/>
      <c r="L30" s="59"/>
      <c r="M30" s="59"/>
      <c r="N30" s="101"/>
      <c r="O30" s="101"/>
      <c r="P30" s="59"/>
      <c r="Q30" s="59"/>
      <c r="R30" s="77"/>
      <c r="S30" s="59"/>
      <c r="T30" s="59"/>
    </row>
    <row r="31" spans="1:25" x14ac:dyDescent="0.2">
      <c r="A31" s="66" t="s">
        <v>146</v>
      </c>
      <c r="B31" s="55"/>
      <c r="C31" s="59"/>
      <c r="D31" s="59"/>
      <c r="E31" s="59"/>
      <c r="F31" s="158">
        <f>+A32*0.25</f>
        <v>14456593.5</v>
      </c>
      <c r="H31" s="59"/>
      <c r="I31" s="59"/>
      <c r="J31" s="64" t="s">
        <v>141</v>
      </c>
      <c r="K31" s="63"/>
      <c r="L31" s="59"/>
      <c r="M31" s="59"/>
      <c r="N31" s="59"/>
      <c r="O31" s="59"/>
      <c r="P31" s="59"/>
      <c r="Q31" s="59"/>
      <c r="R31" s="77"/>
      <c r="S31" s="59"/>
      <c r="T31" s="59"/>
    </row>
    <row r="32" spans="1:25" x14ac:dyDescent="0.2">
      <c r="A32" s="230">
        <f>35749774+22076600</f>
        <v>57826374</v>
      </c>
      <c r="B32" s="231"/>
      <c r="C32" s="59"/>
      <c r="D32" s="59"/>
      <c r="E32" s="59"/>
      <c r="F32" s="159">
        <f>+F27/A32</f>
        <v>0.25000000000000006</v>
      </c>
      <c r="H32" s="59"/>
      <c r="I32" s="59"/>
      <c r="J32" s="62" t="s">
        <v>143</v>
      </c>
      <c r="K32" s="190">
        <f>+A32-G27-J27-2500000</f>
        <v>27564136.530000001</v>
      </c>
      <c r="L32" s="59"/>
      <c r="M32" s="59"/>
      <c r="N32" s="59"/>
      <c r="O32" s="59"/>
      <c r="P32" s="59"/>
      <c r="Q32" s="59"/>
      <c r="R32" s="77"/>
      <c r="S32" s="59"/>
      <c r="T32" s="59"/>
    </row>
    <row r="33" spans="1:20" ht="16" thickBot="1" x14ac:dyDescent="0.25">
      <c r="A33" s="83"/>
      <c r="B33" s="84"/>
      <c r="C33" s="84"/>
      <c r="D33" s="84"/>
      <c r="E33" s="84"/>
      <c r="F33" s="84"/>
      <c r="G33" s="85"/>
      <c r="H33" s="84"/>
      <c r="I33" s="84"/>
      <c r="J33" s="85"/>
      <c r="K33" s="96">
        <f>K32/A32</f>
        <v>0.47667067158663623</v>
      </c>
      <c r="L33" s="84"/>
      <c r="M33" s="84"/>
      <c r="N33" s="84"/>
      <c r="O33" s="84"/>
      <c r="P33" s="84"/>
      <c r="Q33" s="84"/>
      <c r="R33" s="86"/>
      <c r="S33" s="59"/>
      <c r="T33" s="59"/>
    </row>
    <row r="34" spans="1:20" ht="16" thickTop="1" x14ac:dyDescent="0.2"/>
    <row r="40" spans="1:20" x14ac:dyDescent="0.2">
      <c r="Q40" s="59"/>
    </row>
    <row r="41" spans="1:20" x14ac:dyDescent="0.2">
      <c r="Q41" s="59"/>
    </row>
    <row r="42" spans="1:20" x14ac:dyDescent="0.2">
      <c r="Q42" s="59"/>
    </row>
  </sheetData>
  <mergeCells count="6">
    <mergeCell ref="A1:AB1"/>
    <mergeCell ref="A32:B32"/>
    <mergeCell ref="B7:G7"/>
    <mergeCell ref="K7:L7"/>
    <mergeCell ref="N7:P7"/>
    <mergeCell ref="H7:J7"/>
  </mergeCells>
  <phoneticPr fontId="34" type="noConversion"/>
  <pageMargins left="0.12000000000000001" right="0.12000000000000001" top="0.10236111111111111" bottom="0.16" header="0.31" footer="0.31"/>
  <pageSetup paperSize="14" scale="67" pageOrder="overThenDown" orientation="landscape" verticalDpi="0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A1:E27"/>
  <sheetViews>
    <sheetView zoomScaleSheetLayoutView="100" workbookViewId="0">
      <selection activeCell="J13" sqref="J13"/>
    </sheetView>
  </sheetViews>
  <sheetFormatPr baseColWidth="10" defaultRowHeight="15" x14ac:dyDescent="0.2"/>
  <cols>
    <col min="1" max="1" width="7.33203125" customWidth="1"/>
    <col min="2" max="2" width="24.6640625" customWidth="1"/>
    <col min="3" max="3" width="10.5" customWidth="1"/>
    <col min="4" max="5" width="10.33203125" style="16" customWidth="1"/>
  </cols>
  <sheetData>
    <row r="1" spans="1:5" s="16" customFormat="1" ht="20" x14ac:dyDescent="0.25">
      <c r="A1" s="243" t="s">
        <v>216</v>
      </c>
      <c r="B1" s="243"/>
      <c r="C1" s="243"/>
      <c r="D1" s="243"/>
      <c r="E1" s="243"/>
    </row>
    <row r="2" spans="1:5" s="16" customFormat="1" ht="23.25" customHeight="1" x14ac:dyDescent="0.2">
      <c r="A2" s="244">
        <v>42985</v>
      </c>
      <c r="B2" s="244"/>
      <c r="C2" s="244"/>
      <c r="D2" s="244"/>
      <c r="E2" s="244"/>
    </row>
    <row r="3" spans="1:5" s="16" customFormat="1" ht="23.25" customHeight="1" x14ac:dyDescent="0.2">
      <c r="A3" s="99"/>
      <c r="B3" s="99"/>
      <c r="C3" s="99"/>
    </row>
    <row r="4" spans="1:5" s="16" customFormat="1" ht="15" customHeight="1" x14ac:dyDescent="0.2">
      <c r="A4" s="160">
        <v>1</v>
      </c>
      <c r="B4" s="160">
        <v>2</v>
      </c>
      <c r="C4" s="160">
        <v>3</v>
      </c>
      <c r="D4" s="160">
        <v>4</v>
      </c>
      <c r="E4" s="160">
        <v>5</v>
      </c>
    </row>
    <row r="5" spans="1:5" s="16" customFormat="1" ht="28" x14ac:dyDescent="0.2">
      <c r="A5"/>
      <c r="B5" s="60"/>
      <c r="C5" s="60"/>
      <c r="D5" s="161" t="s">
        <v>142</v>
      </c>
      <c r="E5" s="184">
        <v>0.03</v>
      </c>
    </row>
    <row r="6" spans="1:5" s="16" customFormat="1" ht="48.75" customHeight="1" x14ac:dyDescent="0.2">
      <c r="A6"/>
      <c r="B6" s="162" t="s">
        <v>139</v>
      </c>
      <c r="C6" s="163" t="s">
        <v>149</v>
      </c>
      <c r="D6" s="164" t="s">
        <v>140</v>
      </c>
      <c r="E6" s="186" t="s">
        <v>228</v>
      </c>
    </row>
    <row r="7" spans="1:5" s="16" customFormat="1" ht="15" customHeight="1" x14ac:dyDescent="0.2">
      <c r="A7" s="88" t="s">
        <v>40</v>
      </c>
      <c r="B7" s="87" t="s">
        <v>168</v>
      </c>
      <c r="C7" s="95" t="str">
        <f>VLOOKUP(A7,'Categoria 2017'!$B$8:$J$23,9,0)</f>
        <v>I</v>
      </c>
      <c r="D7" s="58">
        <v>2533255</v>
      </c>
      <c r="E7" s="58">
        <f>D7*1.03</f>
        <v>2609252.65</v>
      </c>
    </row>
    <row r="8" spans="1:5" x14ac:dyDescent="0.2">
      <c r="A8" s="89" t="s">
        <v>37</v>
      </c>
      <c r="B8" s="54" t="s">
        <v>93</v>
      </c>
      <c r="C8" s="67" t="str">
        <f>VLOOKUP(A8,'Categoria 2017'!$B$8:$J$23,9,0)</f>
        <v>I</v>
      </c>
      <c r="D8" s="58">
        <v>654779</v>
      </c>
      <c r="E8" s="58">
        <f t="shared" ref="E8:E22" si="0">D8*1.03</f>
        <v>674422.37</v>
      </c>
    </row>
    <row r="9" spans="1:5" x14ac:dyDescent="0.2">
      <c r="A9" s="89" t="s">
        <v>41</v>
      </c>
      <c r="B9" s="54" t="s">
        <v>92</v>
      </c>
      <c r="C9" s="67" t="str">
        <f>VLOOKUP(A9,'Categoria 2017'!$B$8:$J$23,9,0)</f>
        <v>II</v>
      </c>
      <c r="D9" s="58">
        <v>224727</v>
      </c>
      <c r="E9" s="58">
        <f t="shared" si="0"/>
        <v>231468.81</v>
      </c>
    </row>
    <row r="10" spans="1:5" x14ac:dyDescent="0.2">
      <c r="A10" s="89" t="s">
        <v>43</v>
      </c>
      <c r="B10" s="54" t="s">
        <v>91</v>
      </c>
      <c r="C10" s="67" t="str">
        <f>VLOOKUP(A10,'Categoria 2017'!$B$8:$J$23,9,0)</f>
        <v>II</v>
      </c>
      <c r="D10" s="58">
        <v>227255</v>
      </c>
      <c r="E10" s="58">
        <f t="shared" si="0"/>
        <v>234072.65</v>
      </c>
    </row>
    <row r="11" spans="1:5" x14ac:dyDescent="0.2">
      <c r="A11" s="89" t="s">
        <v>45</v>
      </c>
      <c r="B11" s="54" t="s">
        <v>90</v>
      </c>
      <c r="C11" s="67" t="str">
        <f>VLOOKUP(A11,'Categoria 2017'!$B$8:$J$23,9,0)</f>
        <v>II</v>
      </c>
      <c r="D11" s="58">
        <v>25944</v>
      </c>
      <c r="E11" s="58">
        <f t="shared" si="0"/>
        <v>26722.32</v>
      </c>
    </row>
    <row r="12" spans="1:5" x14ac:dyDescent="0.2">
      <c r="A12" s="89" t="s">
        <v>38</v>
      </c>
      <c r="B12" s="54" t="s">
        <v>89</v>
      </c>
      <c r="C12" s="67" t="str">
        <f>VLOOKUP(A12,'Categoria 2017'!$B$8:$J$23,9,0)</f>
        <v>II</v>
      </c>
      <c r="D12" s="58">
        <v>99466</v>
      </c>
      <c r="E12" s="58">
        <f t="shared" si="0"/>
        <v>102449.98</v>
      </c>
    </row>
    <row r="13" spans="1:5" x14ac:dyDescent="0.2">
      <c r="A13" s="89" t="s">
        <v>39</v>
      </c>
      <c r="B13" s="54" t="s">
        <v>88</v>
      </c>
      <c r="C13" s="67" t="str">
        <f>VLOOKUP(A13,'Categoria 2017'!$B$8:$J$23,9,0)</f>
        <v>II</v>
      </c>
      <c r="D13" s="58">
        <v>281374</v>
      </c>
      <c r="E13" s="58">
        <f t="shared" si="0"/>
        <v>289815.22000000003</v>
      </c>
    </row>
    <row r="14" spans="1:5" x14ac:dyDescent="0.2">
      <c r="A14" s="89" t="s">
        <v>46</v>
      </c>
      <c r="B14" s="54" t="s">
        <v>86</v>
      </c>
      <c r="C14" s="67" t="str">
        <f>VLOOKUP(A14,'Categoria 2017'!$B$8:$J$23,9,0)</f>
        <v>II</v>
      </c>
      <c r="D14" s="58">
        <v>108535</v>
      </c>
      <c r="E14" s="58">
        <f t="shared" si="0"/>
        <v>111791.05</v>
      </c>
    </row>
    <row r="15" spans="1:5" x14ac:dyDescent="0.2">
      <c r="A15" s="89" t="s">
        <v>51</v>
      </c>
      <c r="B15" s="54" t="s">
        <v>87</v>
      </c>
      <c r="C15" s="67" t="str">
        <f>VLOOKUP(A15,'Categoria 2017'!$B$8:$J$23,9,0)</f>
        <v>II</v>
      </c>
      <c r="D15" s="58">
        <v>64006</v>
      </c>
      <c r="E15" s="58">
        <f t="shared" si="0"/>
        <v>65926.180000000008</v>
      </c>
    </row>
    <row r="16" spans="1:5" x14ac:dyDescent="0.2">
      <c r="A16" s="89" t="s">
        <v>44</v>
      </c>
      <c r="B16" s="54" t="s">
        <v>84</v>
      </c>
      <c r="C16" s="67" t="str">
        <f>VLOOKUP(A16,'Categoria 2017'!$B$8:$J$23,9,0)</f>
        <v>II</v>
      </c>
      <c r="D16" s="58">
        <v>24829</v>
      </c>
      <c r="E16" s="58">
        <f t="shared" si="0"/>
        <v>25573.87</v>
      </c>
    </row>
    <row r="17" spans="1:5" x14ac:dyDescent="0.2">
      <c r="A17" s="89" t="s">
        <v>47</v>
      </c>
      <c r="B17" s="54" t="s">
        <v>83</v>
      </c>
      <c r="C17" s="67" t="str">
        <f>VLOOKUP(A17,'Categoria 2017'!$B$8:$J$23,9,0)</f>
        <v>III</v>
      </c>
      <c r="D17" s="58">
        <v>9441</v>
      </c>
      <c r="E17" s="58">
        <f t="shared" si="0"/>
        <v>9724.23</v>
      </c>
    </row>
    <row r="18" spans="1:5" x14ac:dyDescent="0.2">
      <c r="A18" s="89" t="s">
        <v>42</v>
      </c>
      <c r="B18" s="54" t="s">
        <v>169</v>
      </c>
      <c r="C18" s="67" t="str">
        <f>VLOOKUP(A18,'Categoria 2017'!$B$8:$J$23,9,0)</f>
        <v>III</v>
      </c>
      <c r="D18" s="58">
        <v>52483</v>
      </c>
      <c r="E18" s="58">
        <f t="shared" si="0"/>
        <v>54057.49</v>
      </c>
    </row>
    <row r="19" spans="1:5" x14ac:dyDescent="0.2">
      <c r="A19" s="89" t="s">
        <v>49</v>
      </c>
      <c r="B19" s="54" t="s">
        <v>81</v>
      </c>
      <c r="C19" s="67" t="str">
        <f>VLOOKUP(A19,'Categoria 2017'!$B$8:$J$23,9,0)</f>
        <v>III</v>
      </c>
      <c r="D19" s="58">
        <v>15240</v>
      </c>
      <c r="E19" s="58">
        <f t="shared" si="0"/>
        <v>15697.2</v>
      </c>
    </row>
    <row r="20" spans="1:5" x14ac:dyDescent="0.2">
      <c r="A20" s="89" t="s">
        <v>52</v>
      </c>
      <c r="B20" s="54" t="s">
        <v>82</v>
      </c>
      <c r="C20" s="67" t="str">
        <f>VLOOKUP(A20,'Categoria 2017'!$B$8:$J$23,9,0)</f>
        <v>III</v>
      </c>
      <c r="D20" s="58">
        <v>26019</v>
      </c>
      <c r="E20" s="58">
        <f t="shared" si="0"/>
        <v>26799.57</v>
      </c>
    </row>
    <row r="21" spans="1:5" x14ac:dyDescent="0.2">
      <c r="A21" s="89" t="s">
        <v>48</v>
      </c>
      <c r="B21" s="54" t="s">
        <v>85</v>
      </c>
      <c r="C21" s="67" t="str">
        <f>VLOOKUP(A21,'Categoria 2017'!$B$8:$J$23,9,0)</f>
        <v>III</v>
      </c>
      <c r="D21" s="58">
        <v>102885</v>
      </c>
      <c r="E21" s="58">
        <f t="shared" si="0"/>
        <v>105971.55</v>
      </c>
    </row>
    <row r="22" spans="1:5" x14ac:dyDescent="0.2">
      <c r="A22" s="89" t="s">
        <v>50</v>
      </c>
      <c r="B22" s="54" t="s">
        <v>80</v>
      </c>
      <c r="C22" s="67" t="str">
        <f>VLOOKUP(A22,'Categoria 2017'!$B$8:$J$23,9,0)</f>
        <v>III</v>
      </c>
      <c r="D22" s="58">
        <v>21261</v>
      </c>
      <c r="E22" s="58">
        <f t="shared" si="0"/>
        <v>21898.83</v>
      </c>
    </row>
    <row r="23" spans="1:5" x14ac:dyDescent="0.2">
      <c r="A23" s="89" t="s">
        <v>152</v>
      </c>
      <c r="B23" s="54" t="s">
        <v>151</v>
      </c>
      <c r="C23" s="67" t="str">
        <f>VLOOKUP(A23,'Categoria 2017'!$B$8:$J$25,9,0)</f>
        <v>III</v>
      </c>
      <c r="D23" s="58"/>
      <c r="E23" s="58">
        <f t="shared" ref="E23:E24" si="1">D23*1.032</f>
        <v>0</v>
      </c>
    </row>
    <row r="24" spans="1:5" x14ac:dyDescent="0.2">
      <c r="A24" s="91" t="s">
        <v>153</v>
      </c>
      <c r="B24" s="90" t="s">
        <v>170</v>
      </c>
      <c r="C24" s="92" t="str">
        <f>VLOOKUP(A24,'Categoria 2017'!$B$8:$J$25,9,0)</f>
        <v>III</v>
      </c>
      <c r="D24" s="58"/>
      <c r="E24" s="58">
        <f t="shared" si="1"/>
        <v>0</v>
      </c>
    </row>
    <row r="25" spans="1:5" x14ac:dyDescent="0.2">
      <c r="A25" s="16"/>
      <c r="B25" s="16"/>
      <c r="C25" s="16"/>
      <c r="D25" s="65">
        <f>SUM(D7:D24)</f>
        <v>4471499</v>
      </c>
      <c r="E25" s="65">
        <f>SUM(E7:E24)</f>
        <v>4605643.9700000007</v>
      </c>
    </row>
    <row r="26" spans="1:5" x14ac:dyDescent="0.2">
      <c r="A26" s="16"/>
      <c r="B26" s="16"/>
      <c r="C26" s="16"/>
      <c r="E26" s="185">
        <f>E25/D25</f>
        <v>1.0300000000000002</v>
      </c>
    </row>
    <row r="27" spans="1:5" x14ac:dyDescent="0.2">
      <c r="A27" s="16"/>
      <c r="B27" s="16"/>
      <c r="C27" s="16"/>
    </row>
  </sheetData>
  <mergeCells count="2">
    <mergeCell ref="A1:E1"/>
    <mergeCell ref="A2:E2"/>
  </mergeCells>
  <pageMargins left="0.11811023622047245" right="0.11811023622047245" top="0.55118110236220474" bottom="0.15748031496062992" header="0.31496062992125984" footer="0.31496062992125984"/>
  <pageSetup paperSize="14" scale="67" pageOrder="overThenDown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1:AS33"/>
  <sheetViews>
    <sheetView zoomScaleSheetLayoutView="90" workbookViewId="0">
      <selection activeCell="B6" sqref="B6"/>
    </sheetView>
  </sheetViews>
  <sheetFormatPr baseColWidth="10" defaultRowHeight="14" x14ac:dyDescent="0.2"/>
  <cols>
    <col min="1" max="1" width="29.1640625" style="16" bestFit="1" customWidth="1"/>
    <col min="2" max="2" width="4.6640625" style="16" bestFit="1" customWidth="1"/>
    <col min="3" max="4" width="9.33203125" style="16" customWidth="1"/>
    <col min="5" max="5" width="0.83203125" style="59" customWidth="1"/>
    <col min="6" max="9" width="9.33203125" style="16" customWidth="1"/>
    <col min="10" max="12" width="6.83203125" style="16" customWidth="1"/>
    <col min="13" max="13" width="7.83203125" style="16" bestFit="1" customWidth="1"/>
    <col min="14" max="14" width="6.83203125" style="16" customWidth="1"/>
    <col min="15" max="15" width="0.83203125" style="16" customWidth="1"/>
    <col min="16" max="16" width="7" style="16" customWidth="1"/>
    <col min="17" max="20" width="6.5" style="16" customWidth="1"/>
    <col min="21" max="21" width="0.83203125" style="16" customWidth="1"/>
    <col min="22" max="22" width="9.5" style="16" customWidth="1"/>
    <col min="23" max="23" width="7.83203125" style="16" customWidth="1"/>
    <col min="24" max="24" width="10.6640625" style="16" bestFit="1" customWidth="1"/>
    <col min="25" max="25" width="10.83203125" style="16"/>
    <col min="26" max="26" width="0.83203125" style="16" customWidth="1"/>
    <col min="27" max="27" width="9.33203125" style="16" customWidth="1"/>
    <col min="28" max="28" width="6.5" style="16" customWidth="1"/>
    <col min="29" max="29" width="0.83203125" style="16" customWidth="1"/>
    <col min="30" max="30" width="7" style="16" customWidth="1"/>
    <col min="31" max="31" width="13.1640625" style="16" customWidth="1"/>
    <col min="32" max="34" width="11.6640625" style="16" customWidth="1"/>
    <col min="35" max="36" width="10.83203125" style="16"/>
    <col min="37" max="42" width="11.5" style="16" bestFit="1" customWidth="1"/>
    <col min="43" max="44" width="12.33203125" style="16" bestFit="1" customWidth="1"/>
    <col min="45" max="45" width="4.6640625" style="16" bestFit="1" customWidth="1"/>
    <col min="46" max="16384" width="10.83203125" style="16"/>
  </cols>
  <sheetData>
    <row r="1" spans="1:45" ht="16" x14ac:dyDescent="0.2">
      <c r="A1" s="32" t="s">
        <v>212</v>
      </c>
    </row>
    <row r="2" spans="1:45" ht="16" x14ac:dyDescent="0.2">
      <c r="A2" s="31" t="s">
        <v>94</v>
      </c>
    </row>
    <row r="3" spans="1:45" x14ac:dyDescent="0.2">
      <c r="A3" s="16" t="s">
        <v>213</v>
      </c>
      <c r="AE3" s="157">
        <f>+'CM_Calculo 2017'!F31</f>
        <v>14456593.5</v>
      </c>
    </row>
    <row r="4" spans="1:45" ht="39" customHeight="1" x14ac:dyDescent="0.2">
      <c r="AD4" s="247" t="s">
        <v>193</v>
      </c>
      <c r="AE4" s="247"/>
      <c r="AF4" s="247"/>
      <c r="AG4" s="247"/>
      <c r="AH4" s="247"/>
      <c r="AI4" s="247"/>
      <c r="AJ4" s="247"/>
      <c r="AK4" s="139"/>
      <c r="AL4" s="139"/>
      <c r="AM4" s="139"/>
      <c r="AN4" s="139"/>
      <c r="AO4" s="139"/>
      <c r="AP4" s="139"/>
      <c r="AQ4" s="139"/>
      <c r="AR4" s="139"/>
    </row>
    <row r="5" spans="1:45" ht="15" thickBot="1" x14ac:dyDescent="0.25">
      <c r="B5" s="104"/>
      <c r="C5" s="104"/>
      <c r="D5" s="104"/>
      <c r="E5" s="134"/>
      <c r="F5" s="104"/>
      <c r="G5" s="104"/>
      <c r="H5" s="104"/>
      <c r="I5" s="104"/>
      <c r="J5" s="104"/>
      <c r="K5" s="104"/>
      <c r="L5" s="104"/>
      <c r="M5" s="104"/>
      <c r="N5" s="104"/>
      <c r="V5" s="104"/>
      <c r="W5" s="104"/>
      <c r="X5" s="104"/>
      <c r="Y5" s="104"/>
      <c r="Z5" s="104"/>
      <c r="AA5" s="104"/>
      <c r="AD5" s="104">
        <v>1</v>
      </c>
      <c r="AE5" s="104">
        <v>2</v>
      </c>
      <c r="AF5" s="104">
        <v>3</v>
      </c>
      <c r="AG5" s="104">
        <v>4</v>
      </c>
      <c r="AH5" s="104">
        <v>5</v>
      </c>
      <c r="AI5" s="104">
        <v>6</v>
      </c>
      <c r="AJ5" s="104">
        <v>7</v>
      </c>
      <c r="AK5" s="104">
        <v>8</v>
      </c>
      <c r="AL5" s="104">
        <v>9</v>
      </c>
      <c r="AM5" s="104">
        <v>10</v>
      </c>
      <c r="AN5" s="104">
        <v>11</v>
      </c>
      <c r="AO5" s="104">
        <v>12</v>
      </c>
      <c r="AP5" s="104">
        <v>13</v>
      </c>
      <c r="AQ5" s="104">
        <v>14</v>
      </c>
      <c r="AR5" s="104">
        <v>15</v>
      </c>
    </row>
    <row r="6" spans="1:45" ht="24.75" customHeight="1" thickBot="1" x14ac:dyDescent="0.25">
      <c r="C6" s="140">
        <v>42735</v>
      </c>
      <c r="D6" s="135"/>
      <c r="E6" s="135"/>
      <c r="F6" s="250" t="s">
        <v>207</v>
      </c>
      <c r="G6" s="251"/>
      <c r="H6" s="251"/>
      <c r="I6" s="252"/>
      <c r="J6" s="126"/>
      <c r="K6" s="126"/>
      <c r="L6" s="126"/>
      <c r="M6" s="126"/>
      <c r="N6" s="126"/>
      <c r="Q6" s="253" t="s">
        <v>214</v>
      </c>
      <c r="R6" s="253"/>
      <c r="V6" s="249" t="s">
        <v>211</v>
      </c>
      <c r="W6" s="249"/>
      <c r="X6" s="249"/>
      <c r="Y6" s="249"/>
      <c r="Z6" s="155"/>
      <c r="AA6" s="156" t="s">
        <v>215</v>
      </c>
      <c r="AE6" s="245" t="s">
        <v>184</v>
      </c>
      <c r="AF6" s="248"/>
      <c r="AG6" s="248"/>
      <c r="AH6" s="246"/>
      <c r="AI6" s="245" t="s">
        <v>195</v>
      </c>
      <c r="AJ6" s="246"/>
    </row>
    <row r="7" spans="1:45" s="30" customFormat="1" ht="84" x14ac:dyDescent="0.2">
      <c r="A7" s="36"/>
      <c r="B7" s="36"/>
      <c r="C7" s="8" t="s">
        <v>115</v>
      </c>
      <c r="D7" s="149" t="s">
        <v>187</v>
      </c>
      <c r="E7" s="136"/>
      <c r="F7" s="23" t="s">
        <v>184</v>
      </c>
      <c r="G7" s="23" t="s">
        <v>186</v>
      </c>
      <c r="H7" s="23" t="s">
        <v>183</v>
      </c>
      <c r="I7" s="23" t="s">
        <v>185</v>
      </c>
      <c r="J7" s="142" t="str">
        <f>+F7</f>
        <v>Investigación</v>
      </c>
      <c r="K7" s="142" t="str">
        <f>+H7</f>
        <v>5 áreas</v>
      </c>
      <c r="L7" s="142" t="s">
        <v>188</v>
      </c>
      <c r="M7" s="143" t="s">
        <v>206</v>
      </c>
      <c r="N7" s="149" t="s">
        <v>187</v>
      </c>
      <c r="Q7" s="151" t="s">
        <v>190</v>
      </c>
      <c r="R7" s="151" t="s">
        <v>210</v>
      </c>
      <c r="S7" s="152" t="s">
        <v>208</v>
      </c>
      <c r="T7" s="152" t="s">
        <v>209</v>
      </c>
      <c r="V7" s="24" t="s">
        <v>79</v>
      </c>
      <c r="W7" s="23" t="s">
        <v>78</v>
      </c>
      <c r="X7" s="23" t="s">
        <v>113</v>
      </c>
      <c r="Y7" s="103" t="s">
        <v>187</v>
      </c>
      <c r="AA7" s="8" t="s">
        <v>181</v>
      </c>
      <c r="AB7" s="149" t="s">
        <v>187</v>
      </c>
      <c r="AD7" s="128"/>
      <c r="AE7" s="132" t="s">
        <v>194</v>
      </c>
      <c r="AF7" s="132" t="s">
        <v>196</v>
      </c>
      <c r="AG7" s="132" t="s">
        <v>192</v>
      </c>
      <c r="AH7" s="132" t="s">
        <v>203</v>
      </c>
      <c r="AI7" s="132" t="s">
        <v>191</v>
      </c>
      <c r="AJ7" s="132" t="s">
        <v>197</v>
      </c>
      <c r="AK7" s="128" t="s">
        <v>198</v>
      </c>
      <c r="AL7" s="128" t="s">
        <v>189</v>
      </c>
      <c r="AM7" s="128" t="s">
        <v>199</v>
      </c>
      <c r="AN7" s="128" t="s">
        <v>204</v>
      </c>
      <c r="AO7" s="128" t="s">
        <v>201</v>
      </c>
      <c r="AP7" s="128" t="s">
        <v>200</v>
      </c>
      <c r="AQ7" s="128" t="s">
        <v>202</v>
      </c>
      <c r="AR7" s="171" t="s">
        <v>205</v>
      </c>
    </row>
    <row r="8" spans="1:45" ht="15" customHeight="1" x14ac:dyDescent="0.2">
      <c r="A8" s="27" t="s">
        <v>12</v>
      </c>
      <c r="B8" s="27" t="s">
        <v>40</v>
      </c>
      <c r="C8" s="37">
        <v>2369</v>
      </c>
      <c r="D8" s="146">
        <f>C8/$C$26</f>
        <v>0.4783925686591276</v>
      </c>
      <c r="E8" s="137"/>
      <c r="F8" s="37">
        <v>1</v>
      </c>
      <c r="G8" s="37">
        <v>5</v>
      </c>
      <c r="H8" s="37">
        <v>1</v>
      </c>
      <c r="I8" s="37">
        <v>7</v>
      </c>
      <c r="J8" s="109">
        <f t="shared" ref="J8:J23" si="0">F8*100</f>
        <v>100</v>
      </c>
      <c r="K8" s="109">
        <f t="shared" ref="K8:K23" si="1">H8*100</f>
        <v>100</v>
      </c>
      <c r="L8" s="109">
        <f t="shared" ref="L8:L23" si="2">I8*100/7</f>
        <v>100</v>
      </c>
      <c r="M8" s="109">
        <f t="shared" ref="M8:M25" si="3">SUM(J8:L8)</f>
        <v>300</v>
      </c>
      <c r="N8" s="146">
        <f>M8/$M$26</f>
        <v>0.12280701754385964</v>
      </c>
      <c r="P8" s="154" t="s">
        <v>40</v>
      </c>
      <c r="Q8" s="18">
        <v>1523</v>
      </c>
      <c r="R8" s="18">
        <v>988</v>
      </c>
      <c r="S8" s="153">
        <f>Q8/$Q$26</f>
        <v>0.24236155315085933</v>
      </c>
      <c r="T8" s="153">
        <f>R8/$R$26</f>
        <v>0.33789329685362518</v>
      </c>
      <c r="V8" s="27">
        <v>31</v>
      </c>
      <c r="W8" s="27">
        <v>3</v>
      </c>
      <c r="X8" s="26">
        <v>34</v>
      </c>
      <c r="Y8" s="147">
        <f>X8/$X$26</f>
        <v>0.46575342465753422</v>
      </c>
      <c r="Z8" s="30"/>
      <c r="AA8" s="37">
        <v>27493</v>
      </c>
      <c r="AB8" s="146">
        <f>AA8/$AA$26</f>
        <v>0.1699448620314509</v>
      </c>
      <c r="AD8" s="130" t="str">
        <f t="shared" ref="AD8:AD25" si="4">+B8</f>
        <v>UCH</v>
      </c>
      <c r="AE8" s="129">
        <f t="shared" ref="AE8:AE25" si="5">+C8/$C$26</f>
        <v>0.4783925686591276</v>
      </c>
      <c r="AF8" s="129">
        <f t="shared" ref="AF8:AF25" si="6">M8/$M$26</f>
        <v>0.12280701754385964</v>
      </c>
      <c r="AG8" s="129">
        <f t="shared" ref="AG8:AG25" si="7">+R8/$R$26</f>
        <v>0.33789329685362518</v>
      </c>
      <c r="AH8" s="129">
        <f t="shared" ref="AH8:AH25" si="8">X8/$X$26</f>
        <v>0.46575342465753422</v>
      </c>
      <c r="AI8" s="129">
        <f t="shared" ref="AI8:AI25" si="9">+Q8/$Q$26</f>
        <v>0.24236155315085933</v>
      </c>
      <c r="AJ8" s="129">
        <f t="shared" ref="AJ8:AJ25" si="10">+AA8/$AA$26</f>
        <v>0.1699448620314509</v>
      </c>
      <c r="AK8" s="58">
        <f t="shared" ref="AK8:AK25" si="11">AE8*$AE$3/6</f>
        <v>1152654.4830876414</v>
      </c>
      <c r="AL8" s="58">
        <f t="shared" ref="AL8:AL25" si="12">AF8*$AE$3/6</f>
        <v>295895.18859649118</v>
      </c>
      <c r="AM8" s="58">
        <f t="shared" ref="AM8:AM25" si="13">AG8*$AE$3/6</f>
        <v>814131.00649794796</v>
      </c>
      <c r="AN8" s="58">
        <f t="shared" ref="AN8:AN25" si="14">AH8*$AE$3/6</f>
        <v>1122201.3219178081</v>
      </c>
      <c r="AO8" s="58">
        <f t="shared" ref="AO8:AO25" si="15">AI8*$AE$3/6</f>
        <v>583953.74232176959</v>
      </c>
      <c r="AP8" s="58">
        <f t="shared" ref="AP8:AP25" si="16">AJ8*$AE$3/6</f>
        <v>409470.6313003783</v>
      </c>
      <c r="AQ8" s="133">
        <f t="shared" ref="AQ8:AQ25" si="17">SUM(AK8:AP8)</f>
        <v>4378306.3737220364</v>
      </c>
      <c r="AR8" s="58">
        <f>ROUND(AQ8,0)</f>
        <v>4378306</v>
      </c>
      <c r="AS8" s="16" t="str">
        <f t="shared" ref="AS8:AS25" si="18">+AD8</f>
        <v>UCH</v>
      </c>
    </row>
    <row r="9" spans="1:45" x14ac:dyDescent="0.2">
      <c r="A9" s="27" t="s">
        <v>24</v>
      </c>
      <c r="B9" s="27" t="s">
        <v>37</v>
      </c>
      <c r="C9" s="37">
        <v>475</v>
      </c>
      <c r="D9" s="146">
        <f t="shared" ref="D9:D25" si="19">C9/$C$26</f>
        <v>9.5920840064620358E-2</v>
      </c>
      <c r="E9" s="137"/>
      <c r="F9" s="37">
        <v>1</v>
      </c>
      <c r="G9" s="37">
        <v>5</v>
      </c>
      <c r="H9" s="37">
        <v>1</v>
      </c>
      <c r="I9" s="37">
        <v>6</v>
      </c>
      <c r="J9" s="109">
        <f t="shared" si="0"/>
        <v>100</v>
      </c>
      <c r="K9" s="109">
        <f t="shared" si="1"/>
        <v>100</v>
      </c>
      <c r="L9" s="109">
        <f t="shared" si="2"/>
        <v>85.714285714285708</v>
      </c>
      <c r="M9" s="109">
        <f t="shared" si="3"/>
        <v>285.71428571428572</v>
      </c>
      <c r="N9" s="146">
        <f t="shared" ref="N9:N25" si="20">M9/$M$26</f>
        <v>0.11695906432748537</v>
      </c>
      <c r="P9" s="154" t="s">
        <v>37</v>
      </c>
      <c r="Q9" s="18">
        <v>605</v>
      </c>
      <c r="R9" s="18">
        <v>387</v>
      </c>
      <c r="S9" s="153">
        <f t="shared" ref="S9:S25" si="21">Q9/$Q$26</f>
        <v>9.6276257161043918E-2</v>
      </c>
      <c r="T9" s="153">
        <f t="shared" ref="T9:T25" si="22">R9/$R$26</f>
        <v>0.13235294117647059</v>
      </c>
      <c r="V9" s="27">
        <v>11</v>
      </c>
      <c r="W9" s="27">
        <v>1</v>
      </c>
      <c r="X9" s="26">
        <v>12</v>
      </c>
      <c r="Y9" s="147">
        <f t="shared" ref="Y9:Y25" si="23">X9/$X$26</f>
        <v>0.16438356164383561</v>
      </c>
      <c r="AA9" s="37">
        <v>18693</v>
      </c>
      <c r="AB9" s="146">
        <f t="shared" ref="AB9:AB25" si="24">AA9/$AA$26</f>
        <v>0.11554865987538325</v>
      </c>
      <c r="AD9" s="130" t="str">
        <f t="shared" si="4"/>
        <v>USA</v>
      </c>
      <c r="AE9" s="129">
        <f t="shared" si="5"/>
        <v>9.5920840064620358E-2</v>
      </c>
      <c r="AF9" s="129">
        <f t="shared" si="6"/>
        <v>0.11695906432748537</v>
      </c>
      <c r="AG9" s="129">
        <f t="shared" si="7"/>
        <v>0.13235294117647059</v>
      </c>
      <c r="AH9" s="129">
        <f t="shared" si="8"/>
        <v>0.16438356164383561</v>
      </c>
      <c r="AI9" s="129">
        <f t="shared" si="9"/>
        <v>9.6276257161043918E-2</v>
      </c>
      <c r="AJ9" s="129">
        <f t="shared" si="10"/>
        <v>0.11554865987538325</v>
      </c>
      <c r="AK9" s="58">
        <f t="shared" si="11"/>
        <v>231114.76549878836</v>
      </c>
      <c r="AL9" s="58">
        <f t="shared" si="12"/>
        <v>281804.94152046781</v>
      </c>
      <c r="AM9" s="58">
        <f t="shared" si="13"/>
        <v>318895.44485294115</v>
      </c>
      <c r="AN9" s="58">
        <f t="shared" si="14"/>
        <v>396071.05479452055</v>
      </c>
      <c r="AO9" s="58">
        <f t="shared" si="15"/>
        <v>231971.11891311267</v>
      </c>
      <c r="AP9" s="58">
        <f t="shared" si="16"/>
        <v>278406.66754802939</v>
      </c>
      <c r="AQ9" s="133">
        <f t="shared" si="17"/>
        <v>1738263.9931278601</v>
      </c>
      <c r="AR9" s="58">
        <f t="shared" ref="AR9:AR25" si="25">ROUND(AQ9,0)</f>
        <v>1738264</v>
      </c>
      <c r="AS9" s="16" t="str">
        <f t="shared" si="18"/>
        <v>USA</v>
      </c>
    </row>
    <row r="10" spans="1:45" ht="15" customHeight="1" x14ac:dyDescent="0.2">
      <c r="A10" s="27" t="s">
        <v>14</v>
      </c>
      <c r="B10" s="27" t="s">
        <v>43</v>
      </c>
      <c r="C10" s="37">
        <v>408</v>
      </c>
      <c r="D10" s="146">
        <f t="shared" si="19"/>
        <v>8.2390953150242321E-2</v>
      </c>
      <c r="E10" s="137"/>
      <c r="F10" s="37">
        <v>1</v>
      </c>
      <c r="G10" s="37">
        <v>5</v>
      </c>
      <c r="H10" s="37">
        <v>1</v>
      </c>
      <c r="I10" s="37">
        <v>5</v>
      </c>
      <c r="J10" s="109">
        <f t="shared" si="0"/>
        <v>100</v>
      </c>
      <c r="K10" s="109">
        <f t="shared" si="1"/>
        <v>100</v>
      </c>
      <c r="L10" s="109">
        <f t="shared" si="2"/>
        <v>71.428571428571431</v>
      </c>
      <c r="M10" s="109">
        <f t="shared" si="3"/>
        <v>271.42857142857144</v>
      </c>
      <c r="N10" s="146">
        <f t="shared" si="20"/>
        <v>0.1111111111111111</v>
      </c>
      <c r="P10" s="154" t="s">
        <v>43</v>
      </c>
      <c r="Q10" s="18">
        <v>288</v>
      </c>
      <c r="R10" s="18">
        <v>168</v>
      </c>
      <c r="S10" s="153">
        <f t="shared" si="21"/>
        <v>4.5830681094844047E-2</v>
      </c>
      <c r="T10" s="153">
        <f t="shared" si="22"/>
        <v>5.7455540355677154E-2</v>
      </c>
      <c r="V10" s="27">
        <v>5</v>
      </c>
      <c r="W10" s="27">
        <v>0</v>
      </c>
      <c r="X10" s="26">
        <v>5</v>
      </c>
      <c r="Y10" s="147">
        <f t="shared" si="23"/>
        <v>6.8493150684931503E-2</v>
      </c>
      <c r="AA10" s="37">
        <v>9539</v>
      </c>
      <c r="AB10" s="146">
        <f t="shared" si="24"/>
        <v>5.8964246859855601E-2</v>
      </c>
      <c r="AD10" s="130" t="str">
        <f t="shared" si="4"/>
        <v>FRO</v>
      </c>
      <c r="AE10" s="129">
        <f t="shared" si="5"/>
        <v>8.2390953150242321E-2</v>
      </c>
      <c r="AF10" s="129">
        <f t="shared" si="6"/>
        <v>0.1111111111111111</v>
      </c>
      <c r="AG10" s="129">
        <f t="shared" si="7"/>
        <v>5.7455540355677154E-2</v>
      </c>
      <c r="AH10" s="129">
        <f t="shared" si="8"/>
        <v>6.8493150684931503E-2</v>
      </c>
      <c r="AI10" s="129">
        <f t="shared" si="9"/>
        <v>4.5830681094844047E-2</v>
      </c>
      <c r="AJ10" s="129">
        <f t="shared" si="10"/>
        <v>5.8964246859855601E-2</v>
      </c>
      <c r="AK10" s="58">
        <f t="shared" si="11"/>
        <v>198515.41962843295</v>
      </c>
      <c r="AL10" s="58">
        <f t="shared" si="12"/>
        <v>267714.69444444444</v>
      </c>
      <c r="AM10" s="58">
        <f t="shared" si="13"/>
        <v>138435.23187414501</v>
      </c>
      <c r="AN10" s="58">
        <f t="shared" si="14"/>
        <v>165029.60616438356</v>
      </c>
      <c r="AO10" s="58">
        <f t="shared" si="15"/>
        <v>110425.92106938256</v>
      </c>
      <c r="AP10" s="58">
        <f t="shared" si="16"/>
        <v>142070.35798109733</v>
      </c>
      <c r="AQ10" s="133">
        <f t="shared" si="17"/>
        <v>1022191.2311618859</v>
      </c>
      <c r="AR10" s="58">
        <f t="shared" si="25"/>
        <v>1022191</v>
      </c>
      <c r="AS10" s="16" t="str">
        <f t="shared" si="18"/>
        <v>FRO</v>
      </c>
    </row>
    <row r="11" spans="1:45" x14ac:dyDescent="0.2">
      <c r="A11" s="27" t="s">
        <v>26</v>
      </c>
      <c r="B11" s="27" t="s">
        <v>41</v>
      </c>
      <c r="C11" s="37">
        <v>342</v>
      </c>
      <c r="D11" s="146">
        <f t="shared" si="19"/>
        <v>6.9063004846526652E-2</v>
      </c>
      <c r="E11" s="137"/>
      <c r="F11" s="37">
        <v>1</v>
      </c>
      <c r="G11" s="37">
        <v>5</v>
      </c>
      <c r="H11" s="37">
        <v>1</v>
      </c>
      <c r="I11" s="37">
        <v>5</v>
      </c>
      <c r="J11" s="109">
        <f t="shared" si="0"/>
        <v>100</v>
      </c>
      <c r="K11" s="109">
        <f t="shared" si="1"/>
        <v>100</v>
      </c>
      <c r="L11" s="109">
        <f t="shared" si="2"/>
        <v>71.428571428571431</v>
      </c>
      <c r="M11" s="109">
        <f t="shared" si="3"/>
        <v>271.42857142857144</v>
      </c>
      <c r="N11" s="146">
        <f t="shared" si="20"/>
        <v>0.1111111111111111</v>
      </c>
      <c r="P11" s="154" t="s">
        <v>41</v>
      </c>
      <c r="Q11" s="18">
        <v>352</v>
      </c>
      <c r="R11" s="18">
        <v>207</v>
      </c>
      <c r="S11" s="153">
        <f t="shared" si="21"/>
        <v>5.6015276893698285E-2</v>
      </c>
      <c r="T11" s="153">
        <f t="shared" si="22"/>
        <v>7.0793433652530782E-2</v>
      </c>
      <c r="V11" s="27">
        <v>7</v>
      </c>
      <c r="W11" s="27">
        <v>0</v>
      </c>
      <c r="X11" s="26">
        <v>7</v>
      </c>
      <c r="Y11" s="147">
        <f t="shared" si="23"/>
        <v>9.5890410958904104E-2</v>
      </c>
      <c r="AA11" s="37">
        <v>9596</v>
      </c>
      <c r="AB11" s="146">
        <f t="shared" si="24"/>
        <v>5.9316585896548313E-2</v>
      </c>
      <c r="AD11" s="130" t="str">
        <f t="shared" si="4"/>
        <v>TAL</v>
      </c>
      <c r="AE11" s="129">
        <f t="shared" si="5"/>
        <v>6.9063004846526652E-2</v>
      </c>
      <c r="AF11" s="129">
        <f t="shared" si="6"/>
        <v>0.1111111111111111</v>
      </c>
      <c r="AG11" s="129">
        <f t="shared" si="7"/>
        <v>7.0793433652530782E-2</v>
      </c>
      <c r="AH11" s="129">
        <f t="shared" si="8"/>
        <v>9.5890410958904104E-2</v>
      </c>
      <c r="AI11" s="129">
        <f t="shared" si="9"/>
        <v>5.6015276893698285E-2</v>
      </c>
      <c r="AJ11" s="129">
        <f t="shared" si="10"/>
        <v>5.9316585896548313E-2</v>
      </c>
      <c r="AK11" s="58">
        <f t="shared" si="11"/>
        <v>166402.6311591276</v>
      </c>
      <c r="AL11" s="58">
        <f t="shared" si="12"/>
        <v>267714.69444444444</v>
      </c>
      <c r="AM11" s="58">
        <f t="shared" si="13"/>
        <v>170571.98213064295</v>
      </c>
      <c r="AN11" s="58">
        <f t="shared" si="14"/>
        <v>231041.44863013699</v>
      </c>
      <c r="AO11" s="58">
        <f t="shared" si="15"/>
        <v>134965.01464035647</v>
      </c>
      <c r="AP11" s="58">
        <f t="shared" si="16"/>
        <v>142919.29501903866</v>
      </c>
      <c r="AQ11" s="133">
        <f t="shared" si="17"/>
        <v>1113615.0660237472</v>
      </c>
      <c r="AR11" s="58">
        <f t="shared" si="25"/>
        <v>1113615</v>
      </c>
      <c r="AS11" s="16" t="str">
        <f t="shared" si="18"/>
        <v>TAL</v>
      </c>
    </row>
    <row r="12" spans="1:45" x14ac:dyDescent="0.2">
      <c r="A12" s="27" t="s">
        <v>30</v>
      </c>
      <c r="B12" s="27" t="s">
        <v>39</v>
      </c>
      <c r="C12" s="37">
        <v>341</v>
      </c>
      <c r="D12" s="146">
        <f t="shared" si="19"/>
        <v>6.8861066235864299E-2</v>
      </c>
      <c r="E12" s="137"/>
      <c r="F12" s="37">
        <v>1</v>
      </c>
      <c r="G12" s="37">
        <v>4</v>
      </c>
      <c r="H12" s="37">
        <v>0</v>
      </c>
      <c r="I12" s="37">
        <v>5</v>
      </c>
      <c r="J12" s="109">
        <f t="shared" si="0"/>
        <v>100</v>
      </c>
      <c r="K12" s="109">
        <f t="shared" si="1"/>
        <v>0</v>
      </c>
      <c r="L12" s="109">
        <f t="shared" si="2"/>
        <v>71.428571428571431</v>
      </c>
      <c r="M12" s="109">
        <f t="shared" si="3"/>
        <v>171.42857142857144</v>
      </c>
      <c r="N12" s="146">
        <f t="shared" si="20"/>
        <v>7.0175438596491224E-2</v>
      </c>
      <c r="P12" s="154" t="s">
        <v>39</v>
      </c>
      <c r="Q12" s="18">
        <v>572</v>
      </c>
      <c r="R12" s="18">
        <v>196</v>
      </c>
      <c r="S12" s="153">
        <f t="shared" si="21"/>
        <v>9.1024824952259706E-2</v>
      </c>
      <c r="T12" s="153">
        <f t="shared" si="22"/>
        <v>6.7031463748290013E-2</v>
      </c>
      <c r="V12" s="27">
        <v>5</v>
      </c>
      <c r="W12" s="27">
        <v>0</v>
      </c>
      <c r="X12" s="26">
        <v>5</v>
      </c>
      <c r="Y12" s="147">
        <f t="shared" si="23"/>
        <v>6.8493150684931503E-2</v>
      </c>
      <c r="AA12" s="37">
        <v>14737</v>
      </c>
      <c r="AB12" s="146">
        <f t="shared" si="24"/>
        <v>9.109509445158738E-2</v>
      </c>
      <c r="AD12" s="130" t="str">
        <f t="shared" si="4"/>
        <v>UVA</v>
      </c>
      <c r="AE12" s="129">
        <f t="shared" si="5"/>
        <v>6.8861066235864299E-2</v>
      </c>
      <c r="AF12" s="129">
        <f t="shared" si="6"/>
        <v>7.0175438596491224E-2</v>
      </c>
      <c r="AG12" s="129">
        <f t="shared" si="7"/>
        <v>6.7031463748290013E-2</v>
      </c>
      <c r="AH12" s="129">
        <f t="shared" si="8"/>
        <v>6.8493150684931503E-2</v>
      </c>
      <c r="AI12" s="129">
        <f t="shared" si="9"/>
        <v>9.1024824952259706E-2</v>
      </c>
      <c r="AJ12" s="129">
        <f t="shared" si="10"/>
        <v>9.109509445158738E-2</v>
      </c>
      <c r="AK12" s="58">
        <f t="shared" si="11"/>
        <v>165916.07375807755</v>
      </c>
      <c r="AL12" s="58">
        <f t="shared" si="12"/>
        <v>169082.9649122807</v>
      </c>
      <c r="AM12" s="58">
        <f t="shared" si="13"/>
        <v>161507.77051983585</v>
      </c>
      <c r="AN12" s="58">
        <f t="shared" si="14"/>
        <v>165029.60616438356</v>
      </c>
      <c r="AO12" s="58">
        <f t="shared" si="15"/>
        <v>219318.14879057926</v>
      </c>
      <c r="AP12" s="58">
        <f t="shared" si="16"/>
        <v>219487.4583884507</v>
      </c>
      <c r="AQ12" s="133">
        <f t="shared" si="17"/>
        <v>1100342.0225336077</v>
      </c>
      <c r="AR12" s="58">
        <f t="shared" si="25"/>
        <v>1100342</v>
      </c>
      <c r="AS12" s="16" t="str">
        <f t="shared" si="18"/>
        <v>UVA</v>
      </c>
    </row>
    <row r="13" spans="1:45" x14ac:dyDescent="0.2">
      <c r="A13" s="27" t="s">
        <v>28</v>
      </c>
      <c r="B13" s="27" t="s">
        <v>45</v>
      </c>
      <c r="C13" s="37">
        <v>189</v>
      </c>
      <c r="D13" s="146">
        <f t="shared" si="19"/>
        <v>3.8166397415185786E-2</v>
      </c>
      <c r="E13" s="137"/>
      <c r="F13" s="37">
        <v>1</v>
      </c>
      <c r="G13" s="37">
        <v>4</v>
      </c>
      <c r="H13" s="37">
        <v>0</v>
      </c>
      <c r="I13" s="37">
        <v>5</v>
      </c>
      <c r="J13" s="109">
        <f t="shared" si="0"/>
        <v>100</v>
      </c>
      <c r="K13" s="109">
        <f t="shared" si="1"/>
        <v>0</v>
      </c>
      <c r="L13" s="109">
        <f t="shared" si="2"/>
        <v>71.428571428571431</v>
      </c>
      <c r="M13" s="109">
        <f t="shared" si="3"/>
        <v>171.42857142857144</v>
      </c>
      <c r="N13" s="146">
        <f t="shared" si="20"/>
        <v>7.0175438596491224E-2</v>
      </c>
      <c r="P13" s="154" t="s">
        <v>45</v>
      </c>
      <c r="Q13" s="18">
        <v>316</v>
      </c>
      <c r="R13" s="18">
        <v>118</v>
      </c>
      <c r="S13" s="153">
        <f t="shared" si="21"/>
        <v>5.0286441756842777E-2</v>
      </c>
      <c r="T13" s="153">
        <f t="shared" si="22"/>
        <v>4.0355677154582763E-2</v>
      </c>
      <c r="V13" s="27">
        <v>0</v>
      </c>
      <c r="W13" s="27">
        <v>1</v>
      </c>
      <c r="X13" s="26">
        <v>1</v>
      </c>
      <c r="Y13" s="147">
        <f t="shared" si="23"/>
        <v>1.3698630136986301E-2</v>
      </c>
      <c r="AA13" s="37">
        <v>8418</v>
      </c>
      <c r="AB13" s="146">
        <f t="shared" si="24"/>
        <v>5.2034912471565622E-2</v>
      </c>
      <c r="AD13" s="130" t="str">
        <f t="shared" si="4"/>
        <v>UTA</v>
      </c>
      <c r="AE13" s="129">
        <f t="shared" si="5"/>
        <v>3.8166397415185786E-2</v>
      </c>
      <c r="AF13" s="129">
        <f t="shared" si="6"/>
        <v>7.0175438596491224E-2</v>
      </c>
      <c r="AG13" s="129">
        <f t="shared" si="7"/>
        <v>4.0355677154582763E-2</v>
      </c>
      <c r="AH13" s="129">
        <f t="shared" si="8"/>
        <v>1.3698630136986301E-2</v>
      </c>
      <c r="AI13" s="129">
        <f t="shared" si="9"/>
        <v>5.0286441756842777E-2</v>
      </c>
      <c r="AJ13" s="129">
        <f t="shared" si="10"/>
        <v>5.2034912471565622E-2</v>
      </c>
      <c r="AK13" s="58">
        <f t="shared" si="11"/>
        <v>91959.348798465275</v>
      </c>
      <c r="AL13" s="58">
        <f t="shared" si="12"/>
        <v>169082.9649122807</v>
      </c>
      <c r="AM13" s="58">
        <f t="shared" si="13"/>
        <v>97234.270006839943</v>
      </c>
      <c r="AN13" s="58">
        <f t="shared" si="14"/>
        <v>33005.92123287671</v>
      </c>
      <c r="AO13" s="58">
        <f t="shared" si="15"/>
        <v>121161.77450668364</v>
      </c>
      <c r="AP13" s="58">
        <f t="shared" si="16"/>
        <v>125374.59623491742</v>
      </c>
      <c r="AQ13" s="133">
        <f t="shared" si="17"/>
        <v>637818.87569206371</v>
      </c>
      <c r="AR13" s="58">
        <f t="shared" si="25"/>
        <v>637819</v>
      </c>
      <c r="AS13" s="16" t="str">
        <f t="shared" si="18"/>
        <v>UTA</v>
      </c>
    </row>
    <row r="14" spans="1:45" x14ac:dyDescent="0.2">
      <c r="A14" s="27" t="s">
        <v>32</v>
      </c>
      <c r="B14" s="27" t="s">
        <v>38</v>
      </c>
      <c r="C14" s="37">
        <v>171</v>
      </c>
      <c r="D14" s="146">
        <f t="shared" si="19"/>
        <v>3.4531502423263326E-2</v>
      </c>
      <c r="E14" s="137"/>
      <c r="F14" s="37">
        <v>1</v>
      </c>
      <c r="G14" s="37">
        <v>4</v>
      </c>
      <c r="H14" s="37">
        <v>0</v>
      </c>
      <c r="I14" s="37">
        <v>5</v>
      </c>
      <c r="J14" s="109">
        <f t="shared" si="0"/>
        <v>100</v>
      </c>
      <c r="K14" s="109">
        <f t="shared" si="1"/>
        <v>0</v>
      </c>
      <c r="L14" s="109">
        <f t="shared" si="2"/>
        <v>71.428571428571431</v>
      </c>
      <c r="M14" s="109">
        <f t="shared" si="3"/>
        <v>171.42857142857144</v>
      </c>
      <c r="N14" s="146">
        <f t="shared" si="20"/>
        <v>7.0175438596491224E-2</v>
      </c>
      <c r="P14" s="154" t="s">
        <v>38</v>
      </c>
      <c r="Q14" s="18">
        <v>451</v>
      </c>
      <c r="R14" s="18">
        <v>208</v>
      </c>
      <c r="S14" s="153">
        <f t="shared" si="21"/>
        <v>7.1769573520050922E-2</v>
      </c>
      <c r="T14" s="153">
        <f t="shared" si="22"/>
        <v>7.1135430916552667E-2</v>
      </c>
      <c r="V14" s="27">
        <v>2</v>
      </c>
      <c r="W14" s="27">
        <v>0</v>
      </c>
      <c r="X14" s="26">
        <v>2</v>
      </c>
      <c r="Y14" s="147">
        <f t="shared" si="23"/>
        <v>2.7397260273972601E-2</v>
      </c>
      <c r="AA14" s="37">
        <v>11028</v>
      </c>
      <c r="AB14" s="146">
        <f t="shared" si="24"/>
        <v>6.8168331520126593E-2</v>
      </c>
      <c r="AD14" s="130" t="str">
        <f t="shared" si="4"/>
        <v>UBB</v>
      </c>
      <c r="AE14" s="129">
        <f t="shared" si="5"/>
        <v>3.4531502423263326E-2</v>
      </c>
      <c r="AF14" s="129">
        <f t="shared" si="6"/>
        <v>7.0175438596491224E-2</v>
      </c>
      <c r="AG14" s="129">
        <f t="shared" si="7"/>
        <v>7.1135430916552667E-2</v>
      </c>
      <c r="AH14" s="129">
        <f t="shared" si="8"/>
        <v>2.7397260273972601E-2</v>
      </c>
      <c r="AI14" s="129">
        <f t="shared" si="9"/>
        <v>7.1769573520050922E-2</v>
      </c>
      <c r="AJ14" s="129">
        <f t="shared" si="10"/>
        <v>6.8168331520126593E-2</v>
      </c>
      <c r="AK14" s="58">
        <f t="shared" si="11"/>
        <v>83201.315579563801</v>
      </c>
      <c r="AL14" s="58">
        <f t="shared" si="12"/>
        <v>169082.9649122807</v>
      </c>
      <c r="AM14" s="58">
        <f t="shared" si="13"/>
        <v>171396.00136798905</v>
      </c>
      <c r="AN14" s="58">
        <f t="shared" si="14"/>
        <v>66011.84246575342</v>
      </c>
      <c r="AO14" s="58">
        <f t="shared" si="15"/>
        <v>172923.92500795671</v>
      </c>
      <c r="AP14" s="58">
        <f t="shared" si="16"/>
        <v>164246.97639328454</v>
      </c>
      <c r="AQ14" s="133">
        <f t="shared" si="17"/>
        <v>826863.02572682826</v>
      </c>
      <c r="AR14" s="58">
        <f t="shared" si="25"/>
        <v>826863</v>
      </c>
      <c r="AS14" s="16" t="str">
        <f t="shared" si="18"/>
        <v>UBB</v>
      </c>
    </row>
    <row r="15" spans="1:45" x14ac:dyDescent="0.2">
      <c r="A15" s="27" t="s">
        <v>7</v>
      </c>
      <c r="B15" s="27" t="s">
        <v>51</v>
      </c>
      <c r="C15" s="37">
        <v>147</v>
      </c>
      <c r="D15" s="146">
        <f t="shared" si="19"/>
        <v>2.9684975767366721E-2</v>
      </c>
      <c r="E15" s="137"/>
      <c r="F15" s="37">
        <v>1</v>
      </c>
      <c r="G15" s="37">
        <v>4</v>
      </c>
      <c r="H15" s="37">
        <v>0</v>
      </c>
      <c r="I15" s="37">
        <v>4</v>
      </c>
      <c r="J15" s="109">
        <f t="shared" si="0"/>
        <v>100</v>
      </c>
      <c r="K15" s="109">
        <f t="shared" si="1"/>
        <v>0</v>
      </c>
      <c r="L15" s="109">
        <f t="shared" si="2"/>
        <v>57.142857142857146</v>
      </c>
      <c r="M15" s="109">
        <f t="shared" si="3"/>
        <v>157.14285714285714</v>
      </c>
      <c r="N15" s="146">
        <f t="shared" si="20"/>
        <v>6.4327485380116955E-2</v>
      </c>
      <c r="P15" s="154" t="s">
        <v>51</v>
      </c>
      <c r="Q15" s="18">
        <v>316</v>
      </c>
      <c r="R15" s="18">
        <v>126</v>
      </c>
      <c r="S15" s="153">
        <f t="shared" si="21"/>
        <v>5.0286441756842777E-2</v>
      </c>
      <c r="T15" s="153">
        <f t="shared" si="22"/>
        <v>4.3091655266757865E-2</v>
      </c>
      <c r="V15" s="27">
        <v>3</v>
      </c>
      <c r="W15" s="27">
        <v>0</v>
      </c>
      <c r="X15" s="26">
        <v>3</v>
      </c>
      <c r="Y15" s="147">
        <f t="shared" si="23"/>
        <v>4.1095890410958902E-2</v>
      </c>
      <c r="AA15" s="37">
        <v>6859</v>
      </c>
      <c r="AB15" s="146">
        <f t="shared" si="24"/>
        <v>4.2398130748689547E-2</v>
      </c>
      <c r="AD15" s="130" t="str">
        <f t="shared" si="4"/>
        <v>ANT</v>
      </c>
      <c r="AE15" s="129">
        <f t="shared" si="5"/>
        <v>2.9684975767366721E-2</v>
      </c>
      <c r="AF15" s="129">
        <f t="shared" si="6"/>
        <v>6.4327485380116955E-2</v>
      </c>
      <c r="AG15" s="129">
        <f t="shared" si="7"/>
        <v>4.3091655266757865E-2</v>
      </c>
      <c r="AH15" s="129">
        <f t="shared" si="8"/>
        <v>4.1095890410958902E-2</v>
      </c>
      <c r="AI15" s="129">
        <f t="shared" si="9"/>
        <v>5.0286441756842777E-2</v>
      </c>
      <c r="AJ15" s="129">
        <f t="shared" si="10"/>
        <v>4.2398130748689547E-2</v>
      </c>
      <c r="AK15" s="58">
        <f t="shared" si="11"/>
        <v>71523.937954361871</v>
      </c>
      <c r="AL15" s="58">
        <f t="shared" si="12"/>
        <v>154992.7178362573</v>
      </c>
      <c r="AM15" s="58">
        <f t="shared" si="13"/>
        <v>103826.42390560875</v>
      </c>
      <c r="AN15" s="58">
        <f t="shared" si="14"/>
        <v>99017.763698630137</v>
      </c>
      <c r="AO15" s="58">
        <f t="shared" si="15"/>
        <v>121161.77450668364</v>
      </c>
      <c r="AP15" s="58">
        <f t="shared" si="16"/>
        <v>102155.42356560925</v>
      </c>
      <c r="AQ15" s="133">
        <f t="shared" si="17"/>
        <v>652678.04146715102</v>
      </c>
      <c r="AR15" s="58">
        <f t="shared" si="25"/>
        <v>652678</v>
      </c>
      <c r="AS15" s="16" t="str">
        <f t="shared" si="18"/>
        <v>ANT</v>
      </c>
    </row>
    <row r="16" spans="1:45" ht="15" customHeight="1" x14ac:dyDescent="0.2">
      <c r="A16" s="108" t="s">
        <v>22</v>
      </c>
      <c r="B16" s="108" t="s">
        <v>44</v>
      </c>
      <c r="C16" s="109">
        <v>111</v>
      </c>
      <c r="D16" s="146">
        <f t="shared" si="19"/>
        <v>2.2415185783521811E-2</v>
      </c>
      <c r="E16" s="137"/>
      <c r="F16" s="37">
        <v>0</v>
      </c>
      <c r="G16" s="37">
        <v>3</v>
      </c>
      <c r="H16" s="37">
        <v>0</v>
      </c>
      <c r="I16" s="37">
        <v>5</v>
      </c>
      <c r="J16" s="109">
        <f t="shared" si="0"/>
        <v>0</v>
      </c>
      <c r="K16" s="109">
        <f t="shared" si="1"/>
        <v>0</v>
      </c>
      <c r="L16" s="109">
        <f t="shared" si="2"/>
        <v>71.428571428571431</v>
      </c>
      <c r="M16" s="109">
        <f t="shared" si="3"/>
        <v>71.428571428571431</v>
      </c>
      <c r="N16" s="146">
        <f t="shared" si="20"/>
        <v>2.9239766081871343E-2</v>
      </c>
      <c r="P16" s="154" t="s">
        <v>44</v>
      </c>
      <c r="Q16" s="18">
        <v>315</v>
      </c>
      <c r="R16" s="18">
        <v>103</v>
      </c>
      <c r="S16" s="153">
        <f t="shared" si="21"/>
        <v>5.0127307447485676E-2</v>
      </c>
      <c r="T16" s="153">
        <f t="shared" si="22"/>
        <v>3.5225718194254449E-2</v>
      </c>
      <c r="V16" s="108">
        <v>1</v>
      </c>
      <c r="W16" s="108">
        <v>0</v>
      </c>
      <c r="X16" s="39">
        <v>1</v>
      </c>
      <c r="Y16" s="147">
        <f t="shared" si="23"/>
        <v>1.3698630136986301E-2</v>
      </c>
      <c r="AA16" s="37">
        <v>7732</v>
      </c>
      <c r="AB16" s="146">
        <f t="shared" si="24"/>
        <v>4.7794481258035801E-2</v>
      </c>
      <c r="AD16" s="130" t="str">
        <f t="shared" si="4"/>
        <v>UPA</v>
      </c>
      <c r="AE16" s="129">
        <f t="shared" si="5"/>
        <v>2.2415185783521811E-2</v>
      </c>
      <c r="AF16" s="129">
        <f t="shared" si="6"/>
        <v>2.9239766081871343E-2</v>
      </c>
      <c r="AG16" s="129">
        <f t="shared" si="7"/>
        <v>3.5225718194254449E-2</v>
      </c>
      <c r="AH16" s="129">
        <f t="shared" si="8"/>
        <v>1.3698630136986301E-2</v>
      </c>
      <c r="AI16" s="129">
        <f t="shared" si="9"/>
        <v>5.0127307447485676E-2</v>
      </c>
      <c r="AJ16" s="129">
        <f t="shared" si="10"/>
        <v>4.7794481258035801E-2</v>
      </c>
      <c r="AK16" s="58">
        <f t="shared" si="11"/>
        <v>54007.871516558975</v>
      </c>
      <c r="AL16" s="58">
        <f t="shared" si="12"/>
        <v>70451.235380116952</v>
      </c>
      <c r="AM16" s="58">
        <f t="shared" si="13"/>
        <v>84873.981446648439</v>
      </c>
      <c r="AN16" s="58">
        <f t="shared" si="14"/>
        <v>33005.92123287671</v>
      </c>
      <c r="AO16" s="58">
        <f t="shared" si="15"/>
        <v>120778.35116963717</v>
      </c>
      <c r="AP16" s="58">
        <f t="shared" si="16"/>
        <v>115157.56451513204</v>
      </c>
      <c r="AQ16" s="133">
        <f t="shared" si="17"/>
        <v>478274.92526097031</v>
      </c>
      <c r="AR16" s="58">
        <f t="shared" si="25"/>
        <v>478275</v>
      </c>
      <c r="AS16" s="16" t="str">
        <f t="shared" si="18"/>
        <v>UPA</v>
      </c>
    </row>
    <row r="17" spans="1:45" x14ac:dyDescent="0.2">
      <c r="A17" s="108" t="s">
        <v>16</v>
      </c>
      <c r="B17" s="108" t="s">
        <v>46</v>
      </c>
      <c r="C17" s="109">
        <v>110</v>
      </c>
      <c r="D17" s="146">
        <f t="shared" si="19"/>
        <v>2.2213247172859451E-2</v>
      </c>
      <c r="E17" s="137"/>
      <c r="F17" s="37">
        <v>1</v>
      </c>
      <c r="G17" s="37">
        <v>4</v>
      </c>
      <c r="H17" s="37">
        <v>0</v>
      </c>
      <c r="I17" s="37">
        <v>4</v>
      </c>
      <c r="J17" s="109">
        <f t="shared" si="0"/>
        <v>100</v>
      </c>
      <c r="K17" s="109">
        <f t="shared" si="1"/>
        <v>0</v>
      </c>
      <c r="L17" s="109">
        <f t="shared" si="2"/>
        <v>57.142857142857146</v>
      </c>
      <c r="M17" s="109">
        <f t="shared" si="3"/>
        <v>157.14285714285714</v>
      </c>
      <c r="N17" s="146">
        <f t="shared" si="20"/>
        <v>6.4327485380116955E-2</v>
      </c>
      <c r="P17" s="154" t="s">
        <v>46</v>
      </c>
      <c r="Q17" s="18">
        <v>213</v>
      </c>
      <c r="R17" s="18">
        <v>91</v>
      </c>
      <c r="S17" s="153">
        <f t="shared" si="21"/>
        <v>3.3895607893061744E-2</v>
      </c>
      <c r="T17" s="153">
        <f t="shared" si="22"/>
        <v>3.1121751025991792E-2</v>
      </c>
      <c r="V17" s="108">
        <v>1</v>
      </c>
      <c r="W17" s="108">
        <v>1</v>
      </c>
      <c r="X17" s="39">
        <v>2</v>
      </c>
      <c r="Y17" s="147">
        <f t="shared" si="23"/>
        <v>2.7397260273972601E-2</v>
      </c>
      <c r="AA17" s="37">
        <v>7090</v>
      </c>
      <c r="AB17" s="146">
        <f t="shared" si="24"/>
        <v>4.3826031055286319E-2</v>
      </c>
      <c r="AD17" s="130" t="str">
        <f t="shared" si="4"/>
        <v>ULS</v>
      </c>
      <c r="AE17" s="129">
        <f t="shared" si="5"/>
        <v>2.2213247172859451E-2</v>
      </c>
      <c r="AF17" s="129">
        <f t="shared" si="6"/>
        <v>6.4327485380116955E-2</v>
      </c>
      <c r="AG17" s="129">
        <f t="shared" si="7"/>
        <v>3.1121751025991792E-2</v>
      </c>
      <c r="AH17" s="129">
        <f t="shared" si="8"/>
        <v>2.7397260273972601E-2</v>
      </c>
      <c r="AI17" s="129">
        <f t="shared" si="9"/>
        <v>3.3895607893061744E-2</v>
      </c>
      <c r="AJ17" s="129">
        <f t="shared" si="10"/>
        <v>4.3826031055286319E-2</v>
      </c>
      <c r="AK17" s="58">
        <f t="shared" si="11"/>
        <v>53521.314115508889</v>
      </c>
      <c r="AL17" s="58">
        <f t="shared" si="12"/>
        <v>154992.7178362573</v>
      </c>
      <c r="AM17" s="58">
        <f t="shared" si="13"/>
        <v>74985.750598495215</v>
      </c>
      <c r="AN17" s="58">
        <f t="shared" si="14"/>
        <v>66011.84246575342</v>
      </c>
      <c r="AO17" s="58">
        <f t="shared" si="15"/>
        <v>81669.170790897522</v>
      </c>
      <c r="AP17" s="58">
        <f t="shared" si="16"/>
        <v>105595.8526141084</v>
      </c>
      <c r="AQ17" s="133">
        <f t="shared" si="17"/>
        <v>536776.64842102071</v>
      </c>
      <c r="AR17" s="58">
        <f t="shared" si="25"/>
        <v>536777</v>
      </c>
      <c r="AS17" s="16" t="str">
        <f t="shared" si="18"/>
        <v>ULS</v>
      </c>
    </row>
    <row r="18" spans="1:45" x14ac:dyDescent="0.2">
      <c r="A18" s="108" t="s">
        <v>18</v>
      </c>
      <c r="B18" s="108" t="s">
        <v>47</v>
      </c>
      <c r="C18" s="109">
        <v>81</v>
      </c>
      <c r="D18" s="146">
        <f t="shared" si="19"/>
        <v>1.6357027463651051E-2</v>
      </c>
      <c r="E18" s="137"/>
      <c r="F18" s="37">
        <v>0</v>
      </c>
      <c r="G18" s="37">
        <v>3</v>
      </c>
      <c r="H18" s="37">
        <v>0</v>
      </c>
      <c r="I18" s="37">
        <v>4</v>
      </c>
      <c r="J18" s="109">
        <f t="shared" si="0"/>
        <v>0</v>
      </c>
      <c r="K18" s="109">
        <f t="shared" si="1"/>
        <v>0</v>
      </c>
      <c r="L18" s="109">
        <f t="shared" si="2"/>
        <v>57.142857142857146</v>
      </c>
      <c r="M18" s="109">
        <f t="shared" si="3"/>
        <v>57.142857142857146</v>
      </c>
      <c r="N18" s="146">
        <f t="shared" si="20"/>
        <v>2.3391812865497075E-2</v>
      </c>
      <c r="P18" s="154" t="s">
        <v>47</v>
      </c>
      <c r="Q18" s="18">
        <v>267</v>
      </c>
      <c r="R18" s="18">
        <v>73</v>
      </c>
      <c r="S18" s="153">
        <f t="shared" si="21"/>
        <v>4.2488860598345002E-2</v>
      </c>
      <c r="T18" s="153">
        <f t="shared" si="22"/>
        <v>2.4965800273597811E-2</v>
      </c>
      <c r="V18" s="108">
        <v>1</v>
      </c>
      <c r="W18" s="108">
        <v>0</v>
      </c>
      <c r="X18" s="39">
        <v>1</v>
      </c>
      <c r="Y18" s="147">
        <f t="shared" si="23"/>
        <v>1.3698630136986301E-2</v>
      </c>
      <c r="AA18" s="37">
        <v>7570</v>
      </c>
      <c r="AB18" s="146">
        <f t="shared" si="24"/>
        <v>4.6793096627435464E-2</v>
      </c>
      <c r="AD18" s="130" t="str">
        <f t="shared" si="4"/>
        <v>ULA</v>
      </c>
      <c r="AE18" s="129">
        <f t="shared" si="5"/>
        <v>1.6357027463651051E-2</v>
      </c>
      <c r="AF18" s="129">
        <f t="shared" si="6"/>
        <v>2.3391812865497075E-2</v>
      </c>
      <c r="AG18" s="129">
        <f t="shared" si="7"/>
        <v>2.4965800273597811E-2</v>
      </c>
      <c r="AH18" s="129">
        <f t="shared" si="8"/>
        <v>1.3698630136986301E-2</v>
      </c>
      <c r="AI18" s="129">
        <f t="shared" si="9"/>
        <v>4.2488860598345002E-2</v>
      </c>
      <c r="AJ18" s="129">
        <f t="shared" si="10"/>
        <v>4.6793096627435464E-2</v>
      </c>
      <c r="AK18" s="58">
        <f t="shared" si="11"/>
        <v>39411.149485056543</v>
      </c>
      <c r="AL18" s="58">
        <f t="shared" si="12"/>
        <v>56360.988304093567</v>
      </c>
      <c r="AM18" s="58">
        <f t="shared" si="13"/>
        <v>60153.404326265387</v>
      </c>
      <c r="AN18" s="58">
        <f t="shared" si="14"/>
        <v>33005.92123287671</v>
      </c>
      <c r="AO18" s="58">
        <f t="shared" si="15"/>
        <v>102374.03099140675</v>
      </c>
      <c r="AP18" s="58">
        <f t="shared" si="16"/>
        <v>112744.79609150924</v>
      </c>
      <c r="AQ18" s="133">
        <f t="shared" si="17"/>
        <v>404050.29043120821</v>
      </c>
      <c r="AR18" s="58">
        <f t="shared" si="25"/>
        <v>404050</v>
      </c>
      <c r="AS18" s="16" t="str">
        <f t="shared" si="18"/>
        <v>ULA</v>
      </c>
    </row>
    <row r="19" spans="1:45" x14ac:dyDescent="0.2">
      <c r="A19" s="27" t="s">
        <v>20</v>
      </c>
      <c r="B19" s="27" t="s">
        <v>52</v>
      </c>
      <c r="C19" s="37">
        <v>77</v>
      </c>
      <c r="D19" s="146">
        <f t="shared" si="19"/>
        <v>1.5549273021001616E-2</v>
      </c>
      <c r="E19" s="137"/>
      <c r="F19" s="37">
        <v>1</v>
      </c>
      <c r="G19" s="37">
        <v>4</v>
      </c>
      <c r="H19" s="37">
        <v>0</v>
      </c>
      <c r="I19" s="37">
        <v>4</v>
      </c>
      <c r="J19" s="109">
        <f t="shared" si="0"/>
        <v>100</v>
      </c>
      <c r="K19" s="109">
        <f t="shared" si="1"/>
        <v>0</v>
      </c>
      <c r="L19" s="109">
        <f t="shared" si="2"/>
        <v>57.142857142857146</v>
      </c>
      <c r="M19" s="109">
        <f t="shared" si="3"/>
        <v>157.14285714285714</v>
      </c>
      <c r="N19" s="146">
        <f t="shared" si="20"/>
        <v>6.4327485380116955E-2</v>
      </c>
      <c r="P19" s="154" t="s">
        <v>52</v>
      </c>
      <c r="Q19" s="18">
        <v>179</v>
      </c>
      <c r="R19" s="18">
        <v>51</v>
      </c>
      <c r="S19" s="153">
        <f t="shared" si="21"/>
        <v>2.8485041374920434E-2</v>
      </c>
      <c r="T19" s="153">
        <f t="shared" si="22"/>
        <v>1.7441860465116279E-2</v>
      </c>
      <c r="V19" s="27"/>
      <c r="W19" s="27"/>
      <c r="X19" s="26">
        <v>0</v>
      </c>
      <c r="Y19" s="147">
        <f t="shared" si="23"/>
        <v>0</v>
      </c>
      <c r="AA19" s="37">
        <v>4098</v>
      </c>
      <c r="AB19" s="146">
        <f t="shared" si="24"/>
        <v>2.5331322322223321E-2</v>
      </c>
      <c r="AD19" s="130" t="str">
        <f t="shared" si="4"/>
        <v>MAG</v>
      </c>
      <c r="AE19" s="129">
        <f t="shared" si="5"/>
        <v>1.5549273021001616E-2</v>
      </c>
      <c r="AF19" s="129">
        <f t="shared" si="6"/>
        <v>6.4327485380116955E-2</v>
      </c>
      <c r="AG19" s="129">
        <f t="shared" si="7"/>
        <v>1.7441860465116279E-2</v>
      </c>
      <c r="AH19" s="129">
        <f t="shared" si="8"/>
        <v>0</v>
      </c>
      <c r="AI19" s="129">
        <f t="shared" si="9"/>
        <v>2.8485041374920434E-2</v>
      </c>
      <c r="AJ19" s="129">
        <f t="shared" si="10"/>
        <v>2.5331322322223321E-2</v>
      </c>
      <c r="AK19" s="58">
        <f t="shared" si="11"/>
        <v>37464.919880856221</v>
      </c>
      <c r="AL19" s="58">
        <f t="shared" si="12"/>
        <v>154992.7178362573</v>
      </c>
      <c r="AM19" s="58">
        <f t="shared" si="13"/>
        <v>42024.98110465116</v>
      </c>
      <c r="AN19" s="58">
        <f t="shared" si="14"/>
        <v>0</v>
      </c>
      <c r="AO19" s="58">
        <f t="shared" si="15"/>
        <v>68632.777331317644</v>
      </c>
      <c r="AP19" s="58">
        <f t="shared" si="16"/>
        <v>61034.104938309756</v>
      </c>
      <c r="AQ19" s="133">
        <f t="shared" si="17"/>
        <v>364149.50109139213</v>
      </c>
      <c r="AR19" s="58">
        <f t="shared" si="25"/>
        <v>364150</v>
      </c>
      <c r="AS19" s="16" t="str">
        <f t="shared" si="18"/>
        <v>MAG</v>
      </c>
    </row>
    <row r="20" spans="1:45" x14ac:dyDescent="0.2">
      <c r="A20" s="27" t="s">
        <v>3</v>
      </c>
      <c r="B20" s="27" t="s">
        <v>49</v>
      </c>
      <c r="C20" s="37">
        <v>55</v>
      </c>
      <c r="D20" s="146">
        <f t="shared" si="19"/>
        <v>1.1106623586429725E-2</v>
      </c>
      <c r="E20" s="137"/>
      <c r="F20" s="37">
        <v>0</v>
      </c>
      <c r="G20" s="37">
        <v>3</v>
      </c>
      <c r="H20" s="37">
        <v>0</v>
      </c>
      <c r="I20" s="37">
        <v>3</v>
      </c>
      <c r="J20" s="109">
        <f t="shared" si="0"/>
        <v>0</v>
      </c>
      <c r="K20" s="109">
        <f t="shared" si="1"/>
        <v>0</v>
      </c>
      <c r="L20" s="109">
        <f t="shared" si="2"/>
        <v>42.857142857142854</v>
      </c>
      <c r="M20" s="109">
        <f t="shared" si="3"/>
        <v>42.857142857142854</v>
      </c>
      <c r="N20" s="146">
        <f t="shared" si="20"/>
        <v>1.7543859649122803E-2</v>
      </c>
      <c r="P20" s="154" t="s">
        <v>49</v>
      </c>
      <c r="Q20" s="18">
        <v>245</v>
      </c>
      <c r="R20" s="18">
        <v>53</v>
      </c>
      <c r="S20" s="153">
        <f t="shared" si="21"/>
        <v>3.8987905792488863E-2</v>
      </c>
      <c r="T20" s="153">
        <f t="shared" si="22"/>
        <v>1.8125854993160054E-2</v>
      </c>
      <c r="V20" s="27"/>
      <c r="W20" s="27"/>
      <c r="X20" s="26">
        <v>0</v>
      </c>
      <c r="Y20" s="147">
        <f t="shared" si="23"/>
        <v>0</v>
      </c>
      <c r="AA20" s="37">
        <v>9822</v>
      </c>
      <c r="AB20" s="146">
        <f t="shared" si="24"/>
        <v>6.0713579270101868E-2</v>
      </c>
      <c r="AD20" s="130" t="str">
        <f t="shared" si="4"/>
        <v>UAP</v>
      </c>
      <c r="AE20" s="129">
        <f t="shared" si="5"/>
        <v>1.1106623586429725E-2</v>
      </c>
      <c r="AF20" s="129">
        <f t="shared" si="6"/>
        <v>1.7543859649122803E-2</v>
      </c>
      <c r="AG20" s="129">
        <f t="shared" si="7"/>
        <v>1.8125854993160054E-2</v>
      </c>
      <c r="AH20" s="129">
        <f t="shared" si="8"/>
        <v>0</v>
      </c>
      <c r="AI20" s="129">
        <f t="shared" si="9"/>
        <v>3.8987905792488863E-2</v>
      </c>
      <c r="AJ20" s="129">
        <f t="shared" si="10"/>
        <v>6.0713579270101868E-2</v>
      </c>
      <c r="AK20" s="58">
        <f t="shared" si="11"/>
        <v>26760.657057754444</v>
      </c>
      <c r="AL20" s="58">
        <f t="shared" si="12"/>
        <v>42270.741228070161</v>
      </c>
      <c r="AM20" s="58">
        <f t="shared" si="13"/>
        <v>43673.019579343367</v>
      </c>
      <c r="AN20" s="58">
        <f t="shared" si="14"/>
        <v>0</v>
      </c>
      <c r="AO20" s="58">
        <f t="shared" si="15"/>
        <v>93938.717576384472</v>
      </c>
      <c r="AP20" s="58">
        <f t="shared" si="16"/>
        <v>146285.25590631491</v>
      </c>
      <c r="AQ20" s="133">
        <f t="shared" si="17"/>
        <v>352928.39134786732</v>
      </c>
      <c r="AR20" s="58">
        <f t="shared" si="25"/>
        <v>352928</v>
      </c>
      <c r="AS20" s="16" t="str">
        <f t="shared" si="18"/>
        <v>UAP</v>
      </c>
    </row>
    <row r="21" spans="1:45" x14ac:dyDescent="0.2">
      <c r="A21" s="27" t="s">
        <v>34</v>
      </c>
      <c r="B21" s="27" t="s">
        <v>48</v>
      </c>
      <c r="C21" s="37">
        <v>33</v>
      </c>
      <c r="D21" s="146">
        <f t="shared" si="19"/>
        <v>6.6639741518578349E-3</v>
      </c>
      <c r="E21" s="137"/>
      <c r="F21" s="37">
        <v>0</v>
      </c>
      <c r="G21" s="37">
        <v>2</v>
      </c>
      <c r="H21" s="37">
        <v>0</v>
      </c>
      <c r="I21" s="37">
        <v>3</v>
      </c>
      <c r="J21" s="109">
        <f t="shared" si="0"/>
        <v>0</v>
      </c>
      <c r="K21" s="109">
        <f t="shared" si="1"/>
        <v>0</v>
      </c>
      <c r="L21" s="109">
        <f t="shared" si="2"/>
        <v>42.857142857142854</v>
      </c>
      <c r="M21" s="109">
        <f t="shared" si="3"/>
        <v>42.857142857142854</v>
      </c>
      <c r="N21" s="146">
        <f t="shared" si="20"/>
        <v>1.7543859649122803E-2</v>
      </c>
      <c r="P21" s="154" t="s">
        <v>48</v>
      </c>
      <c r="Q21" s="18">
        <v>212</v>
      </c>
      <c r="R21" s="18">
        <v>59</v>
      </c>
      <c r="S21" s="153">
        <f t="shared" si="21"/>
        <v>3.373647358370465E-2</v>
      </c>
      <c r="T21" s="153">
        <f t="shared" si="22"/>
        <v>2.0177838577291381E-2</v>
      </c>
      <c r="V21" s="27"/>
      <c r="W21" s="27"/>
      <c r="X21" s="26">
        <v>0</v>
      </c>
      <c r="Y21" s="147">
        <f t="shared" si="23"/>
        <v>0</v>
      </c>
      <c r="AA21" s="37">
        <v>4558</v>
      </c>
      <c r="AB21" s="146">
        <f t="shared" si="24"/>
        <v>2.8174760162199584E-2</v>
      </c>
      <c r="AD21" s="130" t="str">
        <f t="shared" si="4"/>
        <v>UMC</v>
      </c>
      <c r="AE21" s="129">
        <f t="shared" si="5"/>
        <v>6.6639741518578349E-3</v>
      </c>
      <c r="AF21" s="129">
        <f t="shared" si="6"/>
        <v>1.7543859649122803E-2</v>
      </c>
      <c r="AG21" s="129">
        <f t="shared" si="7"/>
        <v>2.0177838577291381E-2</v>
      </c>
      <c r="AH21" s="129">
        <f t="shared" si="8"/>
        <v>0</v>
      </c>
      <c r="AI21" s="129">
        <f t="shared" si="9"/>
        <v>3.373647358370465E-2</v>
      </c>
      <c r="AJ21" s="129">
        <f t="shared" si="10"/>
        <v>2.8174760162199584E-2</v>
      </c>
      <c r="AK21" s="58">
        <f t="shared" si="11"/>
        <v>16056.394234652666</v>
      </c>
      <c r="AL21" s="58">
        <f t="shared" si="12"/>
        <v>42270.741228070161</v>
      </c>
      <c r="AM21" s="58">
        <f t="shared" si="13"/>
        <v>48617.135003419971</v>
      </c>
      <c r="AN21" s="58">
        <f t="shared" si="14"/>
        <v>0</v>
      </c>
      <c r="AO21" s="58">
        <f t="shared" si="15"/>
        <v>81285.747453851058</v>
      </c>
      <c r="AP21" s="58">
        <f t="shared" si="16"/>
        <v>67885.175770818911</v>
      </c>
      <c r="AQ21" s="133">
        <f t="shared" si="17"/>
        <v>256115.19369081274</v>
      </c>
      <c r="AR21" s="58">
        <f t="shared" si="25"/>
        <v>256115</v>
      </c>
      <c r="AS21" s="16" t="str">
        <f t="shared" si="18"/>
        <v>UMC</v>
      </c>
    </row>
    <row r="22" spans="1:45" x14ac:dyDescent="0.2">
      <c r="A22" s="27" t="s">
        <v>9</v>
      </c>
      <c r="B22" s="27" t="s">
        <v>50</v>
      </c>
      <c r="C22" s="37">
        <v>26</v>
      </c>
      <c r="D22" s="146">
        <f t="shared" si="19"/>
        <v>5.2504038772213249E-3</v>
      </c>
      <c r="E22" s="137"/>
      <c r="F22" s="37">
        <v>0</v>
      </c>
      <c r="G22" s="37">
        <v>3</v>
      </c>
      <c r="H22" s="37">
        <v>0</v>
      </c>
      <c r="I22" s="37">
        <v>4</v>
      </c>
      <c r="J22" s="109">
        <f t="shared" si="0"/>
        <v>0</v>
      </c>
      <c r="K22" s="109">
        <f t="shared" si="1"/>
        <v>0</v>
      </c>
      <c r="L22" s="109">
        <f t="shared" si="2"/>
        <v>57.142857142857146</v>
      </c>
      <c r="M22" s="109">
        <f t="shared" si="3"/>
        <v>57.142857142857146</v>
      </c>
      <c r="N22" s="146">
        <f t="shared" si="20"/>
        <v>2.3391812865497075E-2</v>
      </c>
      <c r="P22" s="154" t="s">
        <v>50</v>
      </c>
      <c r="Q22" s="18">
        <v>239</v>
      </c>
      <c r="R22" s="18">
        <v>47</v>
      </c>
      <c r="S22" s="153">
        <f t="shared" si="21"/>
        <v>3.8033099936346279E-2</v>
      </c>
      <c r="T22" s="153">
        <f t="shared" si="22"/>
        <v>1.6073871409028728E-2</v>
      </c>
      <c r="V22" s="27"/>
      <c r="W22" s="27"/>
      <c r="X22" s="26">
        <v>0</v>
      </c>
      <c r="Y22" s="147">
        <f t="shared" si="23"/>
        <v>0</v>
      </c>
      <c r="AA22" s="37">
        <v>6317</v>
      </c>
      <c r="AB22" s="146">
        <f t="shared" si="24"/>
        <v>3.9047819206804474E-2</v>
      </c>
      <c r="AD22" s="130" t="str">
        <f t="shared" si="4"/>
        <v>ATA</v>
      </c>
      <c r="AE22" s="129">
        <f t="shared" si="5"/>
        <v>5.2504038772213249E-3</v>
      </c>
      <c r="AF22" s="129">
        <f t="shared" si="6"/>
        <v>2.3391812865497075E-2</v>
      </c>
      <c r="AG22" s="129">
        <f t="shared" si="7"/>
        <v>1.6073871409028728E-2</v>
      </c>
      <c r="AH22" s="129">
        <f t="shared" si="8"/>
        <v>0</v>
      </c>
      <c r="AI22" s="129">
        <f t="shared" si="9"/>
        <v>3.8033099936346279E-2</v>
      </c>
      <c r="AJ22" s="129">
        <f t="shared" si="10"/>
        <v>3.9047819206804474E-2</v>
      </c>
      <c r="AK22" s="58">
        <f t="shared" si="11"/>
        <v>12650.492427302101</v>
      </c>
      <c r="AL22" s="58">
        <f t="shared" si="12"/>
        <v>56360.988304093567</v>
      </c>
      <c r="AM22" s="58">
        <f t="shared" si="13"/>
        <v>38728.904155266755</v>
      </c>
      <c r="AN22" s="58">
        <f t="shared" si="14"/>
        <v>0</v>
      </c>
      <c r="AO22" s="58">
        <f t="shared" si="15"/>
        <v>91638.177554105685</v>
      </c>
      <c r="AP22" s="58">
        <f t="shared" si="16"/>
        <v>94083.074889044117</v>
      </c>
      <c r="AQ22" s="133">
        <f t="shared" si="17"/>
        <v>293461.63732981222</v>
      </c>
      <c r="AR22" s="58">
        <f t="shared" si="25"/>
        <v>293462</v>
      </c>
      <c r="AS22" s="16" t="str">
        <f t="shared" si="18"/>
        <v>ATA</v>
      </c>
    </row>
    <row r="23" spans="1:45" x14ac:dyDescent="0.2">
      <c r="A23" s="27" t="s">
        <v>36</v>
      </c>
      <c r="B23" s="27" t="s">
        <v>42</v>
      </c>
      <c r="C23" s="37">
        <v>17</v>
      </c>
      <c r="D23" s="146">
        <f t="shared" si="19"/>
        <v>3.4329563812600969E-3</v>
      </c>
      <c r="E23" s="137"/>
      <c r="F23" s="37">
        <v>0</v>
      </c>
      <c r="G23" s="37">
        <v>3</v>
      </c>
      <c r="H23" s="37">
        <v>0</v>
      </c>
      <c r="I23" s="37">
        <v>4</v>
      </c>
      <c r="J23" s="109">
        <f t="shared" si="0"/>
        <v>0</v>
      </c>
      <c r="K23" s="109">
        <f t="shared" si="1"/>
        <v>0</v>
      </c>
      <c r="L23" s="109">
        <f t="shared" si="2"/>
        <v>57.142857142857146</v>
      </c>
      <c r="M23" s="109">
        <f t="shared" si="3"/>
        <v>57.142857142857146</v>
      </c>
      <c r="N23" s="146">
        <f t="shared" si="20"/>
        <v>2.3391812865497075E-2</v>
      </c>
      <c r="P23" s="154" t="s">
        <v>42</v>
      </c>
      <c r="Q23" s="18">
        <v>191</v>
      </c>
      <c r="R23" s="18">
        <v>49</v>
      </c>
      <c r="S23" s="153">
        <f t="shared" si="21"/>
        <v>3.0394653087205601E-2</v>
      </c>
      <c r="T23" s="153">
        <f t="shared" si="22"/>
        <v>1.6757865937072503E-2</v>
      </c>
      <c r="V23" s="27"/>
      <c r="W23" s="27"/>
      <c r="X23" s="26">
        <v>0</v>
      </c>
      <c r="Y23" s="147">
        <f t="shared" si="23"/>
        <v>0</v>
      </c>
      <c r="AA23" s="37">
        <v>8226</v>
      </c>
      <c r="AB23" s="146">
        <f t="shared" si="24"/>
        <v>5.0848086242705967E-2</v>
      </c>
      <c r="AD23" s="130" t="str">
        <f t="shared" si="4"/>
        <v>UTM</v>
      </c>
      <c r="AE23" s="129">
        <f t="shared" si="5"/>
        <v>3.4329563812600969E-3</v>
      </c>
      <c r="AF23" s="129">
        <f t="shared" si="6"/>
        <v>2.3391812865497075E-2</v>
      </c>
      <c r="AG23" s="129">
        <f t="shared" si="7"/>
        <v>1.6757865937072503E-2</v>
      </c>
      <c r="AH23" s="129">
        <f t="shared" si="8"/>
        <v>0</v>
      </c>
      <c r="AI23" s="129">
        <f t="shared" si="9"/>
        <v>3.0394653087205601E-2</v>
      </c>
      <c r="AJ23" s="129">
        <f t="shared" si="10"/>
        <v>5.0848086242705967E-2</v>
      </c>
      <c r="AK23" s="58">
        <f t="shared" si="11"/>
        <v>8271.475817851373</v>
      </c>
      <c r="AL23" s="58">
        <f t="shared" si="12"/>
        <v>56360.988304093567</v>
      </c>
      <c r="AM23" s="58">
        <f t="shared" si="13"/>
        <v>40376.942629958961</v>
      </c>
      <c r="AN23" s="58">
        <f t="shared" si="14"/>
        <v>0</v>
      </c>
      <c r="AO23" s="58">
        <f t="shared" si="15"/>
        <v>73233.857375875246</v>
      </c>
      <c r="AP23" s="58">
        <f t="shared" si="16"/>
        <v>122515.01884395709</v>
      </c>
      <c r="AQ23" s="133">
        <f t="shared" si="17"/>
        <v>300758.28297173628</v>
      </c>
      <c r="AR23" s="58">
        <f t="shared" si="25"/>
        <v>300758</v>
      </c>
      <c r="AS23" s="16" t="str">
        <f t="shared" si="18"/>
        <v>UTM</v>
      </c>
    </row>
    <row r="24" spans="1:45" x14ac:dyDescent="0.2">
      <c r="A24" s="27" t="s">
        <v>160</v>
      </c>
      <c r="B24" s="27" t="s">
        <v>152</v>
      </c>
      <c r="C24" s="37"/>
      <c r="D24" s="146">
        <f t="shared" si="19"/>
        <v>0</v>
      </c>
      <c r="E24" s="137"/>
      <c r="F24" s="37"/>
      <c r="G24" s="37"/>
      <c r="H24" s="37"/>
      <c r="I24" s="37"/>
      <c r="J24" s="109"/>
      <c r="K24" s="109"/>
      <c r="L24" s="109"/>
      <c r="M24" s="109">
        <f t="shared" si="3"/>
        <v>0</v>
      </c>
      <c r="N24" s="146">
        <f t="shared" si="20"/>
        <v>0</v>
      </c>
      <c r="P24" s="154" t="s">
        <v>152</v>
      </c>
      <c r="Q24" s="18">
        <v>0</v>
      </c>
      <c r="R24" s="18">
        <v>0</v>
      </c>
      <c r="S24" s="153">
        <f t="shared" si="21"/>
        <v>0</v>
      </c>
      <c r="T24" s="153">
        <f t="shared" si="22"/>
        <v>0</v>
      </c>
      <c r="V24" s="27"/>
      <c r="W24" s="27"/>
      <c r="X24" s="26">
        <v>0</v>
      </c>
      <c r="Y24" s="147">
        <f t="shared" si="23"/>
        <v>0</v>
      </c>
      <c r="AA24" s="37"/>
      <c r="AB24" s="146">
        <f t="shared" si="24"/>
        <v>0</v>
      </c>
      <c r="AD24" s="130" t="str">
        <f t="shared" si="4"/>
        <v>URO</v>
      </c>
      <c r="AE24" s="129">
        <f t="shared" si="5"/>
        <v>0</v>
      </c>
      <c r="AF24" s="129">
        <f t="shared" si="6"/>
        <v>0</v>
      </c>
      <c r="AG24" s="129">
        <f t="shared" si="7"/>
        <v>0</v>
      </c>
      <c r="AH24" s="129">
        <f t="shared" si="8"/>
        <v>0</v>
      </c>
      <c r="AI24" s="129">
        <f t="shared" si="9"/>
        <v>0</v>
      </c>
      <c r="AJ24" s="129">
        <f t="shared" si="10"/>
        <v>0</v>
      </c>
      <c r="AK24" s="58">
        <f t="shared" si="11"/>
        <v>0</v>
      </c>
      <c r="AL24" s="58">
        <f t="shared" si="12"/>
        <v>0</v>
      </c>
      <c r="AM24" s="58">
        <f t="shared" si="13"/>
        <v>0</v>
      </c>
      <c r="AN24" s="58">
        <f t="shared" si="14"/>
        <v>0</v>
      </c>
      <c r="AO24" s="58">
        <f t="shared" si="15"/>
        <v>0</v>
      </c>
      <c r="AP24" s="58">
        <f t="shared" si="16"/>
        <v>0</v>
      </c>
      <c r="AQ24" s="133">
        <f t="shared" si="17"/>
        <v>0</v>
      </c>
      <c r="AR24" s="58">
        <f t="shared" si="25"/>
        <v>0</v>
      </c>
      <c r="AS24" s="16" t="str">
        <f t="shared" si="18"/>
        <v>URO</v>
      </c>
    </row>
    <row r="25" spans="1:45" x14ac:dyDescent="0.2">
      <c r="A25" s="27" t="s">
        <v>161</v>
      </c>
      <c r="B25" s="27" t="s">
        <v>153</v>
      </c>
      <c r="C25" s="37"/>
      <c r="D25" s="146">
        <f t="shared" si="19"/>
        <v>0</v>
      </c>
      <c r="E25" s="137"/>
      <c r="F25" s="37"/>
      <c r="G25" s="37"/>
      <c r="H25" s="37"/>
      <c r="I25" s="37"/>
      <c r="J25" s="109"/>
      <c r="K25" s="109"/>
      <c r="L25" s="109"/>
      <c r="M25" s="109">
        <f t="shared" si="3"/>
        <v>0</v>
      </c>
      <c r="N25" s="146">
        <f t="shared" si="20"/>
        <v>0</v>
      </c>
      <c r="P25" s="154" t="s">
        <v>153</v>
      </c>
      <c r="Q25" s="18">
        <v>0</v>
      </c>
      <c r="R25" s="18">
        <v>0</v>
      </c>
      <c r="S25" s="153">
        <f t="shared" si="21"/>
        <v>0</v>
      </c>
      <c r="T25" s="153">
        <f t="shared" si="22"/>
        <v>0</v>
      </c>
      <c r="V25" s="27"/>
      <c r="W25" s="27"/>
      <c r="X25" s="26">
        <v>0</v>
      </c>
      <c r="Y25" s="147">
        <f t="shared" si="23"/>
        <v>0</v>
      </c>
      <c r="AA25" s="37"/>
      <c r="AB25" s="146">
        <f t="shared" si="24"/>
        <v>0</v>
      </c>
      <c r="AD25" s="130" t="str">
        <f t="shared" si="4"/>
        <v>URY</v>
      </c>
      <c r="AE25" s="129">
        <f t="shared" si="5"/>
        <v>0</v>
      </c>
      <c r="AF25" s="129">
        <f t="shared" si="6"/>
        <v>0</v>
      </c>
      <c r="AG25" s="129">
        <f t="shared" si="7"/>
        <v>0</v>
      </c>
      <c r="AH25" s="129">
        <f t="shared" si="8"/>
        <v>0</v>
      </c>
      <c r="AI25" s="129">
        <f t="shared" si="9"/>
        <v>0</v>
      </c>
      <c r="AJ25" s="129">
        <f t="shared" si="10"/>
        <v>0</v>
      </c>
      <c r="AK25" s="58">
        <f t="shared" si="11"/>
        <v>0</v>
      </c>
      <c r="AL25" s="58">
        <f t="shared" si="12"/>
        <v>0</v>
      </c>
      <c r="AM25" s="58">
        <f t="shared" si="13"/>
        <v>0</v>
      </c>
      <c r="AN25" s="58">
        <f t="shared" si="14"/>
        <v>0</v>
      </c>
      <c r="AO25" s="58">
        <f t="shared" si="15"/>
        <v>0</v>
      </c>
      <c r="AP25" s="58">
        <f t="shared" si="16"/>
        <v>0</v>
      </c>
      <c r="AQ25" s="133">
        <f t="shared" si="17"/>
        <v>0</v>
      </c>
      <c r="AR25" s="58">
        <f t="shared" si="25"/>
        <v>0</v>
      </c>
      <c r="AS25" s="16" t="str">
        <f t="shared" si="18"/>
        <v>URY</v>
      </c>
    </row>
    <row r="26" spans="1:45" s="106" customFormat="1" x14ac:dyDescent="0.2">
      <c r="C26" s="107">
        <f>SUM(C8:C25)</f>
        <v>4952</v>
      </c>
      <c r="D26" s="107"/>
      <c r="E26" s="138"/>
      <c r="F26" s="107"/>
      <c r="G26" s="107">
        <f>SUM(G8:G25)</f>
        <v>61</v>
      </c>
      <c r="H26" s="107"/>
      <c r="I26" s="107"/>
      <c r="J26" s="144">
        <f t="shared" ref="J26:L26" si="26">SUM(J8:J25)</f>
        <v>1000</v>
      </c>
      <c r="K26" s="144">
        <f>SUM(K8:K25)</f>
        <v>400</v>
      </c>
      <c r="L26" s="144">
        <f t="shared" si="26"/>
        <v>1042.8571428571429</v>
      </c>
      <c r="M26" s="145">
        <f t="shared" ref="M26:N26" si="27">SUM(M8:M25)</f>
        <v>2442.8571428571431</v>
      </c>
      <c r="N26" s="150">
        <f t="shared" si="27"/>
        <v>1</v>
      </c>
      <c r="Q26" s="106">
        <f>SUM(Q8:Q25)</f>
        <v>6284</v>
      </c>
      <c r="R26" s="106">
        <f>SUM(R8:R25)</f>
        <v>2924</v>
      </c>
      <c r="S26" s="148">
        <f>SUM(S8:S25)</f>
        <v>1.0000000000000002</v>
      </c>
      <c r="T26" s="148">
        <f>SUM(T8:T25)</f>
        <v>1.0000000000000002</v>
      </c>
      <c r="X26" s="106">
        <f>SUM(X8:X25)</f>
        <v>73</v>
      </c>
      <c r="Z26" s="16"/>
      <c r="AA26" s="107">
        <f>SUM(AA8:AA25)</f>
        <v>161776</v>
      </c>
      <c r="AB26" s="141"/>
      <c r="AE26" s="131">
        <f t="shared" ref="AE26:AK26" si="28">SUM(AE8:AE25)</f>
        <v>1</v>
      </c>
      <c r="AF26" s="131">
        <f>SUM(AF8:AF25)</f>
        <v>1</v>
      </c>
      <c r="AG26" s="131">
        <f t="shared" si="28"/>
        <v>1.0000000000000002</v>
      </c>
      <c r="AH26" s="131">
        <f t="shared" si="28"/>
        <v>1</v>
      </c>
      <c r="AI26" s="131">
        <f>SUM(AI8:AI25)</f>
        <v>1.0000000000000002</v>
      </c>
      <c r="AJ26" s="131">
        <f t="shared" si="28"/>
        <v>1</v>
      </c>
      <c r="AK26" s="169">
        <f t="shared" si="28"/>
        <v>2409432.25</v>
      </c>
      <c r="AL26" s="169">
        <f>SUM(AL8:AL25)</f>
        <v>2409432.2499999991</v>
      </c>
      <c r="AM26" s="169">
        <f t="shared" ref="AM26:AR26" si="29">SUM(AM8:AM25)</f>
        <v>2409432.25</v>
      </c>
      <c r="AN26" s="169">
        <f t="shared" si="29"/>
        <v>2409432.2499999995</v>
      </c>
      <c r="AO26" s="169">
        <f>SUM(AO8:AO25)</f>
        <v>2409432.25</v>
      </c>
      <c r="AP26" s="169">
        <f t="shared" si="29"/>
        <v>2409432.2500000005</v>
      </c>
      <c r="AQ26" s="169">
        <f t="shared" si="29"/>
        <v>14456593.500000002</v>
      </c>
      <c r="AR26" s="170">
        <f t="shared" si="29"/>
        <v>14456593</v>
      </c>
    </row>
    <row r="27" spans="1:45" x14ac:dyDescent="0.2">
      <c r="Z27" s="106"/>
    </row>
    <row r="28" spans="1:45" ht="12.75" customHeight="1" x14ac:dyDescent="0.2"/>
    <row r="31" spans="1:45" ht="42" customHeight="1" x14ac:dyDescent="0.2"/>
    <row r="32" spans="1:45" ht="42" customHeight="1" x14ac:dyDescent="0.2"/>
    <row r="33" ht="42" customHeight="1" x14ac:dyDescent="0.2"/>
  </sheetData>
  <mergeCells count="6">
    <mergeCell ref="AI6:AJ6"/>
    <mergeCell ref="AD4:AJ4"/>
    <mergeCell ref="AE6:AH6"/>
    <mergeCell ref="V6:Y6"/>
    <mergeCell ref="F6:I6"/>
    <mergeCell ref="Q6:R6"/>
  </mergeCells>
  <pageMargins left="0.31496062992125984" right="0.11811023622047245" top="0.35433070866141736" bottom="0.15748031496062992" header="0.31496062992125984" footer="0.31496062992125984"/>
  <pageSetup paperSize="14" scale="74" orientation="landscape" verticalDpi="0" r:id="rId1"/>
  <colBreaks count="1" manualBreakCount="1"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1:BE21"/>
  <sheetViews>
    <sheetView showGridLines="0" workbookViewId="0">
      <selection activeCell="AE30" sqref="AE30"/>
    </sheetView>
  </sheetViews>
  <sheetFormatPr baseColWidth="10" defaultColWidth="11.5" defaultRowHeight="11" x14ac:dyDescent="0.15"/>
  <cols>
    <col min="1" max="1" width="45.6640625" style="1" bestFit="1" customWidth="1"/>
    <col min="2" max="2" width="33.6640625" style="1" bestFit="1" customWidth="1"/>
    <col min="3" max="3" width="4" style="1" customWidth="1"/>
    <col min="4" max="4" width="9.6640625" style="1" bestFit="1" customWidth="1"/>
    <col min="5" max="6" width="6.5" style="6" customWidth="1"/>
    <col min="7" max="10" width="10" style="1" customWidth="1"/>
    <col min="11" max="12" width="9.6640625" style="1" customWidth="1"/>
    <col min="13" max="16" width="7.5" style="1" customWidth="1"/>
    <col min="17" max="20" width="9" style="1" customWidth="1"/>
    <col min="21" max="22" width="11.33203125" style="1" customWidth="1"/>
    <col min="23" max="23" width="12.83203125" style="1" customWidth="1"/>
    <col min="24" max="24" width="11.33203125" style="1" customWidth="1"/>
    <col min="25" max="25" width="9.5" style="1" customWidth="1"/>
    <col min="26" max="27" width="8.6640625" style="1" customWidth="1"/>
    <col min="28" max="29" width="7.1640625" style="1" customWidth="1"/>
    <col min="30" max="30" width="16" style="12" customWidth="1"/>
    <col min="31" max="31" width="15" style="13" bestFit="1" customWidth="1"/>
    <col min="32" max="32" width="16.5" style="12" customWidth="1"/>
    <col min="33" max="33" width="13.5" style="12" bestFit="1" customWidth="1"/>
    <col min="34" max="34" width="11.1640625" style="12" bestFit="1" customWidth="1"/>
    <col min="35" max="35" width="13.5" style="12" bestFit="1" customWidth="1"/>
    <col min="36" max="36" width="11.1640625" style="12" bestFit="1" customWidth="1"/>
    <col min="37" max="37" width="13.5" style="12" bestFit="1" customWidth="1"/>
    <col min="38" max="38" width="11.1640625" style="12" bestFit="1" customWidth="1"/>
    <col min="39" max="39" width="13.5" style="12" bestFit="1" customWidth="1"/>
    <col min="40" max="52" width="13.5" style="12" customWidth="1"/>
    <col min="53" max="53" width="6.6640625" style="15" customWidth="1"/>
    <col min="54" max="55" width="11.5" style="1"/>
    <col min="56" max="56" width="13.5" style="1" customWidth="1"/>
    <col min="57" max="57" width="13.6640625" style="1" customWidth="1"/>
    <col min="58" max="16384" width="11.5" style="1"/>
  </cols>
  <sheetData>
    <row r="1" spans="1:57" s="11" customFormat="1" ht="12" x14ac:dyDescent="0.15">
      <c r="E1" s="11" t="s">
        <v>73</v>
      </c>
      <c r="F1" s="11" t="s">
        <v>180</v>
      </c>
      <c r="G1" s="11" t="s">
        <v>178</v>
      </c>
      <c r="I1" s="11" t="s">
        <v>67</v>
      </c>
      <c r="J1" s="11" t="s">
        <v>67</v>
      </c>
      <c r="K1" s="11" t="s">
        <v>62</v>
      </c>
      <c r="L1" s="11" t="s">
        <v>62</v>
      </c>
      <c r="M1" s="11" t="s">
        <v>179</v>
      </c>
      <c r="N1" s="11" t="s">
        <v>177</v>
      </c>
      <c r="O1" s="11" t="s">
        <v>64</v>
      </c>
      <c r="P1" s="11" t="s">
        <v>64</v>
      </c>
      <c r="Q1" s="11" t="s">
        <v>72</v>
      </c>
      <c r="R1" s="11" t="s">
        <v>72</v>
      </c>
      <c r="S1" s="11" t="s">
        <v>72</v>
      </c>
      <c r="T1" s="11" t="s">
        <v>72</v>
      </c>
      <c r="U1" s="11" t="s">
        <v>68</v>
      </c>
      <c r="V1" s="11" t="s">
        <v>68</v>
      </c>
      <c r="W1" s="11" t="s">
        <v>69</v>
      </c>
      <c r="X1" s="11" t="s">
        <v>69</v>
      </c>
      <c r="Y1" s="11" t="s">
        <v>70</v>
      </c>
      <c r="Z1" s="11" t="s">
        <v>70</v>
      </c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225">
        <f>SUM(BD2:BD4)</f>
        <v>27564136.530000001</v>
      </c>
    </row>
    <row r="2" spans="1:57" s="5" customFormat="1" ht="20" x14ac:dyDescent="0.2">
      <c r="A2" s="254" t="s">
        <v>55</v>
      </c>
      <c r="B2" s="255"/>
      <c r="C2" s="255"/>
      <c r="D2" s="256"/>
      <c r="E2" s="257" t="s">
        <v>60</v>
      </c>
      <c r="F2" s="258"/>
      <c r="G2" s="257" t="s">
        <v>57</v>
      </c>
      <c r="H2" s="259"/>
      <c r="I2" s="259"/>
      <c r="J2" s="258"/>
      <c r="K2" s="260" t="s">
        <v>58</v>
      </c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2"/>
      <c r="AA2" s="100"/>
      <c r="AB2" s="100"/>
      <c r="AC2" s="100"/>
      <c r="AD2" s="195" t="s">
        <v>96</v>
      </c>
      <c r="AE2" s="196">
        <f>MAX(AD6:AD7)</f>
        <v>3.9467489668881104</v>
      </c>
      <c r="AF2" s="195"/>
      <c r="AG2" s="196">
        <f>MAX(AF6:AF7)</f>
        <v>0.49530168150346243</v>
      </c>
      <c r="AH2" s="195"/>
      <c r="AI2" s="196">
        <f>MAX(AH6:AH7)</f>
        <v>0.75367763116358411</v>
      </c>
      <c r="AJ2" s="195"/>
      <c r="AK2" s="196">
        <f>MAX(AJ6:AJ7)</f>
        <v>1.096828503482967</v>
      </c>
      <c r="AL2" s="195"/>
      <c r="AM2" s="196">
        <f>MAX(AL6:AL7)</f>
        <v>2.2144655357389484</v>
      </c>
      <c r="AN2" s="195"/>
      <c r="AO2" s="196">
        <f>MAX(AN6:AN7)</f>
        <v>5.8573206932873694</v>
      </c>
      <c r="AP2" s="195"/>
      <c r="AQ2" s="196">
        <f>MAX(AP6:AP7)</f>
        <v>0.65954346770276828</v>
      </c>
      <c r="AR2" s="195"/>
      <c r="AS2" s="196">
        <f>MAX(AR6:AR7)</f>
        <v>0.83977110157367663</v>
      </c>
      <c r="AT2" s="195"/>
      <c r="AU2" s="196">
        <f>MAX(AT6:AT7)</f>
        <v>0.71343045300339258</v>
      </c>
      <c r="AV2" s="196"/>
      <c r="AW2" s="195"/>
      <c r="AX2" s="196">
        <f>MAX(AW6:AW7)</f>
        <v>0.26250000000000001</v>
      </c>
      <c r="AY2" s="195"/>
      <c r="AZ2" s="196">
        <f>MAX(AY6:AY7)</f>
        <v>16.795401472965597</v>
      </c>
      <c r="BA2" s="197"/>
      <c r="BB2" s="195"/>
      <c r="BC2" s="196">
        <f>SUM(BB6:BB7)</f>
        <v>1.6672395276636216</v>
      </c>
      <c r="BD2" s="226">
        <f>BE2*'CM_Calculo 2017'!$K$32</f>
        <v>5512827.3060000008</v>
      </c>
      <c r="BE2" s="73">
        <f>6/30</f>
        <v>0.2</v>
      </c>
    </row>
    <row r="3" spans="1:57" s="5" customFormat="1" ht="20" x14ac:dyDescent="0.2">
      <c r="E3" s="212"/>
      <c r="F3" s="213"/>
      <c r="G3" s="212"/>
      <c r="H3" s="205"/>
      <c r="I3" s="205"/>
      <c r="J3" s="213"/>
      <c r="K3" s="217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9"/>
      <c r="AA3" s="100"/>
      <c r="AB3" s="100"/>
      <c r="AC3" s="100"/>
      <c r="AD3" s="195" t="s">
        <v>97</v>
      </c>
      <c r="AE3" s="196">
        <f>MAX(AD8:AD15)</f>
        <v>4.0115364446775041</v>
      </c>
      <c r="AF3" s="195"/>
      <c r="AG3" s="196">
        <f>MAX(AF8:AF15)</f>
        <v>0.4902231668437832</v>
      </c>
      <c r="AH3" s="195"/>
      <c r="AI3" s="196">
        <f>MAX(AH8:AH15)</f>
        <v>0.95967056323060573</v>
      </c>
      <c r="AJ3" s="195"/>
      <c r="AK3" s="196">
        <f>MAX(AJ8:AJ15)</f>
        <v>1.0998652125964958</v>
      </c>
      <c r="AL3" s="195"/>
      <c r="AM3" s="196">
        <f>MAX(AL8:AL15)</f>
        <v>2.2527293261387875</v>
      </c>
      <c r="AN3" s="195"/>
      <c r="AO3" s="196">
        <f>MAX(AN8:AN15)</f>
        <v>6.3271092669432916</v>
      </c>
      <c r="AP3" s="195"/>
      <c r="AQ3" s="196">
        <f>MAX(AP8:AP15)</f>
        <v>0.79973935708079935</v>
      </c>
      <c r="AR3" s="195"/>
      <c r="AS3" s="196">
        <f>MAX(AR8:AR15)</f>
        <v>0.86436781609195401</v>
      </c>
      <c r="AT3" s="195"/>
      <c r="AU3" s="196">
        <f>MAX(AT8:AT15)</f>
        <v>0.7530805687203791</v>
      </c>
      <c r="AV3" s="196"/>
      <c r="AW3" s="195"/>
      <c r="AX3" s="196">
        <f>MAX(AW8:AW15)</f>
        <v>1</v>
      </c>
      <c r="AY3" s="195"/>
      <c r="AZ3" s="196">
        <f>MAX(AY8:AY15)</f>
        <v>11.689691817215724</v>
      </c>
      <c r="BA3" s="197"/>
      <c r="BB3" s="195"/>
      <c r="BC3" s="196">
        <f>SUM(BB8:BB15)</f>
        <v>5.2577233132647905</v>
      </c>
      <c r="BD3" s="226">
        <f>BE3*'CM_Calculo 2017'!$K$32</f>
        <v>14700872.816</v>
      </c>
      <c r="BE3" s="73">
        <f>16/30</f>
        <v>0.53333333333333333</v>
      </c>
    </row>
    <row r="4" spans="1:57" s="5" customFormat="1" ht="20" x14ac:dyDescent="0.2">
      <c r="E4" s="214"/>
      <c r="F4" s="215"/>
      <c r="G4" s="214"/>
      <c r="H4" s="216"/>
      <c r="I4" s="216"/>
      <c r="J4" s="215"/>
      <c r="K4" s="220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2"/>
      <c r="AA4" s="100"/>
      <c r="AB4" s="100"/>
      <c r="AC4" s="100"/>
      <c r="AD4" s="195" t="s">
        <v>98</v>
      </c>
      <c r="AE4" s="196">
        <f>MAX(AD16:AD21)</f>
        <v>4.5955882352941178</v>
      </c>
      <c r="AF4" s="195"/>
      <c r="AG4" s="196">
        <f>MAX(AF16:AF21)</f>
        <v>0.20831927100911224</v>
      </c>
      <c r="AH4" s="195"/>
      <c r="AI4" s="196">
        <f>MAX(AH16:AH21)</f>
        <v>0.6408544726301737</v>
      </c>
      <c r="AJ4" s="195"/>
      <c r="AK4" s="196">
        <f>MAX(AJ16:AJ21)</f>
        <v>0.28585892676341529</v>
      </c>
      <c r="AL4" s="195"/>
      <c r="AM4" s="196">
        <f>MAX(AL16:AL21)</f>
        <v>1.3722154718509518</v>
      </c>
      <c r="AN4" s="195"/>
      <c r="AO4" s="196">
        <f>MAX(AN16:AN21)</f>
        <v>4.7777777777777777</v>
      </c>
      <c r="AP4" s="195"/>
      <c r="AQ4" s="196">
        <f>MAX(AP16:AP21)</f>
        <v>0.81936245572609212</v>
      </c>
      <c r="AR4" s="195"/>
      <c r="AS4" s="196">
        <f>MAX(AR16:AR21)</f>
        <v>0.83542039355992848</v>
      </c>
      <c r="AT4" s="195"/>
      <c r="AU4" s="196">
        <f>MAX(AT16:AT21)</f>
        <v>0.66614664586583461</v>
      </c>
      <c r="AV4" s="196"/>
      <c r="AW4" s="195"/>
      <c r="AX4" s="196">
        <f>MAX(AW16:AW21)</f>
        <v>0</v>
      </c>
      <c r="AY4" s="195"/>
      <c r="AZ4" s="196">
        <f>MAX(AY16:AY21)</f>
        <v>0</v>
      </c>
      <c r="BA4" s="197"/>
      <c r="BB4" s="195"/>
      <c r="BC4" s="196">
        <f>SUM(BB16:BB21)</f>
        <v>4.0723883339513067</v>
      </c>
      <c r="BD4" s="226">
        <f>BE4*'CM_Calculo 2017'!$K$32</f>
        <v>7350436.4079999998</v>
      </c>
      <c r="BE4" s="73">
        <f>8/30</f>
        <v>0.26666666666666666</v>
      </c>
    </row>
    <row r="5" spans="1:57" s="7" customFormat="1" ht="58.5" customHeight="1" x14ac:dyDescent="0.2">
      <c r="A5" s="223" t="s">
        <v>0</v>
      </c>
      <c r="B5" s="211" t="s">
        <v>1</v>
      </c>
      <c r="C5" s="211" t="s">
        <v>61</v>
      </c>
      <c r="D5" s="211" t="s">
        <v>56</v>
      </c>
      <c r="E5" s="8" t="s">
        <v>59</v>
      </c>
      <c r="F5" s="8" t="s">
        <v>110</v>
      </c>
      <c r="G5" s="8" t="s">
        <v>118</v>
      </c>
      <c r="H5" s="9" t="s">
        <v>119</v>
      </c>
      <c r="I5" s="8" t="s">
        <v>120</v>
      </c>
      <c r="J5" s="8" t="s">
        <v>121</v>
      </c>
      <c r="K5" s="206" t="s">
        <v>122</v>
      </c>
      <c r="L5" s="206" t="s">
        <v>123</v>
      </c>
      <c r="M5" s="207" t="s">
        <v>124</v>
      </c>
      <c r="N5" s="206" t="s">
        <v>125</v>
      </c>
      <c r="O5" s="206" t="s">
        <v>126</v>
      </c>
      <c r="P5" s="206" t="s">
        <v>127</v>
      </c>
      <c r="Q5" s="208" t="s">
        <v>53</v>
      </c>
      <c r="R5" s="208" t="s">
        <v>54</v>
      </c>
      <c r="S5" s="208" t="s">
        <v>128</v>
      </c>
      <c r="T5" s="208" t="s">
        <v>129</v>
      </c>
      <c r="U5" s="209" t="s">
        <v>130</v>
      </c>
      <c r="V5" s="210" t="s">
        <v>131</v>
      </c>
      <c r="W5" s="209" t="s">
        <v>133</v>
      </c>
      <c r="X5" s="209" t="s">
        <v>132</v>
      </c>
      <c r="Y5" s="209" t="s">
        <v>135</v>
      </c>
      <c r="Z5" s="209" t="s">
        <v>134</v>
      </c>
      <c r="AA5" s="211" t="s">
        <v>56</v>
      </c>
      <c r="AB5" s="8" t="s">
        <v>95</v>
      </c>
      <c r="AC5" s="8" t="s">
        <v>136</v>
      </c>
      <c r="AD5" s="198" t="s">
        <v>62</v>
      </c>
      <c r="AE5" s="199" t="s">
        <v>99</v>
      </c>
      <c r="AF5" s="198" t="s">
        <v>63</v>
      </c>
      <c r="AG5" s="199" t="s">
        <v>100</v>
      </c>
      <c r="AH5" s="198" t="s">
        <v>64</v>
      </c>
      <c r="AI5" s="199" t="s">
        <v>101</v>
      </c>
      <c r="AJ5" s="198" t="s">
        <v>65</v>
      </c>
      <c r="AK5" s="199" t="s">
        <v>102</v>
      </c>
      <c r="AL5" s="198" t="s">
        <v>66</v>
      </c>
      <c r="AM5" s="199" t="s">
        <v>103</v>
      </c>
      <c r="AN5" s="198" t="s">
        <v>67</v>
      </c>
      <c r="AO5" s="199" t="s">
        <v>104</v>
      </c>
      <c r="AP5" s="198" t="s">
        <v>68</v>
      </c>
      <c r="AQ5" s="199" t="s">
        <v>105</v>
      </c>
      <c r="AR5" s="198" t="s">
        <v>69</v>
      </c>
      <c r="AS5" s="199" t="s">
        <v>106</v>
      </c>
      <c r="AT5" s="198" t="s">
        <v>70</v>
      </c>
      <c r="AU5" s="199" t="s">
        <v>107</v>
      </c>
      <c r="AV5" s="198" t="s">
        <v>72</v>
      </c>
      <c r="AW5" s="198" t="s">
        <v>72</v>
      </c>
      <c r="AX5" s="199" t="s">
        <v>71</v>
      </c>
      <c r="AY5" s="198" t="s">
        <v>73</v>
      </c>
      <c r="AZ5" s="199" t="s">
        <v>108</v>
      </c>
      <c r="BA5" s="199"/>
      <c r="BB5" s="199" t="s">
        <v>74</v>
      </c>
      <c r="BC5" s="199" t="s">
        <v>109</v>
      </c>
      <c r="BD5" s="227" t="s">
        <v>155</v>
      </c>
      <c r="BE5" s="166" t="s">
        <v>156</v>
      </c>
    </row>
    <row r="6" spans="1:57" ht="11.25" customHeight="1" x14ac:dyDescent="0.15">
      <c r="A6" s="224" t="s">
        <v>11</v>
      </c>
      <c r="B6" s="224" t="s">
        <v>12</v>
      </c>
      <c r="C6" s="224">
        <v>70</v>
      </c>
      <c r="D6" s="224" t="s">
        <v>40</v>
      </c>
      <c r="E6" s="2">
        <v>2</v>
      </c>
      <c r="F6" s="2">
        <v>10</v>
      </c>
      <c r="G6" s="2">
        <f>VLOOKUP($D6,[1]Presentación!$B$44:$D$68,2,0)</f>
        <v>2369</v>
      </c>
      <c r="H6" s="2">
        <f>VLOOKUP($D6,[1]Presentación!$B$44:$D$68,3,0)</f>
        <v>3206</v>
      </c>
      <c r="I6" s="51">
        <f>VLOOKUP($D6,[1]Presentación!$B$13:$D$37,2,0)</f>
        <v>10443</v>
      </c>
      <c r="J6" s="51">
        <f>VLOOKUP($D6,[1]Presentación!$B$13:$D$37,3,0)</f>
        <v>61168</v>
      </c>
      <c r="K6" s="2">
        <f>VLOOKUP($B6,'[2]Indicador a)'!$C$2:$H$61,4,0)</f>
        <v>1509</v>
      </c>
      <c r="L6" s="2">
        <f>VLOOKUP($B6,'[2]Indicador a)'!$C$2:$H$61,5,0)</f>
        <v>38234</v>
      </c>
      <c r="M6" s="10">
        <f>VLOOKUP($B6,'[2]Indicador c)'!$C$3:$J$62,7,0)</f>
        <v>2159.8636363636306</v>
      </c>
      <c r="N6" s="10">
        <f>VLOOKUP($B6,'[2]Indicador c)'!$C$3:$J$62,4,0)</f>
        <v>1069.7840909090892</v>
      </c>
      <c r="O6" s="10">
        <f>VLOOKUP($B6,'[2]Indicador c)'!$C$3:$J$62,5,0)</f>
        <v>434.19318181818016</v>
      </c>
      <c r="P6" s="10">
        <f>VLOOKUP($B6,'[2]Indicador c)'!$C$3:$J$62,6,0)</f>
        <v>123.8636363636364</v>
      </c>
      <c r="Q6" s="2">
        <v>193</v>
      </c>
      <c r="R6" s="2">
        <v>227</v>
      </c>
      <c r="S6" s="2">
        <f>VLOOKUP($B6,'[3]Indicador j)'!$E$7:$O$30,4,0)</f>
        <v>188</v>
      </c>
      <c r="T6" s="2">
        <f>VLOOKUP($B6,'[3]Indicador j)'!$E$7:$O$30,11,0)</f>
        <v>21</v>
      </c>
      <c r="U6" s="3">
        <f>VLOOKUP($B6,'[2]Ind g) 2016 con QUINTIL PERFIL'!$E$8:$S$68,11,0)</f>
        <v>6107</v>
      </c>
      <c r="V6" s="3">
        <f>VLOOKUP($B6,'[2]Ind g) 2016 con QUINTIL PERFIL'!$E$8:$S$68,15,0)</f>
        <v>2775</v>
      </c>
      <c r="W6" s="3">
        <f>VLOOKUP($B6,'[2]Indicador h)'!$D$10:$R$70,11,0)</f>
        <v>5592</v>
      </c>
      <c r="X6" s="3">
        <f>VLOOKUP($B6,'[2]Indicador h)'!$D$10:$R$70,15,0)</f>
        <v>4696</v>
      </c>
      <c r="Y6" s="4">
        <f>VLOOKUP($B6,'[2]Indicador i. 1)'!$C$10:$Q$71,11,0)</f>
        <v>5011</v>
      </c>
      <c r="Z6" s="4">
        <f>VLOOKUP($B6,'[2]Indicador i. 1)'!$C$10:$Q$71,15,0)</f>
        <v>3575</v>
      </c>
      <c r="AA6" s="4" t="str">
        <f t="shared" ref="AA6:AA21" si="0">+D6</f>
        <v>UCH</v>
      </c>
      <c r="AB6" s="52" t="s">
        <v>4</v>
      </c>
      <c r="AC6" s="52" t="str">
        <f>VLOOKUP(AA6,'Categoria 2017'!$B$8:$J$23,9,0)</f>
        <v>I</v>
      </c>
      <c r="AD6" s="200">
        <f>K6/(L6/100)</f>
        <v>3.9467489668881104</v>
      </c>
      <c r="AE6" s="201">
        <f>AD6/AE$2</f>
        <v>1</v>
      </c>
      <c r="AF6" s="200">
        <f t="shared" ref="AF6:AF21" si="1">N6/M6</f>
        <v>0.49530168150346243</v>
      </c>
      <c r="AG6" s="201">
        <f>AF6/AG$2</f>
        <v>1</v>
      </c>
      <c r="AH6" s="200">
        <f t="shared" ref="AH6:AH21" si="2">(N6+O6+P6)/M6</f>
        <v>0.75367763116358411</v>
      </c>
      <c r="AI6" s="201">
        <f>AH6/AI$2</f>
        <v>1</v>
      </c>
      <c r="AJ6" s="200">
        <f>G6/M6</f>
        <v>1.096828503482967</v>
      </c>
      <c r="AK6" s="201">
        <f>AJ6/AK$2</f>
        <v>1</v>
      </c>
      <c r="AL6" s="200">
        <f t="shared" ref="AL6:AL21" si="3">G6/N6</f>
        <v>2.2144655357389484</v>
      </c>
      <c r="AM6" s="201">
        <f>AL6/AM$2</f>
        <v>1</v>
      </c>
      <c r="AN6" s="200">
        <f t="shared" ref="AN6:AN21" si="4">J6/I6</f>
        <v>5.8573206932873694</v>
      </c>
      <c r="AO6" s="201">
        <f>AN6/AO$2</f>
        <v>1</v>
      </c>
      <c r="AP6" s="200">
        <f t="shared" ref="AP6:AP21" si="5">V6/U6</f>
        <v>0.45439659407237598</v>
      </c>
      <c r="AQ6" s="201">
        <f>AP6/AQ$2</f>
        <v>0.68895624977542136</v>
      </c>
      <c r="AR6" s="200">
        <f>X6/W6</f>
        <v>0.83977110157367663</v>
      </c>
      <c r="AS6" s="201">
        <f>AR6/AS$2</f>
        <v>1</v>
      </c>
      <c r="AT6" s="200">
        <f>Z6/Y6</f>
        <v>0.71343045300339258</v>
      </c>
      <c r="AU6" s="201">
        <f>AT6/AU$2</f>
        <v>1</v>
      </c>
      <c r="AV6" s="200">
        <f>T6/S6</f>
        <v>0.11170212765957446</v>
      </c>
      <c r="AW6" s="200">
        <f t="shared" ref="AW6:AW12" si="6">T6/S6</f>
        <v>0.11170212765957446</v>
      </c>
      <c r="AX6" s="201">
        <f>AW6/AX$2</f>
        <v>0.42553191489361697</v>
      </c>
      <c r="AY6" s="200">
        <f>(E6+F6)*1000/M6</f>
        <v>5.5559063072163797</v>
      </c>
      <c r="AZ6" s="201">
        <f>AY6/AZ$2</f>
        <v>0.33079925574624341</v>
      </c>
      <c r="BA6" s="202" t="str">
        <f t="shared" ref="BA6:BA21" si="7">+D6</f>
        <v>UCH</v>
      </c>
      <c r="BB6" s="203">
        <f>AVERAGE(AE6,AG6,AI6,AK6,AM6,AO6,AQ6,AS6,AU6,AX6,AZ6)</f>
        <v>0.85866249276502549</v>
      </c>
      <c r="BC6" s="201">
        <f>BB6/BC$2</f>
        <v>0.51502047457350542</v>
      </c>
      <c r="BD6" s="228">
        <f>$BC6*$BD$2</f>
        <v>2839218.9353778996</v>
      </c>
      <c r="BE6" s="167">
        <f>ROUND(BD6,0)</f>
        <v>2839219</v>
      </c>
    </row>
    <row r="7" spans="1:57" ht="11.25" customHeight="1" x14ac:dyDescent="0.15">
      <c r="A7" s="224" t="s">
        <v>23</v>
      </c>
      <c r="B7" s="224" t="s">
        <v>24</v>
      </c>
      <c r="C7" s="224">
        <v>71</v>
      </c>
      <c r="D7" s="224" t="s">
        <v>37</v>
      </c>
      <c r="E7" s="2">
        <v>2</v>
      </c>
      <c r="F7" s="2">
        <v>15</v>
      </c>
      <c r="G7" s="2">
        <f>VLOOKUP($D7,[1]Presentación!$B$44:$D$68,2,0)</f>
        <v>475</v>
      </c>
      <c r="H7" s="2">
        <f>VLOOKUP($D7,[1]Presentación!$B$44:$D$68,3,0)</f>
        <v>419</v>
      </c>
      <c r="I7" s="51">
        <f>VLOOKUP($D7,[1]Presentación!$B$13:$D$37,2,0)</f>
        <v>2232</v>
      </c>
      <c r="J7" s="51">
        <f>VLOOKUP($D7,[1]Presentación!$B$13:$D$37,3,0)</f>
        <v>9572</v>
      </c>
      <c r="K7" s="2">
        <f>VLOOKUP($B7,'[2]Indicador a)'!$C$2:$H$61,4,0)</f>
        <v>577</v>
      </c>
      <c r="L7" s="2">
        <f>VLOOKUP($B7,'[2]Indicador a)'!$C$2:$H$61,5,0)</f>
        <v>23450</v>
      </c>
      <c r="M7" s="10">
        <f>VLOOKUP($B7,'[2]Indicador c)'!$C$3:$J$62,7,0)</f>
        <v>1012.1818181818237</v>
      </c>
      <c r="N7" s="10">
        <f>VLOOKUP($B7,'[2]Indicador c)'!$C$3:$J$62,4,0)</f>
        <v>417.27272727272748</v>
      </c>
      <c r="O7" s="10">
        <f>VLOOKUP($B7,'[2]Indicador c)'!$C$3:$J$62,5,0)</f>
        <v>285.06818181818403</v>
      </c>
      <c r="P7" s="10">
        <f>VLOOKUP($B7,'[2]Indicador c)'!$C$3:$J$62,6,0)</f>
        <v>8.5227272727272734</v>
      </c>
      <c r="Q7" s="2">
        <v>61</v>
      </c>
      <c r="R7" s="2">
        <v>74</v>
      </c>
      <c r="S7" s="2">
        <f>VLOOKUP($B7,'[3]Indicador j)'!$E$7:$O$30,4,0)</f>
        <v>80</v>
      </c>
      <c r="T7" s="2">
        <f>VLOOKUP($B7,'[3]Indicador j)'!$E$7:$O$30,11,0)</f>
        <v>21</v>
      </c>
      <c r="U7" s="3">
        <f>VLOOKUP($B7,'[2]Ind g) 2016 con QUINTIL PERFIL'!$E$8:$S$68,11,0)</f>
        <v>4118</v>
      </c>
      <c r="V7" s="3">
        <f>VLOOKUP($B7,'[2]Ind g) 2016 con QUINTIL PERFIL'!$E$8:$S$68,15,0)</f>
        <v>2716</v>
      </c>
      <c r="W7" s="3">
        <f>VLOOKUP($B7,'[2]Indicador h)'!$D$10:$R$70,11,0)</f>
        <v>3789</v>
      </c>
      <c r="X7" s="3">
        <f>VLOOKUP($B7,'[2]Indicador h)'!$D$10:$R$70,15,0)</f>
        <v>3031</v>
      </c>
      <c r="Y7" s="4">
        <f>VLOOKUP($B7,'[2]Indicador i. 1)'!$C$10:$Q$71,11,0)</f>
        <v>3722</v>
      </c>
      <c r="Z7" s="4">
        <f>VLOOKUP($B7,'[2]Indicador i. 1)'!$C$10:$Q$71,15,0)</f>
        <v>2337</v>
      </c>
      <c r="AA7" s="4" t="str">
        <f t="shared" si="0"/>
        <v>USA</v>
      </c>
      <c r="AB7" s="52" t="s">
        <v>4</v>
      </c>
      <c r="AC7" s="52" t="str">
        <f>VLOOKUP(AA7,'Categoria 2017'!$B$8:$J$23,9,0)</f>
        <v>I</v>
      </c>
      <c r="AD7" s="200">
        <f t="shared" ref="AD7:AD21" si="8">K7/(L7/100)</f>
        <v>2.4605543710021323</v>
      </c>
      <c r="AE7" s="201">
        <f>AD7/AE$2</f>
        <v>0.62343827581773037</v>
      </c>
      <c r="AF7" s="200">
        <f t="shared" si="1"/>
        <v>0.41225076342733763</v>
      </c>
      <c r="AG7" s="201">
        <f>AF7/AG$2</f>
        <v>0.8323225598103603</v>
      </c>
      <c r="AH7" s="200">
        <f t="shared" si="2"/>
        <v>0.70230824501526712</v>
      </c>
      <c r="AI7" s="201">
        <f>AH7/AI$2</f>
        <v>0.93184169992015142</v>
      </c>
      <c r="AJ7" s="200">
        <f t="shared" ref="AJ7:AJ21" si="9">G7/M7</f>
        <v>0.46928327645050938</v>
      </c>
      <c r="AK7" s="201">
        <f>AJ7/AK$2</f>
        <v>0.42785474206797636</v>
      </c>
      <c r="AL7" s="200">
        <f t="shared" si="3"/>
        <v>1.1383442265795201</v>
      </c>
      <c r="AM7" s="201">
        <f>AL7/AM$2</f>
        <v>0.51404919526086201</v>
      </c>
      <c r="AN7" s="200">
        <f t="shared" si="4"/>
        <v>4.2885304659498207</v>
      </c>
      <c r="AO7" s="201">
        <f>AN7/AO$2</f>
        <v>0.73216589811525601</v>
      </c>
      <c r="AP7" s="200">
        <f t="shared" si="5"/>
        <v>0.65954346770276828</v>
      </c>
      <c r="AQ7" s="201">
        <f>AP7/AQ$2</f>
        <v>1</v>
      </c>
      <c r="AR7" s="200">
        <f t="shared" ref="AR7:AR21" si="10">X7/W7</f>
        <v>0.79994721562417526</v>
      </c>
      <c r="AS7" s="201">
        <f>AR7/AS$2</f>
        <v>0.95257768947410315</v>
      </c>
      <c r="AT7" s="200">
        <f t="shared" ref="AT7:AT21" si="11">Z7/Y7</f>
        <v>0.62788823213326173</v>
      </c>
      <c r="AU7" s="201">
        <f>AT7/AU$2</f>
        <v>0.88009732341811864</v>
      </c>
      <c r="AV7" s="200">
        <f t="shared" ref="AV7:AV21" si="12">T7/S7</f>
        <v>0.26250000000000001</v>
      </c>
      <c r="AW7" s="200">
        <f t="shared" si="6"/>
        <v>0.26250000000000001</v>
      </c>
      <c r="AX7" s="201">
        <f>AW7/AX$2</f>
        <v>1</v>
      </c>
      <c r="AY7" s="200">
        <f t="shared" ref="AY7:AY21" si="13">(E7+F7)*1000/M7</f>
        <v>16.795401472965597</v>
      </c>
      <c r="AZ7" s="201">
        <f>AY7/AZ$2</f>
        <v>1</v>
      </c>
      <c r="BA7" s="202" t="str">
        <f t="shared" si="7"/>
        <v>USA</v>
      </c>
      <c r="BB7" s="203">
        <f t="shared" ref="BB7:BB21" si="14">AVERAGE(AE7,AG7,AI7,AK7,AM7,AO7,AQ7,AS7,AU7,AX7,AZ7)</f>
        <v>0.80857703489859611</v>
      </c>
      <c r="BC7" s="201">
        <f>BB7/BC$2</f>
        <v>0.48497952542649453</v>
      </c>
      <c r="BD7" s="228">
        <f>BC7*$BD$2</f>
        <v>2673608.3706221008</v>
      </c>
      <c r="BE7" s="167">
        <f t="shared" ref="BE7:BE21" si="15">ROUND(BD7,0)</f>
        <v>2673608</v>
      </c>
    </row>
    <row r="8" spans="1:57" ht="11.25" customHeight="1" x14ac:dyDescent="0.15">
      <c r="A8" s="224" t="s">
        <v>6</v>
      </c>
      <c r="B8" s="224" t="s">
        <v>7</v>
      </c>
      <c r="C8" s="224">
        <v>73</v>
      </c>
      <c r="D8" s="224" t="s">
        <v>51</v>
      </c>
      <c r="E8" s="2">
        <v>0</v>
      </c>
      <c r="F8" s="2">
        <v>0</v>
      </c>
      <c r="G8" s="2">
        <f>VLOOKUP($D8,[1]Presentación!$B$44:$D$68,2,0)</f>
        <v>147</v>
      </c>
      <c r="H8" s="2">
        <f>VLOOKUP($D8,[1]Presentación!$B$44:$D$68,3,0)</f>
        <v>210</v>
      </c>
      <c r="I8" s="51">
        <f>VLOOKUP($D8,[1]Presentación!$B$13:$D$37,2,0)</f>
        <v>596</v>
      </c>
      <c r="J8" s="51">
        <f>VLOOKUP($D8,[1]Presentación!$B$13:$D$37,3,0)</f>
        <v>2340</v>
      </c>
      <c r="K8" s="2">
        <f>VLOOKUP($B8,'[2]Indicador a)'!$C$2:$H$61,4,0)</f>
        <v>306</v>
      </c>
      <c r="L8" s="2">
        <f>VLOOKUP($B8,'[2]Indicador a)'!$C$2:$H$61,5,0)</f>
        <v>7628</v>
      </c>
      <c r="M8" s="10">
        <f>VLOOKUP($B8,'[2]Indicador c)'!$C$3:$J$62,7,0)</f>
        <v>395.66204545454542</v>
      </c>
      <c r="N8" s="10">
        <f>VLOOKUP($B8,'[2]Indicador c)'!$C$3:$J$62,4,0)</f>
        <v>131.23295454545459</v>
      </c>
      <c r="O8" s="10">
        <f>VLOOKUP($B8,'[2]Indicador c)'!$C$3:$J$62,5,0)</f>
        <v>111.57954545454545</v>
      </c>
      <c r="P8" s="10">
        <f>VLOOKUP($B8,'[2]Indicador c)'!$C$3:$J$62,6,0)</f>
        <v>19.49431818181818</v>
      </c>
      <c r="Q8" s="2">
        <v>13</v>
      </c>
      <c r="R8" s="2">
        <v>13</v>
      </c>
      <c r="S8" s="2">
        <f>VLOOKUP($B8,'[3]Indicador j)'!$E$7:$O$30,4,0)</f>
        <v>8</v>
      </c>
      <c r="T8" s="2">
        <f>VLOOKUP($B8,'[3]Indicador j)'!$E$7:$O$30,11,0)</f>
        <v>1</v>
      </c>
      <c r="U8" s="3">
        <f>VLOOKUP($B8,'[2]Ind g) 2016 con QUINTIL PERFIL'!$E$8:$S$68,11,0)</f>
        <v>1184</v>
      </c>
      <c r="V8" s="3">
        <f>VLOOKUP($B8,'[2]Ind g) 2016 con QUINTIL PERFIL'!$E$8:$S$68,15,0)</f>
        <v>461</v>
      </c>
      <c r="W8" s="3">
        <f>VLOOKUP($B8,'[2]Indicador h)'!$D$10:$R$70,11,0)</f>
        <v>1149</v>
      </c>
      <c r="X8" s="3">
        <f>VLOOKUP($B8,'[2]Indicador h)'!$D$10:$R$70,15,0)</f>
        <v>969</v>
      </c>
      <c r="Y8" s="4">
        <f>VLOOKUP($B8,'[2]Indicador i. 1)'!$C$10:$Q$71,11,0)</f>
        <v>998</v>
      </c>
      <c r="Z8" s="4">
        <f>VLOOKUP($B8,'[2]Indicador i. 1)'!$C$10:$Q$71,15,0)</f>
        <v>683</v>
      </c>
      <c r="AA8" s="4" t="str">
        <f t="shared" si="0"/>
        <v>ANT</v>
      </c>
      <c r="AB8" s="52" t="s">
        <v>5</v>
      </c>
      <c r="AC8" s="52" t="str">
        <f>VLOOKUP(AA8,'Categoria 2017'!$B$8:$J$23,9,0)</f>
        <v>II</v>
      </c>
      <c r="AD8" s="204">
        <f t="shared" si="8"/>
        <v>4.0115364446775041</v>
      </c>
      <c r="AE8" s="201">
        <f>AD8/AE$3</f>
        <v>1</v>
      </c>
      <c r="AF8" s="204">
        <f t="shared" si="1"/>
        <v>0.33167941189479327</v>
      </c>
      <c r="AG8" s="201">
        <f t="shared" ref="AG8:AG13" si="16">AF8/AG$3</f>
        <v>0.67658861173423035</v>
      </c>
      <c r="AH8" s="204">
        <f t="shared" si="2"/>
        <v>0.66295673591960103</v>
      </c>
      <c r="AI8" s="201">
        <f t="shared" ref="AI8:AI15" si="17">AH8/AI$3</f>
        <v>0.6908169962907309</v>
      </c>
      <c r="AJ8" s="204">
        <f t="shared" si="9"/>
        <v>0.37152919186656658</v>
      </c>
      <c r="AK8" s="201">
        <f t="shared" ref="AK8:AK13" si="18">AJ8/AK$3</f>
        <v>0.33779520218616854</v>
      </c>
      <c r="AL8" s="204">
        <f t="shared" si="3"/>
        <v>1.1201454734381084</v>
      </c>
      <c r="AM8" s="201">
        <f t="shared" ref="AM8:AM13" si="19">AL8/AM$3</f>
        <v>0.49723926458490908</v>
      </c>
      <c r="AN8" s="204">
        <f t="shared" si="4"/>
        <v>3.9261744966442955</v>
      </c>
      <c r="AO8" s="201">
        <f t="shared" ref="AO8:AO13" si="20">AN8/AO$3</f>
        <v>0.62053211521998597</v>
      </c>
      <c r="AP8" s="204">
        <f t="shared" si="5"/>
        <v>0.38935810810810811</v>
      </c>
      <c r="AQ8" s="201">
        <f t="shared" ref="AQ8:AQ13" si="21">AP8/AQ$3</f>
        <v>0.4868562546794486</v>
      </c>
      <c r="AR8" s="204">
        <f t="shared" si="10"/>
        <v>0.8433420365535248</v>
      </c>
      <c r="AS8" s="201">
        <f t="shared" ref="AS8:AS13" si="22">AR8/AS$3</f>
        <v>0.97567496250208319</v>
      </c>
      <c r="AT8" s="204">
        <f t="shared" si="11"/>
        <v>0.68436873747494986</v>
      </c>
      <c r="AU8" s="201">
        <f t="shared" ref="AU8:AU15" si="23">AT8/AU$3</f>
        <v>0.90875899060550303</v>
      </c>
      <c r="AV8" s="204">
        <f t="shared" si="12"/>
        <v>0.125</v>
      </c>
      <c r="AW8" s="204">
        <f t="shared" si="6"/>
        <v>0.125</v>
      </c>
      <c r="AX8" s="201">
        <f>AW8/AX$3</f>
        <v>0.125</v>
      </c>
      <c r="AY8" s="204">
        <f t="shared" si="13"/>
        <v>0</v>
      </c>
      <c r="AZ8" s="201">
        <f t="shared" ref="AZ8:AZ15" si="24">AY8/AZ$3</f>
        <v>0</v>
      </c>
      <c r="BA8" s="202" t="str">
        <f t="shared" si="7"/>
        <v>ANT</v>
      </c>
      <c r="BB8" s="203">
        <f t="shared" si="14"/>
        <v>0.57447839980027815</v>
      </c>
      <c r="BC8" s="201">
        <f t="shared" ref="BC8:BC15" si="25">BB8/BC$3</f>
        <v>0.10926371845222775</v>
      </c>
      <c r="BD8" s="228">
        <f>+BC8*$BD$3</f>
        <v>1606272.0283694325</v>
      </c>
      <c r="BE8" s="167">
        <f t="shared" si="15"/>
        <v>1606272</v>
      </c>
    </row>
    <row r="9" spans="1:57" ht="11.25" customHeight="1" x14ac:dyDescent="0.15">
      <c r="A9" s="224" t="s">
        <v>13</v>
      </c>
      <c r="B9" s="224" t="s">
        <v>14</v>
      </c>
      <c r="C9" s="224">
        <v>76</v>
      </c>
      <c r="D9" s="224" t="s">
        <v>43</v>
      </c>
      <c r="E9" s="2"/>
      <c r="F9" s="2"/>
      <c r="G9" s="2">
        <f>VLOOKUP($D9,[1]Presentación!$B$44:$D$68,2,0)</f>
        <v>408</v>
      </c>
      <c r="H9" s="2">
        <f>VLOOKUP($D9,[1]Presentación!$B$44:$D$68,3,0)</f>
        <v>381</v>
      </c>
      <c r="I9" s="51">
        <f>VLOOKUP($D9,[1]Presentación!$B$13:$D$37,2,0)</f>
        <v>1655</v>
      </c>
      <c r="J9" s="51">
        <f>VLOOKUP($D9,[1]Presentación!$B$13:$D$37,3,0)</f>
        <v>8512</v>
      </c>
      <c r="K9" s="2">
        <f>VLOOKUP($B9,'[2]Indicador a)'!$C$2:$H$61,4,0)</f>
        <v>281</v>
      </c>
      <c r="L9" s="2">
        <f>VLOOKUP($B9,'[2]Indicador a)'!$C$2:$H$61,5,0)</f>
        <v>10139</v>
      </c>
      <c r="M9" s="10">
        <f>VLOOKUP($B9,'[2]Indicador c)'!$C$3:$J$62,7,0)</f>
        <v>370.95454545454538</v>
      </c>
      <c r="N9" s="10">
        <f>VLOOKUP($B9,'[2]Indicador c)'!$C$3:$J$62,4,0)</f>
        <v>181.11363636363637</v>
      </c>
      <c r="O9" s="10">
        <f>VLOOKUP($B9,'[2]Indicador c)'!$C$3:$J$62,5,0)</f>
        <v>99.204545454545396</v>
      </c>
      <c r="P9" s="10">
        <f>VLOOKUP($B9,'[2]Indicador c)'!$C$3:$J$62,6,0)</f>
        <v>11.363636363636362</v>
      </c>
      <c r="Q9" s="2">
        <v>29</v>
      </c>
      <c r="R9" s="2">
        <v>33</v>
      </c>
      <c r="S9" s="2">
        <f>VLOOKUP($B9,'[3]Indicador j)'!$E$7:$O$30,4,0)</f>
        <v>42</v>
      </c>
      <c r="T9" s="2">
        <f>VLOOKUP($B9,'[3]Indicador j)'!$E$7:$O$30,11,0)</f>
        <v>15</v>
      </c>
      <c r="U9" s="3">
        <f>VLOOKUP($B9,'[2]Ind g) 2016 con QUINTIL PERFIL'!$E$8:$S$68,11,0)</f>
        <v>2078</v>
      </c>
      <c r="V9" s="3">
        <f>VLOOKUP($B9,'[2]Ind g) 2016 con QUINTIL PERFIL'!$E$8:$S$68,15,0)</f>
        <v>1456</v>
      </c>
      <c r="W9" s="3">
        <f>VLOOKUP($B9,'[2]Indicador h)'!$D$10:$R$70,11,0)</f>
        <v>1897</v>
      </c>
      <c r="X9" s="3">
        <f>VLOOKUP($B9,'[2]Indicador h)'!$D$10:$R$70,15,0)</f>
        <v>1597</v>
      </c>
      <c r="Y9" s="4">
        <f>VLOOKUP($B9,'[2]Indicador i. 1)'!$C$10:$Q$71,11,0)</f>
        <v>1949</v>
      </c>
      <c r="Z9" s="4">
        <f>VLOOKUP($B9,'[2]Indicador i. 1)'!$C$10:$Q$71,15,0)</f>
        <v>1294</v>
      </c>
      <c r="AA9" s="4" t="str">
        <f t="shared" si="0"/>
        <v>FRO</v>
      </c>
      <c r="AB9" s="52" t="s">
        <v>5</v>
      </c>
      <c r="AC9" s="52" t="str">
        <f>VLOOKUP(AA9,'Categoria 2017'!$B$8:$J$23,9,0)</f>
        <v>II</v>
      </c>
      <c r="AD9" s="204">
        <f t="shared" si="8"/>
        <v>2.7714764769701152</v>
      </c>
      <c r="AE9" s="201">
        <f t="shared" ref="AE9:AE15" si="26">AD9/AE$3</f>
        <v>0.6908765544551646</v>
      </c>
      <c r="AF9" s="204">
        <f t="shared" si="1"/>
        <v>0.48823673569415527</v>
      </c>
      <c r="AG9" s="201">
        <f t="shared" si="16"/>
        <v>0.99594790437502734</v>
      </c>
      <c r="AH9" s="204">
        <f t="shared" si="2"/>
        <v>0.78630069844381822</v>
      </c>
      <c r="AI9" s="201">
        <f t="shared" si="17"/>
        <v>0.81934439647376445</v>
      </c>
      <c r="AJ9" s="204">
        <f t="shared" si="9"/>
        <v>1.0998652125964958</v>
      </c>
      <c r="AK9" s="201">
        <f t="shared" si="18"/>
        <v>1</v>
      </c>
      <c r="AL9" s="204">
        <f t="shared" si="3"/>
        <v>2.2527293261387875</v>
      </c>
      <c r="AM9" s="201">
        <f t="shared" si="19"/>
        <v>1</v>
      </c>
      <c r="AN9" s="204">
        <f t="shared" si="4"/>
        <v>5.1432024169184292</v>
      </c>
      <c r="AO9" s="201">
        <f t="shared" si="20"/>
        <v>0.81288345118199246</v>
      </c>
      <c r="AP9" s="204">
        <f t="shared" si="5"/>
        <v>0.70067372473532241</v>
      </c>
      <c r="AQ9" s="201">
        <f t="shared" si="21"/>
        <v>0.87612760148870839</v>
      </c>
      <c r="AR9" s="204">
        <f t="shared" si="10"/>
        <v>0.84185556141275697</v>
      </c>
      <c r="AS9" s="201">
        <f t="shared" si="22"/>
        <v>0.97395523727273747</v>
      </c>
      <c r="AT9" s="204">
        <f t="shared" si="11"/>
        <v>0.66393022062596208</v>
      </c>
      <c r="AU9" s="201">
        <f t="shared" si="23"/>
        <v>0.88161910983057279</v>
      </c>
      <c r="AV9" s="204">
        <f t="shared" si="12"/>
        <v>0.35714285714285715</v>
      </c>
      <c r="AW9" s="204">
        <f t="shared" si="6"/>
        <v>0.35714285714285715</v>
      </c>
      <c r="AX9" s="201">
        <f>AW9/AX$3</f>
        <v>0.35714285714285715</v>
      </c>
      <c r="AY9" s="204">
        <f t="shared" si="13"/>
        <v>0</v>
      </c>
      <c r="AZ9" s="201">
        <f t="shared" si="24"/>
        <v>0</v>
      </c>
      <c r="BA9" s="202" t="str">
        <f t="shared" si="7"/>
        <v>FRO</v>
      </c>
      <c r="BB9" s="203">
        <f t="shared" si="14"/>
        <v>0.76435428292916585</v>
      </c>
      <c r="BC9" s="201">
        <f t="shared" si="25"/>
        <v>0.14537742619524399</v>
      </c>
      <c r="BD9" s="228">
        <f t="shared" ref="BD9:BD15" si="27">+BC9*$BD$3</f>
        <v>2137175.0528137088</v>
      </c>
      <c r="BE9" s="167">
        <f t="shared" si="15"/>
        <v>2137175</v>
      </c>
    </row>
    <row r="10" spans="1:57" ht="11.25" customHeight="1" x14ac:dyDescent="0.15">
      <c r="A10" s="224" t="s">
        <v>25</v>
      </c>
      <c r="B10" s="224" t="s">
        <v>26</v>
      </c>
      <c r="C10" s="224">
        <v>78</v>
      </c>
      <c r="D10" s="224" t="s">
        <v>41</v>
      </c>
      <c r="E10" s="2">
        <f>2+1</f>
        <v>3</v>
      </c>
      <c r="F10" s="2">
        <v>2</v>
      </c>
      <c r="G10" s="2">
        <f>VLOOKUP($D10,[1]Presentación!$B$44:$D$68,2,0)</f>
        <v>342</v>
      </c>
      <c r="H10" s="2">
        <f>VLOOKUP($D10,[1]Presentación!$B$44:$D$68,3,0)</f>
        <v>241</v>
      </c>
      <c r="I10" s="51">
        <f>VLOOKUP($D10,[1]Presentación!$B$13:$D$37,2,0)</f>
        <v>1326</v>
      </c>
      <c r="J10" s="51">
        <f>VLOOKUP($D10,[1]Presentación!$B$13:$D$37,3,0)</f>
        <v>4053</v>
      </c>
      <c r="K10" s="2">
        <f>VLOOKUP($B10,'[2]Indicador a)'!$C$2:$H$61,4,0)</f>
        <v>336</v>
      </c>
      <c r="L10" s="2">
        <f>VLOOKUP($B10,'[2]Indicador a)'!$C$2:$H$61,5,0)</f>
        <v>10518</v>
      </c>
      <c r="M10" s="10">
        <f>VLOOKUP($B10,'[2]Indicador c)'!$C$3:$J$62,7,0)</f>
        <v>427.72727272727286</v>
      </c>
      <c r="N10" s="10">
        <f>VLOOKUP($B10,'[2]Indicador c)'!$C$3:$J$62,4,0)</f>
        <v>209.68181818181824</v>
      </c>
      <c r="O10" s="10">
        <f>VLOOKUP($B10,'[2]Indicador c)'!$C$3:$J$62,5,0)</f>
        <v>185.95454545454555</v>
      </c>
      <c r="P10" s="10">
        <f>VLOOKUP($B10,'[2]Indicador c)'!$C$3:$J$62,6,0)</f>
        <v>14.84090909090909</v>
      </c>
      <c r="Q10" s="2">
        <v>14</v>
      </c>
      <c r="R10" s="2">
        <v>11</v>
      </c>
      <c r="S10" s="2">
        <f>VLOOKUP($B10,'[3]Indicador j)'!$E$7:$O$30,4,0)</f>
        <v>11</v>
      </c>
      <c r="T10" s="2">
        <f>VLOOKUP($B10,'[3]Indicador j)'!$E$7:$O$30,11,0)</f>
        <v>4</v>
      </c>
      <c r="U10" s="3">
        <f>VLOOKUP($B10,'[2]Ind g) 2016 con QUINTIL PERFIL'!$E$8:$S$68,11,0)</f>
        <v>1852</v>
      </c>
      <c r="V10" s="3">
        <f>VLOOKUP($B10,'[2]Ind g) 2016 con QUINTIL PERFIL'!$E$8:$S$68,15,0)</f>
        <v>1310</v>
      </c>
      <c r="W10" s="3">
        <f>VLOOKUP($B10,'[2]Indicador h)'!$D$10:$R$70,11,0)</f>
        <v>1740</v>
      </c>
      <c r="X10" s="3">
        <f>VLOOKUP($B10,'[2]Indicador h)'!$D$10:$R$70,15,0)</f>
        <v>1504</v>
      </c>
      <c r="Y10" s="4">
        <f>VLOOKUP($B10,'[2]Indicador i. 1)'!$C$10:$Q$71,11,0)</f>
        <v>1774</v>
      </c>
      <c r="Z10" s="4">
        <f>VLOOKUP($B10,'[2]Indicador i. 1)'!$C$10:$Q$71,15,0)</f>
        <v>1251</v>
      </c>
      <c r="AA10" s="4" t="str">
        <f t="shared" si="0"/>
        <v>TAL</v>
      </c>
      <c r="AB10" s="52" t="s">
        <v>5</v>
      </c>
      <c r="AC10" s="52" t="str">
        <f>VLOOKUP(AA10,'Categoria 2017'!$B$8:$J$23,9,0)</f>
        <v>II</v>
      </c>
      <c r="AD10" s="204">
        <f t="shared" si="8"/>
        <v>3.1945236737022245</v>
      </c>
      <c r="AE10" s="201">
        <f t="shared" si="26"/>
        <v>0.79633420205884209</v>
      </c>
      <c r="AF10" s="204">
        <f t="shared" si="1"/>
        <v>0.4902231668437832</v>
      </c>
      <c r="AG10" s="201">
        <f t="shared" si="16"/>
        <v>1</v>
      </c>
      <c r="AH10" s="204">
        <f t="shared" si="2"/>
        <v>0.95967056323060573</v>
      </c>
      <c r="AI10" s="201">
        <f t="shared" si="17"/>
        <v>1</v>
      </c>
      <c r="AJ10" s="204">
        <f t="shared" si="9"/>
        <v>0.7995749202975555</v>
      </c>
      <c r="AK10" s="201">
        <f t="shared" si="18"/>
        <v>0.72697537038194615</v>
      </c>
      <c r="AL10" s="204">
        <f t="shared" si="3"/>
        <v>1.6310427053977883</v>
      </c>
      <c r="AM10" s="201">
        <f t="shared" si="19"/>
        <v>0.72402959666415867</v>
      </c>
      <c r="AN10" s="204">
        <f t="shared" si="4"/>
        <v>3.0565610859728505</v>
      </c>
      <c r="AO10" s="201">
        <f t="shared" si="20"/>
        <v>0.48308966338580633</v>
      </c>
      <c r="AP10" s="204">
        <f t="shared" si="5"/>
        <v>0.70734341252699784</v>
      </c>
      <c r="AQ10" s="201">
        <f t="shared" si="21"/>
        <v>0.88446742837433401</v>
      </c>
      <c r="AR10" s="204">
        <f t="shared" si="10"/>
        <v>0.86436781609195401</v>
      </c>
      <c r="AS10" s="201">
        <f t="shared" si="22"/>
        <v>1</v>
      </c>
      <c r="AT10" s="204">
        <f t="shared" si="11"/>
        <v>0.70518602029312294</v>
      </c>
      <c r="AU10" s="201">
        <f t="shared" si="23"/>
        <v>0.93640182682094997</v>
      </c>
      <c r="AV10" s="204">
        <f t="shared" si="12"/>
        <v>0.36363636363636365</v>
      </c>
      <c r="AW10" s="204">
        <f t="shared" si="6"/>
        <v>0.36363636363636365</v>
      </c>
      <c r="AX10" s="201">
        <f>AW10/AX$3</f>
        <v>0.36363636363636365</v>
      </c>
      <c r="AY10" s="204">
        <f t="shared" si="13"/>
        <v>11.689691817215724</v>
      </c>
      <c r="AZ10" s="201">
        <f t="shared" si="24"/>
        <v>1</v>
      </c>
      <c r="BA10" s="202" t="str">
        <f t="shared" si="7"/>
        <v>TAL</v>
      </c>
      <c r="BB10" s="203">
        <f t="shared" si="14"/>
        <v>0.81044858648385454</v>
      </c>
      <c r="BC10" s="201">
        <f t="shared" si="25"/>
        <v>0.15414439638524938</v>
      </c>
      <c r="BD10" s="228">
        <f t="shared" si="27"/>
        <v>2266057.166558641</v>
      </c>
      <c r="BE10" s="167">
        <f t="shared" si="15"/>
        <v>2266057</v>
      </c>
    </row>
    <row r="11" spans="1:57" ht="11.25" customHeight="1" x14ac:dyDescent="0.15">
      <c r="A11" s="224" t="s">
        <v>27</v>
      </c>
      <c r="B11" s="224" t="s">
        <v>28</v>
      </c>
      <c r="C11" s="224">
        <v>80</v>
      </c>
      <c r="D11" s="224" t="s">
        <v>45</v>
      </c>
      <c r="E11" s="2">
        <v>0</v>
      </c>
      <c r="F11" s="2">
        <v>0</v>
      </c>
      <c r="G11" s="2">
        <f>VLOOKUP($D11,[1]Presentación!$B$44:$D$68,2,0)</f>
        <v>189</v>
      </c>
      <c r="H11" s="2">
        <f>VLOOKUP($D11,[1]Presentación!$B$44:$D$68,3,0)</f>
        <v>232</v>
      </c>
      <c r="I11" s="51">
        <f>VLOOKUP($D11,[1]Presentación!$B$13:$D$37,2,0)</f>
        <v>820</v>
      </c>
      <c r="J11" s="51">
        <f>VLOOKUP($D11,[1]Presentación!$B$13:$D$37,3,0)</f>
        <v>2919</v>
      </c>
      <c r="K11" s="2">
        <f>VLOOKUP($B11,'[2]Indicador a)'!$C$2:$H$61,4,0)</f>
        <v>323</v>
      </c>
      <c r="L11" s="2">
        <f>VLOOKUP($B11,'[2]Indicador a)'!$C$2:$H$61,5,0)</f>
        <v>8780</v>
      </c>
      <c r="M11" s="10">
        <f>VLOOKUP($B11,'[2]Indicador c)'!$C$3:$J$62,7,0)</f>
        <v>358.79545454545456</v>
      </c>
      <c r="N11" s="10">
        <f>VLOOKUP($B11,'[2]Indicador c)'!$C$3:$J$62,4,0)</f>
        <v>112.5</v>
      </c>
      <c r="O11" s="10">
        <f>VLOOKUP($B11,'[2]Indicador c)'!$C$3:$J$62,5,0)</f>
        <v>182.20454545454552</v>
      </c>
      <c r="P11" s="10">
        <f>VLOOKUP($B11,'[2]Indicador c)'!$C$3:$J$62,6,0)</f>
        <v>0.56818181818181812</v>
      </c>
      <c r="Q11" s="2">
        <v>1</v>
      </c>
      <c r="R11" s="2">
        <v>5</v>
      </c>
      <c r="S11" s="2">
        <f>VLOOKUP($B11,'[3]Indicador j)'!$E$7:$O$30,4,0)</f>
        <v>1</v>
      </c>
      <c r="T11" s="2">
        <f>VLOOKUP($B11,'[3]Indicador j)'!$E$7:$O$30,11,0)</f>
        <v>1</v>
      </c>
      <c r="U11" s="3">
        <f>VLOOKUP($B11,'[2]Ind g) 2016 con QUINTIL PERFIL'!$E$8:$S$68,11,0)</f>
        <v>1541</v>
      </c>
      <c r="V11" s="3">
        <f>VLOOKUP($B11,'[2]Ind g) 2016 con QUINTIL PERFIL'!$E$8:$S$68,15,0)</f>
        <v>1028</v>
      </c>
      <c r="W11" s="3">
        <f>VLOOKUP($B11,'[2]Indicador h)'!$D$10:$R$70,11,0)</f>
        <v>1291</v>
      </c>
      <c r="X11" s="3">
        <f>VLOOKUP($B11,'[2]Indicador h)'!$D$10:$R$70,15,0)</f>
        <v>1044</v>
      </c>
      <c r="Y11" s="4">
        <f>VLOOKUP($B11,'[2]Indicador i. 1)'!$C$10:$Q$71,11,0)</f>
        <v>1475</v>
      </c>
      <c r="Z11" s="4">
        <f>VLOOKUP($B11,'[2]Indicador i. 1)'!$C$10:$Q$71,15,0)</f>
        <v>1035</v>
      </c>
      <c r="AA11" s="4" t="str">
        <f t="shared" si="0"/>
        <v>UTA</v>
      </c>
      <c r="AB11" s="52" t="s">
        <v>5</v>
      </c>
      <c r="AC11" s="52" t="str">
        <f>VLOOKUP(AA11,'Categoria 2017'!$B$8:$J$23,9,0)</f>
        <v>II</v>
      </c>
      <c r="AD11" s="204">
        <f t="shared" si="8"/>
        <v>3.6788154897494305</v>
      </c>
      <c r="AE11" s="201">
        <f t="shared" si="26"/>
        <v>0.91705897241204748</v>
      </c>
      <c r="AF11" s="204">
        <f t="shared" si="1"/>
        <v>0.31354912269588903</v>
      </c>
      <c r="AG11" s="201">
        <f t="shared" si="16"/>
        <v>0.63960486550364526</v>
      </c>
      <c r="AH11" s="204">
        <f t="shared" si="2"/>
        <v>0.82295559637676574</v>
      </c>
      <c r="AI11" s="201">
        <f t="shared" si="17"/>
        <v>0.85753968904328282</v>
      </c>
      <c r="AJ11" s="204">
        <f t="shared" si="9"/>
        <v>0.52676252612909358</v>
      </c>
      <c r="AK11" s="201">
        <f t="shared" si="18"/>
        <v>0.47893370941839702</v>
      </c>
      <c r="AL11" s="204">
        <f t="shared" si="3"/>
        <v>1.68</v>
      </c>
      <c r="AM11" s="201">
        <f t="shared" si="19"/>
        <v>0.74576203208556158</v>
      </c>
      <c r="AN11" s="204">
        <f t="shared" si="4"/>
        <v>3.5597560975609754</v>
      </c>
      <c r="AO11" s="201">
        <f t="shared" si="20"/>
        <v>0.56261966521731022</v>
      </c>
      <c r="AP11" s="204">
        <f t="shared" si="5"/>
        <v>0.66709928617780667</v>
      </c>
      <c r="AQ11" s="201">
        <f t="shared" si="21"/>
        <v>0.83414587549229269</v>
      </c>
      <c r="AR11" s="204">
        <f t="shared" si="10"/>
        <v>0.80867544539116964</v>
      </c>
      <c r="AS11" s="201">
        <f t="shared" si="22"/>
        <v>0.93556866687542239</v>
      </c>
      <c r="AT11" s="204">
        <f t="shared" si="11"/>
        <v>0.70169491525423733</v>
      </c>
      <c r="AU11" s="201">
        <f t="shared" si="23"/>
        <v>0.93176606116201444</v>
      </c>
      <c r="AV11" s="204">
        <f t="shared" si="12"/>
        <v>1</v>
      </c>
      <c r="AW11" s="204">
        <f t="shared" si="6"/>
        <v>1</v>
      </c>
      <c r="AX11" s="201">
        <f>AW11/AX$3</f>
        <v>1</v>
      </c>
      <c r="AY11" s="204">
        <f t="shared" si="13"/>
        <v>0</v>
      </c>
      <c r="AZ11" s="201">
        <f t="shared" si="24"/>
        <v>0</v>
      </c>
      <c r="BA11" s="202" t="str">
        <f t="shared" si="7"/>
        <v>UTA</v>
      </c>
      <c r="BB11" s="203">
        <f t="shared" si="14"/>
        <v>0.71845450338272487</v>
      </c>
      <c r="BC11" s="201">
        <f t="shared" si="25"/>
        <v>0.13664745376960499</v>
      </c>
      <c r="BD11" s="228">
        <f t="shared" si="27"/>
        <v>2008836.8384972026</v>
      </c>
      <c r="BE11" s="167">
        <f t="shared" si="15"/>
        <v>2008837</v>
      </c>
    </row>
    <row r="12" spans="1:57" ht="11.25" customHeight="1" x14ac:dyDescent="0.15">
      <c r="A12" s="224" t="s">
        <v>29</v>
      </c>
      <c r="B12" s="224" t="s">
        <v>30</v>
      </c>
      <c r="C12" s="224">
        <v>72</v>
      </c>
      <c r="D12" s="224" t="s">
        <v>39</v>
      </c>
      <c r="E12" s="2"/>
      <c r="F12" s="2"/>
      <c r="G12" s="2">
        <f>VLOOKUP($D12,[1]Presentación!$B$44:$D$68,2,0)</f>
        <v>341</v>
      </c>
      <c r="H12" s="2">
        <f>VLOOKUP($D12,[1]Presentación!$B$44:$D$68,3,0)</f>
        <v>458</v>
      </c>
      <c r="I12" s="51">
        <f>VLOOKUP($D12,[1]Presentación!$B$13:$D$37,2,0)</f>
        <v>1446</v>
      </c>
      <c r="J12" s="51">
        <f>VLOOKUP($D12,[1]Presentación!$B$13:$D$37,3,0)</f>
        <v>9149</v>
      </c>
      <c r="K12" s="2">
        <f>VLOOKUP($B12,'[2]Indicador a)'!$C$2:$H$61,4,0)</f>
        <v>543</v>
      </c>
      <c r="L12" s="2">
        <f>VLOOKUP($B12,'[2]Indicador a)'!$C$2:$H$61,5,0)</f>
        <v>15340</v>
      </c>
      <c r="M12" s="10">
        <f>VLOOKUP($B12,'[2]Indicador c)'!$C$3:$J$62,7,0)</f>
        <v>879.63409090909204</v>
      </c>
      <c r="N12" s="10">
        <f>VLOOKUP($B12,'[2]Indicador c)'!$C$3:$J$62,4,0)</f>
        <v>202.7795454545456</v>
      </c>
      <c r="O12" s="10">
        <f>VLOOKUP($B12,'[2]Indicador c)'!$C$3:$J$62,5,0)</f>
        <v>305.25681818181829</v>
      </c>
      <c r="P12" s="10">
        <f>VLOOKUP($B12,'[2]Indicador c)'!$C$3:$J$62,6,0)</f>
        <v>73.647727272727266</v>
      </c>
      <c r="Q12" s="2">
        <v>5</v>
      </c>
      <c r="R12" s="2">
        <v>8</v>
      </c>
      <c r="S12" s="2">
        <f>VLOOKUP($B12,'[3]Indicador j)'!$E$7:$O$30,4,0)</f>
        <v>5</v>
      </c>
      <c r="T12" s="2">
        <f>VLOOKUP($B12,'[3]Indicador j)'!$E$7:$O$30,11,0)</f>
        <v>0</v>
      </c>
      <c r="U12" s="3">
        <f>VLOOKUP($B12,'[2]Ind g) 2016 con QUINTIL PERFIL'!$E$8:$S$68,11,0)</f>
        <v>3060</v>
      </c>
      <c r="V12" s="3">
        <f>VLOOKUP($B12,'[2]Ind g) 2016 con QUINTIL PERFIL'!$E$8:$S$68,15,0)</f>
        <v>1840</v>
      </c>
      <c r="W12" s="3">
        <f>VLOOKUP($B12,'[2]Indicador h)'!$D$10:$R$70,11,0)</f>
        <v>2849</v>
      </c>
      <c r="X12" s="3">
        <f>VLOOKUP($B12,'[2]Indicador h)'!$D$10:$R$70,15,0)</f>
        <v>2297</v>
      </c>
      <c r="Y12" s="4">
        <f>VLOOKUP($B12,'[2]Indicador i. 1)'!$C$10:$Q$71,11,0)</f>
        <v>3285</v>
      </c>
      <c r="Z12" s="4">
        <f>VLOOKUP($B12,'[2]Indicador i. 1)'!$C$10:$Q$71,15,0)</f>
        <v>2105</v>
      </c>
      <c r="AA12" s="4" t="str">
        <f t="shared" si="0"/>
        <v>UVA</v>
      </c>
      <c r="AB12" s="52" t="s">
        <v>5</v>
      </c>
      <c r="AC12" s="52" t="str">
        <f>VLOOKUP(AA12,'Categoria 2017'!$B$8:$J$23,9,0)</f>
        <v>II</v>
      </c>
      <c r="AD12" s="204">
        <f t="shared" si="8"/>
        <v>3.5397653194263361</v>
      </c>
      <c r="AE12" s="201">
        <f t="shared" si="26"/>
        <v>0.88239640054196378</v>
      </c>
      <c r="AF12" s="204">
        <f t="shared" si="1"/>
        <v>0.23052715617805944</v>
      </c>
      <c r="AG12" s="201">
        <f t="shared" si="16"/>
        <v>0.47024941245079976</v>
      </c>
      <c r="AH12" s="204">
        <f t="shared" si="2"/>
        <v>0.66127961264885393</v>
      </c>
      <c r="AI12" s="201">
        <f t="shared" si="17"/>
        <v>0.68906939317044635</v>
      </c>
      <c r="AJ12" s="204">
        <f t="shared" si="9"/>
        <v>0.38766119176620395</v>
      </c>
      <c r="AK12" s="201">
        <f t="shared" si="18"/>
        <v>0.35246245387744984</v>
      </c>
      <c r="AL12" s="204">
        <f t="shared" si="3"/>
        <v>1.6816291763334554</v>
      </c>
      <c r="AM12" s="201">
        <f t="shared" si="19"/>
        <v>0.74648523318857551</v>
      </c>
      <c r="AN12" s="204">
        <f t="shared" si="4"/>
        <v>6.3271092669432916</v>
      </c>
      <c r="AO12" s="201">
        <f t="shared" si="20"/>
        <v>1</v>
      </c>
      <c r="AP12" s="204">
        <f t="shared" si="5"/>
        <v>0.60130718954248363</v>
      </c>
      <c r="AQ12" s="201">
        <f t="shared" si="21"/>
        <v>0.75187895183421904</v>
      </c>
      <c r="AR12" s="204">
        <f t="shared" si="10"/>
        <v>0.80624780624780623</v>
      </c>
      <c r="AS12" s="201">
        <f t="shared" si="22"/>
        <v>0.93276009499413759</v>
      </c>
      <c r="AT12" s="204">
        <f t="shared" si="11"/>
        <v>0.64079147640791478</v>
      </c>
      <c r="AU12" s="201">
        <f t="shared" si="23"/>
        <v>0.85089365337992462</v>
      </c>
      <c r="AV12" s="204">
        <f t="shared" si="12"/>
        <v>0</v>
      </c>
      <c r="AW12" s="204">
        <f t="shared" si="6"/>
        <v>0</v>
      </c>
      <c r="AX12" s="201">
        <f>AW12/AX$3</f>
        <v>0</v>
      </c>
      <c r="AY12" s="204">
        <f t="shared" si="13"/>
        <v>0</v>
      </c>
      <c r="AZ12" s="201">
        <f t="shared" si="24"/>
        <v>0</v>
      </c>
      <c r="BA12" s="202" t="str">
        <f t="shared" si="7"/>
        <v>UVA</v>
      </c>
      <c r="BB12" s="203">
        <f t="shared" si="14"/>
        <v>0.6069268721306833</v>
      </c>
      <c r="BC12" s="201">
        <f t="shared" si="25"/>
        <v>0.1154353007887384</v>
      </c>
      <c r="BD12" s="228">
        <f t="shared" si="27"/>
        <v>1696999.6753719477</v>
      </c>
      <c r="BE12" s="167">
        <f t="shared" si="15"/>
        <v>1697000</v>
      </c>
    </row>
    <row r="13" spans="1:57" ht="11.25" customHeight="1" x14ac:dyDescent="0.15">
      <c r="A13" s="224" t="s">
        <v>31</v>
      </c>
      <c r="B13" s="224" t="s">
        <v>32</v>
      </c>
      <c r="C13" s="224">
        <v>75</v>
      </c>
      <c r="D13" s="224" t="s">
        <v>38</v>
      </c>
      <c r="E13" s="2">
        <v>1</v>
      </c>
      <c r="F13" s="2">
        <v>0</v>
      </c>
      <c r="G13" s="2">
        <f>VLOOKUP($D13,[1]Presentación!$B$44:$D$68,2,0)</f>
        <v>171</v>
      </c>
      <c r="H13" s="2">
        <f>VLOOKUP($D13,[1]Presentación!$B$44:$D$68,3,0)</f>
        <v>100</v>
      </c>
      <c r="I13" s="51">
        <f>VLOOKUP($D13,[1]Presentación!$B$13:$D$37,2,0)</f>
        <v>734</v>
      </c>
      <c r="J13" s="51">
        <f>VLOOKUP($D13,[1]Presentación!$B$13:$D$37,3,0)</f>
        <v>2251</v>
      </c>
      <c r="K13" s="2">
        <f>VLOOKUP($B13,'[2]Indicador a)'!$C$2:$H$61,4,0)</f>
        <v>446</v>
      </c>
      <c r="L13" s="2">
        <f>VLOOKUP($B13,'[2]Indicador a)'!$C$2:$H$61,5,0)</f>
        <v>12488</v>
      </c>
      <c r="M13" s="10">
        <f>VLOOKUP($B13,'[2]Indicador c)'!$C$3:$J$62,7,0)</f>
        <v>509.56818181818181</v>
      </c>
      <c r="N13" s="10">
        <f>VLOOKUP($B13,'[2]Indicador c)'!$C$3:$J$62,4,0)</f>
        <v>205.04545454545453</v>
      </c>
      <c r="O13" s="10">
        <f>VLOOKUP($B13,'[2]Indicador c)'!$C$3:$J$62,5,0)</f>
        <v>221.79545454545459</v>
      </c>
      <c r="P13" s="10">
        <f>VLOOKUP($B13,'[2]Indicador c)'!$C$3:$J$62,6,0)</f>
        <v>0</v>
      </c>
      <c r="Q13" s="2"/>
      <c r="R13" s="2"/>
      <c r="S13" s="2"/>
      <c r="T13" s="2"/>
      <c r="U13" s="3">
        <f>VLOOKUP($B13,'[2]Ind g) 2016 con QUINTIL PERFIL'!$E$8:$S$68,11,0)</f>
        <v>2302</v>
      </c>
      <c r="V13" s="3">
        <f>VLOOKUP($B13,'[2]Ind g) 2016 con QUINTIL PERFIL'!$E$8:$S$68,15,0)</f>
        <v>1841</v>
      </c>
      <c r="W13" s="3">
        <f>VLOOKUP($B13,'[2]Indicador h)'!$D$10:$R$70,11,0)</f>
        <v>2115</v>
      </c>
      <c r="X13" s="3">
        <f>VLOOKUP($B13,'[2]Indicador h)'!$D$10:$R$70,15,0)</f>
        <v>1799</v>
      </c>
      <c r="Y13" s="4">
        <f>VLOOKUP($B13,'[2]Indicador i. 1)'!$C$10:$Q$71,11,0)</f>
        <v>2110</v>
      </c>
      <c r="Z13" s="4">
        <f>VLOOKUP($B13,'[2]Indicador i. 1)'!$C$10:$Q$71,15,0)</f>
        <v>1589</v>
      </c>
      <c r="AA13" s="4" t="str">
        <f t="shared" si="0"/>
        <v>UBB</v>
      </c>
      <c r="AB13" s="52" t="s">
        <v>5</v>
      </c>
      <c r="AC13" s="52" t="str">
        <f>VLOOKUP(AA13,'Categoria 2017'!$B$8:$J$23,9,0)</f>
        <v>II</v>
      </c>
      <c r="AD13" s="204">
        <f t="shared" si="8"/>
        <v>3.5714285714285716</v>
      </c>
      <c r="AE13" s="201">
        <f t="shared" si="26"/>
        <v>0.89028944911297847</v>
      </c>
      <c r="AF13" s="204">
        <f t="shared" si="1"/>
        <v>0.40239061594041298</v>
      </c>
      <c r="AG13" s="201">
        <f t="shared" si="16"/>
        <v>0.82083149707333325</v>
      </c>
      <c r="AH13" s="204">
        <f t="shared" si="2"/>
        <v>0.83765220106150495</v>
      </c>
      <c r="AI13" s="201">
        <f t="shared" si="17"/>
        <v>0.87285390753432945</v>
      </c>
      <c r="AJ13" s="204">
        <f t="shared" si="9"/>
        <v>0.33557825253110923</v>
      </c>
      <c r="AK13" s="201">
        <f t="shared" si="18"/>
        <v>0.30510852483359868</v>
      </c>
      <c r="AL13" s="204">
        <f t="shared" si="3"/>
        <v>0.83396142762137004</v>
      </c>
      <c r="AM13" s="201">
        <f t="shared" si="19"/>
        <v>0.37020045770469578</v>
      </c>
      <c r="AN13" s="204">
        <f t="shared" si="4"/>
        <v>3.0667574931880108</v>
      </c>
      <c r="AO13" s="201">
        <f t="shared" si="20"/>
        <v>0.48470120615912821</v>
      </c>
      <c r="AP13" s="204">
        <f t="shared" si="5"/>
        <v>0.79973935708079935</v>
      </c>
      <c r="AQ13" s="201">
        <f t="shared" si="21"/>
        <v>1</v>
      </c>
      <c r="AR13" s="204">
        <f t="shared" si="10"/>
        <v>0.85059101654846336</v>
      </c>
      <c r="AS13" s="201">
        <f t="shared" si="22"/>
        <v>0.98406141542175951</v>
      </c>
      <c r="AT13" s="204">
        <f t="shared" si="11"/>
        <v>0.7530805687203791</v>
      </c>
      <c r="AU13" s="201">
        <f t="shared" si="23"/>
        <v>1</v>
      </c>
      <c r="AV13" s="204" t="e">
        <f t="shared" si="12"/>
        <v>#DIV/0!</v>
      </c>
      <c r="AW13" s="204"/>
      <c r="AX13" s="201"/>
      <c r="AY13" s="204">
        <f t="shared" si="13"/>
        <v>1.9624459212345569</v>
      </c>
      <c r="AZ13" s="201">
        <f t="shared" si="24"/>
        <v>0.16787832835288352</v>
      </c>
      <c r="BA13" s="202" t="str">
        <f t="shared" si="7"/>
        <v>UBB</v>
      </c>
      <c r="BB13" s="203">
        <f t="shared" si="14"/>
        <v>0.68959247861927075</v>
      </c>
      <c r="BC13" s="201">
        <f t="shared" si="25"/>
        <v>0.13115800081748072</v>
      </c>
      <c r="BD13" s="228">
        <f t="shared" si="27"/>
        <v>1928137.0888186081</v>
      </c>
      <c r="BE13" s="167">
        <f t="shared" si="15"/>
        <v>1928137</v>
      </c>
    </row>
    <row r="14" spans="1:57" ht="11.25" customHeight="1" x14ac:dyDescent="0.15">
      <c r="A14" s="224" t="s">
        <v>15</v>
      </c>
      <c r="B14" s="224" t="s">
        <v>16</v>
      </c>
      <c r="C14" s="224">
        <v>74</v>
      </c>
      <c r="D14" s="224" t="s">
        <v>46</v>
      </c>
      <c r="E14" s="2"/>
      <c r="F14" s="2"/>
      <c r="G14" s="2">
        <f>VLOOKUP($D14,[1]Presentación!$B$44:$D$68,2,0)</f>
        <v>110</v>
      </c>
      <c r="H14" s="2">
        <f>VLOOKUP($D14,[1]Presentación!$B$44:$D$68,3,0)</f>
        <v>109</v>
      </c>
      <c r="I14" s="51">
        <f>VLOOKUP($D14,[1]Presentación!$B$13:$D$37,2,0)</f>
        <v>526</v>
      </c>
      <c r="J14" s="51">
        <f>VLOOKUP($D14,[1]Presentación!$B$13:$D$37,3,0)</f>
        <v>3273</v>
      </c>
      <c r="K14" s="2">
        <f>VLOOKUP($B14,'[2]Indicador a)'!$C$2:$H$61,4,0)</f>
        <v>208</v>
      </c>
      <c r="L14" s="2">
        <f>VLOOKUP($B14,'[2]Indicador a)'!$C$2:$H$61,5,0)</f>
        <v>7112</v>
      </c>
      <c r="M14" s="10">
        <f>VLOOKUP($B14,'[2]Indicador c)'!$C$3:$J$62,7,0)</f>
        <v>342.09090909090861</v>
      </c>
      <c r="N14" s="10">
        <f>VLOOKUP($B14,'[2]Indicador c)'!$C$3:$J$62,4,0)</f>
        <v>98.272727272727252</v>
      </c>
      <c r="O14" s="10">
        <f>VLOOKUP($B14,'[2]Indicador c)'!$C$3:$J$62,5,0)</f>
        <v>82.545454545454447</v>
      </c>
      <c r="P14" s="10">
        <f>VLOOKUP($B14,'[2]Indicador c)'!$C$3:$J$62,6,0)</f>
        <v>2.8181818181818183</v>
      </c>
      <c r="Q14" s="2"/>
      <c r="R14" s="2">
        <v>2</v>
      </c>
      <c r="S14" s="2">
        <f>VLOOKUP($B14,'[3]Indicador j)'!$E$7:$O$30,4,0)</f>
        <v>1</v>
      </c>
      <c r="T14" s="2">
        <f>VLOOKUP($B14,'[3]Indicador j)'!$E$7:$O$30,11,0)</f>
        <v>0</v>
      </c>
      <c r="U14" s="3">
        <f>VLOOKUP($B14,'[2]Ind g) 2016 con QUINTIL PERFIL'!$E$8:$S$68,11,0)</f>
        <v>1619</v>
      </c>
      <c r="V14" s="3">
        <f>VLOOKUP($B14,'[2]Ind g) 2016 con QUINTIL PERFIL'!$E$8:$S$68,15,0)</f>
        <v>1051</v>
      </c>
      <c r="W14" s="3">
        <f>VLOOKUP($B14,'[2]Indicador h)'!$D$10:$R$70,11,0)</f>
        <v>1546</v>
      </c>
      <c r="X14" s="3">
        <f>VLOOKUP($B14,'[2]Indicador h)'!$D$10:$R$70,15,0)</f>
        <v>1228</v>
      </c>
      <c r="Y14" s="4">
        <f>VLOOKUP($B14,'[2]Indicador i. 1)'!$C$10:$Q$71,11,0)</f>
        <v>1550</v>
      </c>
      <c r="Z14" s="4">
        <f>VLOOKUP($B14,'[2]Indicador i. 1)'!$C$10:$Q$71,15,0)</f>
        <v>952</v>
      </c>
      <c r="AA14" s="4" t="str">
        <f t="shared" si="0"/>
        <v>ULS</v>
      </c>
      <c r="AB14" s="52" t="s">
        <v>10</v>
      </c>
      <c r="AC14" s="52" t="str">
        <f>VLOOKUP(AA14,'Categoria 2017'!$B$8:$J$23,9,0)</f>
        <v>II</v>
      </c>
      <c r="AD14" s="204">
        <f t="shared" si="8"/>
        <v>2.9246344206974126</v>
      </c>
      <c r="AE14" s="201">
        <f t="shared" si="26"/>
        <v>0.72905592683267528</v>
      </c>
      <c r="AF14" s="204">
        <f t="shared" si="1"/>
        <v>0.28727079457879384</v>
      </c>
      <c r="AG14" s="201">
        <f t="shared" ref="AG14:AG15" si="28">AF14/AG$3</f>
        <v>0.58600003836688708</v>
      </c>
      <c r="AH14" s="204">
        <f t="shared" si="2"/>
        <v>0.5368057401009837</v>
      </c>
      <c r="AI14" s="201">
        <f t="shared" si="17"/>
        <v>0.55936459934115013</v>
      </c>
      <c r="AJ14" s="204">
        <f t="shared" si="9"/>
        <v>0.32155195322880725</v>
      </c>
      <c r="AK14" s="201">
        <f t="shared" ref="AK14:AK15" si="29">AJ14/AK$3</f>
        <v>0.29235578100493487</v>
      </c>
      <c r="AL14" s="204">
        <f t="shared" si="3"/>
        <v>1.1193339500462538</v>
      </c>
      <c r="AM14" s="201">
        <f t="shared" ref="AM14:AM15" si="30">AL14/AM$3</f>
        <v>0.4968790245052695</v>
      </c>
      <c r="AN14" s="204">
        <f t="shared" si="4"/>
        <v>6.2224334600760454</v>
      </c>
      <c r="AO14" s="201">
        <f t="shared" ref="AO14:AO15" si="31">AN14/AO$3</f>
        <v>0.98345598243195564</v>
      </c>
      <c r="AP14" s="204">
        <f t="shared" si="5"/>
        <v>0.64916615194564542</v>
      </c>
      <c r="AQ14" s="201">
        <f t="shared" ref="AQ14:AQ15" si="32">AP14/AQ$3</f>
        <v>0.81172215197114372</v>
      </c>
      <c r="AR14" s="204">
        <f t="shared" si="10"/>
        <v>0.79430789133247093</v>
      </c>
      <c r="AS14" s="201">
        <f t="shared" ref="AS14:AS15" si="33">AR14/AS$3</f>
        <v>0.91894662960006612</v>
      </c>
      <c r="AT14" s="204">
        <f t="shared" si="11"/>
        <v>0.61419354838709672</v>
      </c>
      <c r="AU14" s="201">
        <f t="shared" si="23"/>
        <v>0.81557481881483584</v>
      </c>
      <c r="AV14" s="204">
        <f t="shared" si="12"/>
        <v>0</v>
      </c>
      <c r="AW14" s="204">
        <f>T14/S14</f>
        <v>0</v>
      </c>
      <c r="AX14" s="201">
        <f>AW14/AX$3</f>
        <v>0</v>
      </c>
      <c r="AY14" s="204">
        <f t="shared" si="13"/>
        <v>0</v>
      </c>
      <c r="AZ14" s="201">
        <f t="shared" si="24"/>
        <v>0</v>
      </c>
      <c r="BA14" s="202" t="str">
        <f t="shared" si="7"/>
        <v>ULS</v>
      </c>
      <c r="BB14" s="203">
        <f t="shared" si="14"/>
        <v>0.56303226844262899</v>
      </c>
      <c r="BC14" s="201">
        <f t="shared" si="25"/>
        <v>0.10708670557504353</v>
      </c>
      <c r="BD14" s="228">
        <f t="shared" si="27"/>
        <v>1574268.0389431531</v>
      </c>
      <c r="BE14" s="167">
        <f t="shared" si="15"/>
        <v>1574268</v>
      </c>
    </row>
    <row r="15" spans="1:57" ht="11.25" customHeight="1" x14ac:dyDescent="0.15">
      <c r="A15" s="224" t="s">
        <v>21</v>
      </c>
      <c r="B15" s="224" t="s">
        <v>22</v>
      </c>
      <c r="C15" s="224">
        <v>83</v>
      </c>
      <c r="D15" s="224" t="s">
        <v>44</v>
      </c>
      <c r="E15" s="2"/>
      <c r="F15" s="2"/>
      <c r="G15" s="2">
        <f>VLOOKUP($D15,[1]Presentación!$B$44:$D$68,2,0)</f>
        <v>111</v>
      </c>
      <c r="H15" s="2">
        <f>VLOOKUP($D15,[1]Presentación!$B$44:$D$68,3,0)</f>
        <v>49</v>
      </c>
      <c r="I15" s="51">
        <f>VLOOKUP($D15,[1]Presentación!$B$13:$D$37,2,0)</f>
        <v>245</v>
      </c>
      <c r="J15" s="51">
        <f>VLOOKUP($D15,[1]Presentación!$B$13:$D$37,3,0)</f>
        <v>401</v>
      </c>
      <c r="K15" s="2">
        <f>VLOOKUP($B15,'[2]Indicador a)'!$C$2:$H$61,4,0)</f>
        <v>297</v>
      </c>
      <c r="L15" s="2">
        <f>VLOOKUP($B15,'[2]Indicador a)'!$C$2:$H$61,5,0)</f>
        <v>8740</v>
      </c>
      <c r="M15" s="10">
        <f>VLOOKUP($B15,'[2]Indicador c)'!$C$3:$J$62,7,0)</f>
        <v>391.1431818181818</v>
      </c>
      <c r="N15" s="10">
        <f>VLOOKUP($B15,'[2]Indicador c)'!$C$3:$J$62,4,0)</f>
        <v>98.884090909090787</v>
      </c>
      <c r="O15" s="10">
        <f>VLOOKUP($B15,'[2]Indicador c)'!$C$3:$J$62,5,0)</f>
        <v>196.81818181818213</v>
      </c>
      <c r="P15" s="10">
        <f>VLOOKUP($B15,'[2]Indicador c)'!$C$3:$J$62,6,0)</f>
        <v>0.40909090909090906</v>
      </c>
      <c r="Q15" s="2">
        <v>12</v>
      </c>
      <c r="R15" s="2">
        <v>23</v>
      </c>
      <c r="S15" s="2">
        <f>VLOOKUP($B15,'[3]Indicador j)'!$E$7:$O$30,4,0)</f>
        <v>14</v>
      </c>
      <c r="T15" s="2">
        <f>VLOOKUP($B15,'[3]Indicador j)'!$E$7:$O$30,11,0)</f>
        <v>1</v>
      </c>
      <c r="U15" s="3">
        <f>VLOOKUP($B15,'[2]Ind g) 2016 con QUINTIL PERFIL'!$E$8:$S$68,11,0)</f>
        <v>1732</v>
      </c>
      <c r="V15" s="3">
        <f>VLOOKUP($B15,'[2]Ind g) 2016 con QUINTIL PERFIL'!$E$8:$S$68,15,0)</f>
        <v>1247</v>
      </c>
      <c r="W15" s="3">
        <f>VLOOKUP($B15,'[2]Indicador h)'!$D$10:$R$70,11,0)</f>
        <v>1427</v>
      </c>
      <c r="X15" s="3">
        <f>VLOOKUP($B15,'[2]Indicador h)'!$D$10:$R$70,15,0)</f>
        <v>1116</v>
      </c>
      <c r="Y15" s="4">
        <f>VLOOKUP($B15,'[2]Indicador i. 1)'!$C$10:$Q$71,11,0)</f>
        <v>1471</v>
      </c>
      <c r="Z15" s="4">
        <f>VLOOKUP($B15,'[2]Indicador i. 1)'!$C$10:$Q$71,15,0)</f>
        <v>877</v>
      </c>
      <c r="AA15" s="4" t="str">
        <f t="shared" si="0"/>
        <v>UPA</v>
      </c>
      <c r="AB15" s="52" t="s">
        <v>10</v>
      </c>
      <c r="AC15" s="52" t="str">
        <f>VLOOKUP(AA15,'Categoria 2017'!$B$8:$J$23,9,0)</f>
        <v>II</v>
      </c>
      <c r="AD15" s="204">
        <f t="shared" si="8"/>
        <v>3.3981693363844392</v>
      </c>
      <c r="AE15" s="201">
        <f t="shared" si="26"/>
        <v>0.84709920581504905</v>
      </c>
      <c r="AF15" s="204">
        <f t="shared" si="1"/>
        <v>0.25280791154134413</v>
      </c>
      <c r="AG15" s="201">
        <f t="shared" si="28"/>
        <v>0.51569964179580496</v>
      </c>
      <c r="AH15" s="204">
        <f t="shared" si="2"/>
        <v>0.75704084182146791</v>
      </c>
      <c r="AI15" s="201">
        <f t="shared" si="17"/>
        <v>0.78885491628813609</v>
      </c>
      <c r="AJ15" s="204">
        <f t="shared" si="9"/>
        <v>0.28378354822402863</v>
      </c>
      <c r="AK15" s="201">
        <f t="shared" si="29"/>
        <v>0.25801665965422205</v>
      </c>
      <c r="AL15" s="204">
        <f t="shared" si="3"/>
        <v>1.1225263738536868</v>
      </c>
      <c r="AM15" s="201">
        <f t="shared" si="30"/>
        <v>0.4982961604968823</v>
      </c>
      <c r="AN15" s="204">
        <f t="shared" si="4"/>
        <v>1.6367346938775511</v>
      </c>
      <c r="AO15" s="201">
        <f t="shared" si="31"/>
        <v>0.25868601676106012</v>
      </c>
      <c r="AP15" s="204">
        <f t="shared" si="5"/>
        <v>0.71997690531177827</v>
      </c>
      <c r="AQ15" s="201">
        <f t="shared" si="32"/>
        <v>0.90026444107969228</v>
      </c>
      <c r="AR15" s="204">
        <f t="shared" si="10"/>
        <v>0.78206026629292225</v>
      </c>
      <c r="AS15" s="201">
        <f t="shared" si="33"/>
        <v>0.90477716978037548</v>
      </c>
      <c r="AT15" s="204">
        <f t="shared" si="11"/>
        <v>0.59619306594153632</v>
      </c>
      <c r="AU15" s="201">
        <f t="shared" si="23"/>
        <v>0.79167235313822637</v>
      </c>
      <c r="AV15" s="204">
        <f t="shared" si="12"/>
        <v>7.1428571428571425E-2</v>
      </c>
      <c r="AW15" s="204">
        <f>T15/S15</f>
        <v>7.1428571428571425E-2</v>
      </c>
      <c r="AX15" s="201">
        <f>AW15/AX$3</f>
        <v>7.1428571428571425E-2</v>
      </c>
      <c r="AY15" s="204">
        <f t="shared" si="13"/>
        <v>0</v>
      </c>
      <c r="AZ15" s="201">
        <f t="shared" si="24"/>
        <v>0</v>
      </c>
      <c r="BA15" s="202" t="str">
        <f t="shared" si="7"/>
        <v>UPA</v>
      </c>
      <c r="BB15" s="203">
        <f t="shared" si="14"/>
        <v>0.53043592147618357</v>
      </c>
      <c r="BC15" s="201">
        <f t="shared" si="25"/>
        <v>0.10088699801641114</v>
      </c>
      <c r="BD15" s="228">
        <f t="shared" si="27"/>
        <v>1483126.9266273044</v>
      </c>
      <c r="BE15" s="167">
        <f t="shared" si="15"/>
        <v>1483127</v>
      </c>
    </row>
    <row r="16" spans="1:57" ht="11.25" customHeight="1" x14ac:dyDescent="0.15">
      <c r="A16" s="224" t="s">
        <v>2</v>
      </c>
      <c r="B16" s="224" t="s">
        <v>3</v>
      </c>
      <c r="C16" s="224">
        <v>81</v>
      </c>
      <c r="D16" s="224" t="s">
        <v>49</v>
      </c>
      <c r="E16" s="2"/>
      <c r="F16" s="2"/>
      <c r="G16" s="2">
        <f>VLOOKUP($D16,[1]Presentación!$B$44:$D$68,2,0)</f>
        <v>55</v>
      </c>
      <c r="H16" s="2">
        <f>VLOOKUP($D16,[1]Presentación!$B$44:$D$68,3,0)</f>
        <v>43</v>
      </c>
      <c r="I16" s="51">
        <f>VLOOKUP($D16,[1]Presentación!$B$13:$D$37,2,0)</f>
        <v>264</v>
      </c>
      <c r="J16" s="51">
        <f>VLOOKUP($D16,[1]Presentación!$B$13:$D$37,3,0)</f>
        <v>1165</v>
      </c>
      <c r="K16" s="2">
        <f>VLOOKUP($B16,'[2]Indicador a)'!$C$2:$H$61,4,0)</f>
        <v>233</v>
      </c>
      <c r="L16" s="2">
        <f>VLOOKUP($B16,'[2]Indicador a)'!$C$2:$H$61,5,0)</f>
        <v>14002</v>
      </c>
      <c r="M16" s="10">
        <f>VLOOKUP($B16,'[2]Indicador c)'!$C$3:$J$62,7,0)</f>
        <v>378.36181818181802</v>
      </c>
      <c r="N16" s="10">
        <f>VLOOKUP($B16,'[2]Indicador c)'!$C$3:$J$62,4,0)</f>
        <v>56.454545454545453</v>
      </c>
      <c r="O16" s="10">
        <f>VLOOKUP($B16,'[2]Indicador c)'!$C$3:$J$62,5,0)</f>
        <v>144.18931818181829</v>
      </c>
      <c r="P16" s="10">
        <f>VLOOKUP($B16,'[2]Indicador c)'!$C$3:$J$62,6,0)</f>
        <v>0</v>
      </c>
      <c r="Q16" s="2"/>
      <c r="R16" s="2"/>
      <c r="S16" s="2"/>
      <c r="T16" s="2"/>
      <c r="U16" s="3">
        <f>VLOOKUP($B16,'[2]Ind g) 2016 con QUINTIL PERFIL'!$E$8:$S$68,11,0)</f>
        <v>942</v>
      </c>
      <c r="V16" s="3">
        <f>VLOOKUP($B16,'[2]Ind g) 2016 con QUINTIL PERFIL'!$E$8:$S$68,15,0)</f>
        <v>603</v>
      </c>
      <c r="W16" s="3">
        <f>VLOOKUP($B16,'[2]Indicador h)'!$D$10:$R$70,11,0)</f>
        <v>1032</v>
      </c>
      <c r="X16" s="3">
        <f>VLOOKUP($B16,'[2]Indicador h)'!$D$10:$R$70,15,0)</f>
        <v>772</v>
      </c>
      <c r="Y16" s="4">
        <f>VLOOKUP($B16,'[2]Indicador i. 1)'!$C$10:$Q$71,11,0)</f>
        <v>998</v>
      </c>
      <c r="Z16" s="4">
        <f>VLOOKUP($B16,'[2]Indicador i. 1)'!$C$10:$Q$71,15,0)</f>
        <v>569</v>
      </c>
      <c r="AA16" s="4" t="str">
        <f t="shared" si="0"/>
        <v>UAP</v>
      </c>
      <c r="AB16" s="33" t="s">
        <v>10</v>
      </c>
      <c r="AC16" s="52" t="str">
        <f>VLOOKUP(AA16,'Categoria 2017'!$B$8:$J$23,9,0)</f>
        <v>III</v>
      </c>
      <c r="AD16" s="200">
        <f t="shared" si="8"/>
        <v>1.6640479931438366</v>
      </c>
      <c r="AE16" s="201">
        <f t="shared" ref="AE16:AE21" si="34">AD16/AE$4</f>
        <v>0.36209684330809883</v>
      </c>
      <c r="AF16" s="200">
        <f t="shared" si="1"/>
        <v>0.14920782896602103</v>
      </c>
      <c r="AG16" s="201">
        <f t="shared" ref="AG16:AG21" si="35">AF16/AG$4</f>
        <v>0.71624592503251616</v>
      </c>
      <c r="AH16" s="200">
        <f t="shared" si="2"/>
        <v>0.53029627725265427</v>
      </c>
      <c r="AI16" s="201">
        <f t="shared" ref="AI16:AI21" si="36">AH16/AI$4</f>
        <v>0.82748314929632905</v>
      </c>
      <c r="AJ16" s="200">
        <f t="shared" si="9"/>
        <v>0.14536350487027816</v>
      </c>
      <c r="AK16" s="201">
        <f t="shared" ref="AK16:AK21" si="37">AJ16/AK$4</f>
        <v>0.50851483462884817</v>
      </c>
      <c r="AL16" s="200">
        <f t="shared" si="3"/>
        <v>0.97423510466988728</v>
      </c>
      <c r="AM16" s="201">
        <f t="shared" ref="AM16:AM21" si="38">AL16/AM$4</f>
        <v>0.7099723947550034</v>
      </c>
      <c r="AN16" s="200">
        <f t="shared" si="4"/>
        <v>4.4128787878787881</v>
      </c>
      <c r="AO16" s="201">
        <f t="shared" ref="AO16:AO21" si="39">AN16/AO$4</f>
        <v>0.92362579281183943</v>
      </c>
      <c r="AP16" s="200">
        <f t="shared" si="5"/>
        <v>0.64012738853503182</v>
      </c>
      <c r="AQ16" s="201">
        <f t="shared" ref="AQ16:AQ21" si="40">AP16/AQ$4</f>
        <v>0.78125057361552153</v>
      </c>
      <c r="AR16" s="200">
        <f t="shared" si="10"/>
        <v>0.74806201550387597</v>
      </c>
      <c r="AS16" s="201">
        <f t="shared" ref="AS16:AS21" si="41">AR16/AS$4</f>
        <v>0.8954318344039971</v>
      </c>
      <c r="AT16" s="200">
        <f t="shared" si="11"/>
        <v>0.5701402805611222</v>
      </c>
      <c r="AU16" s="201">
        <f t="shared" ref="AU16:AU21" si="42">AT16/AU$4</f>
        <v>0.85587803241142701</v>
      </c>
      <c r="AV16" s="200" t="e">
        <f t="shared" si="12"/>
        <v>#DIV/0!</v>
      </c>
      <c r="AW16" s="200"/>
      <c r="AX16" s="201"/>
      <c r="AY16" s="200">
        <f t="shared" si="13"/>
        <v>0</v>
      </c>
      <c r="AZ16" s="201">
        <f t="shared" ref="AZ16:AZ20" si="43">AY16/AZ$3</f>
        <v>0</v>
      </c>
      <c r="BA16" s="202" t="str">
        <f t="shared" si="7"/>
        <v>UAP</v>
      </c>
      <c r="BB16" s="203">
        <f t="shared" si="14"/>
        <v>0.65804993802635803</v>
      </c>
      <c r="BC16" s="201">
        <f t="shared" ref="BC16:BC21" si="44">BB16/BC$4</f>
        <v>0.16158820919415448</v>
      </c>
      <c r="BD16" s="228">
        <f>BC16*$BD$4</f>
        <v>1187743.8559642334</v>
      </c>
      <c r="BE16" s="167">
        <f t="shared" si="15"/>
        <v>1187744</v>
      </c>
    </row>
    <row r="17" spans="1:57" ht="11.25" customHeight="1" x14ac:dyDescent="0.15">
      <c r="A17" s="224" t="s">
        <v>8</v>
      </c>
      <c r="B17" s="224" t="s">
        <v>9</v>
      </c>
      <c r="C17" s="224">
        <v>79</v>
      </c>
      <c r="D17" s="224" t="s">
        <v>50</v>
      </c>
      <c r="E17" s="2"/>
      <c r="F17" s="2"/>
      <c r="G17" s="2">
        <f>VLOOKUP($D17,[1]Presentación!$B$44:$D$68,2,0)</f>
        <v>26</v>
      </c>
      <c r="H17" s="2">
        <f>VLOOKUP($D17,[1]Presentación!$B$44:$D$68,3,0)</f>
        <v>16</v>
      </c>
      <c r="I17" s="51">
        <f>VLOOKUP($D17,[1]Presentación!$B$13:$D$37,2,0)</f>
        <v>116</v>
      </c>
      <c r="J17" s="51">
        <f>VLOOKUP($D17,[1]Presentación!$B$13:$D$37,3,0)</f>
        <v>331</v>
      </c>
      <c r="K17" s="2">
        <f>VLOOKUP($B17,'[2]Indicador a)'!$C$2:$H$61,4,0)</f>
        <v>200</v>
      </c>
      <c r="L17" s="2">
        <f>VLOOKUP($B17,'[2]Indicador a)'!$C$2:$H$61,5,0)</f>
        <v>4352</v>
      </c>
      <c r="M17" s="10">
        <f>VLOOKUP($B17,'[2]Indicador c)'!$C$3:$J$62,7,0)</f>
        <v>247.93181818181804</v>
      </c>
      <c r="N17" s="10">
        <f>VLOOKUP($B17,'[2]Indicador c)'!$C$3:$J$62,4,0)</f>
        <v>40.5</v>
      </c>
      <c r="O17" s="10">
        <f>VLOOKUP($B17,'[2]Indicador c)'!$C$3:$J$62,5,0)</f>
        <v>41.295454545454554</v>
      </c>
      <c r="P17" s="10">
        <f>VLOOKUP($B17,'[2]Indicador c)'!$C$3:$J$62,6,0)</f>
        <v>0</v>
      </c>
      <c r="Q17" s="2"/>
      <c r="R17" s="2"/>
      <c r="S17" s="2"/>
      <c r="T17" s="2"/>
      <c r="U17" s="3">
        <f>VLOOKUP($B17,'[2]Ind g) 2016 con QUINTIL PERFIL'!$E$8:$S$68,11,0)</f>
        <v>1017</v>
      </c>
      <c r="V17" s="3">
        <f>VLOOKUP($B17,'[2]Ind g) 2016 con QUINTIL PERFIL'!$E$8:$S$68,15,0)</f>
        <v>572</v>
      </c>
      <c r="W17" s="3">
        <f>VLOOKUP($B17,'[2]Indicador h)'!$D$10:$R$70,11,0)</f>
        <v>891</v>
      </c>
      <c r="X17" s="3">
        <f>VLOOKUP($B17,'[2]Indicador h)'!$D$10:$R$70,15,0)</f>
        <v>631</v>
      </c>
      <c r="Y17" s="4">
        <f>VLOOKUP($B17,'[2]Indicador i. 1)'!$C$10:$Q$71,11,0)</f>
        <v>686</v>
      </c>
      <c r="Z17" s="4">
        <f>VLOOKUP($B17,'[2]Indicador i. 1)'!$C$10:$Q$71,15,0)</f>
        <v>304</v>
      </c>
      <c r="AA17" s="4" t="str">
        <f t="shared" si="0"/>
        <v>ATA</v>
      </c>
      <c r="AB17" s="33" t="s">
        <v>10</v>
      </c>
      <c r="AC17" s="52" t="str">
        <f>VLOOKUP(AA17,'Categoria 2017'!$B$8:$J$23,9,0)</f>
        <v>III</v>
      </c>
      <c r="AD17" s="200">
        <f t="shared" si="8"/>
        <v>4.5955882352941178</v>
      </c>
      <c r="AE17" s="201">
        <f t="shared" si="34"/>
        <v>1</v>
      </c>
      <c r="AF17" s="200">
        <f t="shared" si="1"/>
        <v>0.16335136126134395</v>
      </c>
      <c r="AG17" s="201">
        <f t="shared" si="35"/>
        <v>0.78413946280658153</v>
      </c>
      <c r="AH17" s="200">
        <f t="shared" si="2"/>
        <v>0.32991108259235519</v>
      </c>
      <c r="AI17" s="201">
        <f t="shared" si="36"/>
        <v>0.51479875179515411</v>
      </c>
      <c r="AJ17" s="200">
        <f t="shared" si="9"/>
        <v>0.10486754056283808</v>
      </c>
      <c r="AK17" s="201">
        <f t="shared" si="37"/>
        <v>0.36685067613658723</v>
      </c>
      <c r="AL17" s="200">
        <f t="shared" si="3"/>
        <v>0.64197530864197527</v>
      </c>
      <c r="AM17" s="201">
        <f t="shared" si="38"/>
        <v>0.46783855874764962</v>
      </c>
      <c r="AN17" s="200">
        <f t="shared" si="4"/>
        <v>2.853448275862069</v>
      </c>
      <c r="AO17" s="201">
        <f t="shared" si="39"/>
        <v>0.59723336006415395</v>
      </c>
      <c r="AP17" s="200">
        <f t="shared" si="5"/>
        <v>0.56243854473942967</v>
      </c>
      <c r="AQ17" s="201">
        <f t="shared" si="40"/>
        <v>0.68643436223962095</v>
      </c>
      <c r="AR17" s="200">
        <f t="shared" si="10"/>
        <v>0.70819304152637486</v>
      </c>
      <c r="AS17" s="201">
        <f t="shared" si="41"/>
        <v>0.84770858718039299</v>
      </c>
      <c r="AT17" s="200">
        <f t="shared" si="11"/>
        <v>0.44314868804664725</v>
      </c>
      <c r="AU17" s="201">
        <f t="shared" si="42"/>
        <v>0.66524194154075156</v>
      </c>
      <c r="AV17" s="200" t="e">
        <f t="shared" si="12"/>
        <v>#DIV/0!</v>
      </c>
      <c r="AW17" s="200"/>
      <c r="AX17" s="201"/>
      <c r="AY17" s="200">
        <f t="shared" si="13"/>
        <v>0</v>
      </c>
      <c r="AZ17" s="201">
        <f t="shared" si="43"/>
        <v>0</v>
      </c>
      <c r="BA17" s="202" t="str">
        <f t="shared" si="7"/>
        <v>ATA</v>
      </c>
      <c r="BB17" s="203">
        <f t="shared" si="14"/>
        <v>0.59302457005108911</v>
      </c>
      <c r="BC17" s="201">
        <f t="shared" si="44"/>
        <v>0.14562083019123487</v>
      </c>
      <c r="BD17" s="228">
        <f t="shared" ref="BD17:BD21" si="45">BC17*$BD$4</f>
        <v>1070376.6520008384</v>
      </c>
      <c r="BE17" s="167">
        <f t="shared" si="15"/>
        <v>1070377</v>
      </c>
    </row>
    <row r="18" spans="1:57" ht="11.25" customHeight="1" x14ac:dyDescent="0.15">
      <c r="A18" s="224" t="s">
        <v>17</v>
      </c>
      <c r="B18" s="224" t="s">
        <v>18</v>
      </c>
      <c r="C18" s="224">
        <v>84</v>
      </c>
      <c r="D18" s="224" t="s">
        <v>47</v>
      </c>
      <c r="E18" s="2"/>
      <c r="F18" s="2"/>
      <c r="G18" s="2">
        <f>VLOOKUP($D18,[1]Presentación!$B$44:$D$68,2,0)</f>
        <v>81</v>
      </c>
      <c r="H18" s="2">
        <f>VLOOKUP($D18,[1]Presentación!$B$44:$D$68,3,0)</f>
        <v>51</v>
      </c>
      <c r="I18" s="51">
        <f>VLOOKUP($D18,[1]Presentación!$B$13:$D$37,2,0)</f>
        <v>311</v>
      </c>
      <c r="J18" s="51">
        <f>VLOOKUP($D18,[1]Presentación!$B$13:$D$37,3,0)</f>
        <v>939</v>
      </c>
      <c r="K18" s="2">
        <f>VLOOKUP($B18,'[2]Indicador a)'!$C$2:$H$61,4,0)</f>
        <v>241</v>
      </c>
      <c r="L18" s="2">
        <f>VLOOKUP($B18,'[2]Indicador a)'!$C$2:$H$61,5,0)</f>
        <v>9382</v>
      </c>
      <c r="M18" s="10">
        <f>VLOOKUP($B18,'[2]Indicador c)'!$C$3:$J$62,7,0)</f>
        <v>365.53863636363604</v>
      </c>
      <c r="N18" s="10">
        <f>VLOOKUP($B18,'[2]Indicador c)'!$C$3:$J$62,4,0)</f>
        <v>69.545454545454547</v>
      </c>
      <c r="O18" s="10">
        <f>VLOOKUP($B18,'[2]Indicador c)'!$C$3:$J$62,5,0)</f>
        <v>141.14772727272737</v>
      </c>
      <c r="P18" s="10">
        <f>VLOOKUP($B18,'[2]Indicador c)'!$C$3:$J$62,6,0)</f>
        <v>0</v>
      </c>
      <c r="Q18" s="2"/>
      <c r="R18" s="2"/>
      <c r="S18" s="2"/>
      <c r="T18" s="2"/>
      <c r="U18" s="3">
        <f>VLOOKUP($B18,'[2]Ind g) 2016 con QUINTIL PERFIL'!$E$8:$S$68,11,0)</f>
        <v>847</v>
      </c>
      <c r="V18" s="3">
        <f>VLOOKUP($B18,'[2]Ind g) 2016 con QUINTIL PERFIL'!$E$8:$S$68,15,0)</f>
        <v>694</v>
      </c>
      <c r="W18" s="3">
        <f>VLOOKUP($B18,'[2]Indicador h)'!$D$10:$R$70,11,0)</f>
        <v>885</v>
      </c>
      <c r="X18" s="3">
        <f>VLOOKUP($B18,'[2]Indicador h)'!$D$10:$R$70,15,0)</f>
        <v>713</v>
      </c>
      <c r="Y18" s="4">
        <f>VLOOKUP($B18,'[2]Indicador i. 1)'!$C$10:$Q$71,11,0)</f>
        <v>641</v>
      </c>
      <c r="Z18" s="4">
        <f>VLOOKUP($B18,'[2]Indicador i. 1)'!$C$10:$Q$71,15,0)</f>
        <v>427</v>
      </c>
      <c r="AA18" s="4" t="str">
        <f t="shared" si="0"/>
        <v>ULA</v>
      </c>
      <c r="AB18" s="33" t="s">
        <v>10</v>
      </c>
      <c r="AC18" s="52" t="str">
        <f>VLOOKUP(AA18,'Categoria 2017'!$B$8:$J$23,9,0)</f>
        <v>III</v>
      </c>
      <c r="AD18" s="200">
        <f t="shared" si="8"/>
        <v>2.5687486676614797</v>
      </c>
      <c r="AE18" s="201">
        <f t="shared" si="34"/>
        <v>0.55895971008313794</v>
      </c>
      <c r="AF18" s="200">
        <f t="shared" si="1"/>
        <v>0.19025472994398071</v>
      </c>
      <c r="AG18" s="201">
        <f t="shared" si="35"/>
        <v>0.91328434965413563</v>
      </c>
      <c r="AH18" s="200">
        <f t="shared" si="2"/>
        <v>0.57639100455740988</v>
      </c>
      <c r="AI18" s="201">
        <f t="shared" si="36"/>
        <v>0.89941013002812487</v>
      </c>
      <c r="AJ18" s="200">
        <f t="shared" si="9"/>
        <v>0.22159080311122459</v>
      </c>
      <c r="AK18" s="201">
        <f t="shared" si="37"/>
        <v>0.77517538325685809</v>
      </c>
      <c r="AL18" s="200">
        <f t="shared" si="3"/>
        <v>1.1647058823529413</v>
      </c>
      <c r="AM18" s="201">
        <f t="shared" si="38"/>
        <v>0.84877769289534</v>
      </c>
      <c r="AN18" s="200">
        <f t="shared" si="4"/>
        <v>3.0192926045016075</v>
      </c>
      <c r="AO18" s="201">
        <f t="shared" si="39"/>
        <v>0.63194496373289466</v>
      </c>
      <c r="AP18" s="200">
        <f t="shared" si="5"/>
        <v>0.81936245572609212</v>
      </c>
      <c r="AQ18" s="201">
        <f t="shared" si="40"/>
        <v>1</v>
      </c>
      <c r="AR18" s="200">
        <f t="shared" si="10"/>
        <v>0.80564971751412429</v>
      </c>
      <c r="AS18" s="201">
        <f t="shared" si="41"/>
        <v>0.96436443702440144</v>
      </c>
      <c r="AT18" s="200">
        <f t="shared" si="11"/>
        <v>0.66614664586583461</v>
      </c>
      <c r="AU18" s="201">
        <f t="shared" si="42"/>
        <v>1</v>
      </c>
      <c r="AV18" s="200" t="e">
        <f t="shared" si="12"/>
        <v>#DIV/0!</v>
      </c>
      <c r="AW18" s="200"/>
      <c r="AX18" s="201"/>
      <c r="AY18" s="200">
        <f t="shared" si="13"/>
        <v>0</v>
      </c>
      <c r="AZ18" s="201">
        <f t="shared" si="43"/>
        <v>0</v>
      </c>
      <c r="BA18" s="202" t="str">
        <f t="shared" si="7"/>
        <v>ULA</v>
      </c>
      <c r="BB18" s="203">
        <f t="shared" si="14"/>
        <v>0.75919166666748927</v>
      </c>
      <c r="BC18" s="201">
        <f t="shared" si="44"/>
        <v>0.18642418266896227</v>
      </c>
      <c r="BD18" s="228">
        <f t="shared" si="45"/>
        <v>1370299.0996215828</v>
      </c>
      <c r="BE18" s="167">
        <f t="shared" si="15"/>
        <v>1370299</v>
      </c>
    </row>
    <row r="19" spans="1:57" ht="11.25" customHeight="1" x14ac:dyDescent="0.15">
      <c r="A19" s="224" t="s">
        <v>19</v>
      </c>
      <c r="B19" s="224" t="s">
        <v>20</v>
      </c>
      <c r="C19" s="224">
        <v>77</v>
      </c>
      <c r="D19" s="224" t="s">
        <v>52</v>
      </c>
      <c r="E19" s="2"/>
      <c r="F19" s="2"/>
      <c r="G19" s="2">
        <f>VLOOKUP($D19,[1]Presentación!$B$44:$D$68,2,0)</f>
        <v>77</v>
      </c>
      <c r="H19" s="2">
        <f>VLOOKUP($D19,[1]Presentación!$B$44:$D$68,3,0)</f>
        <v>64</v>
      </c>
      <c r="I19" s="51">
        <f>VLOOKUP($D19,[1]Presentación!$B$13:$D$37,2,0)</f>
        <v>268</v>
      </c>
      <c r="J19" s="51">
        <f>VLOOKUP($D19,[1]Presentación!$B$13:$D$37,3,0)</f>
        <v>806</v>
      </c>
      <c r="K19" s="2">
        <f>VLOOKUP($B19,'[2]Indicador a)'!$C$2:$H$61,4,0)</f>
        <v>182</v>
      </c>
      <c r="L19" s="2">
        <f>VLOOKUP($B19,'[2]Indicador a)'!$C$2:$H$61,5,0)</f>
        <v>4278</v>
      </c>
      <c r="M19" s="10">
        <f>VLOOKUP($B19,'[2]Indicador c)'!$C$3:$J$62,7,0)</f>
        <v>269.36363636363654</v>
      </c>
      <c r="N19" s="10">
        <f>VLOOKUP($B19,'[2]Indicador c)'!$C$3:$J$62,4,0)</f>
        <v>56.11363636363636</v>
      </c>
      <c r="O19" s="10">
        <f>VLOOKUP($B19,'[2]Indicador c)'!$C$3:$J$62,5,0)</f>
        <v>62.340909090909051</v>
      </c>
      <c r="P19" s="10">
        <f>VLOOKUP($B19,'[2]Indicador c)'!$C$3:$J$62,6,0)</f>
        <v>0.75</v>
      </c>
      <c r="Q19" s="2"/>
      <c r="R19" s="2"/>
      <c r="S19" s="2"/>
      <c r="T19" s="2"/>
      <c r="U19" s="3">
        <f>VLOOKUP($B19,'[2]Ind g) 2016 con QUINTIL PERFIL'!$E$8:$S$68,11,0)</f>
        <v>668</v>
      </c>
      <c r="V19" s="3">
        <f>VLOOKUP($B19,'[2]Ind g) 2016 con QUINTIL PERFIL'!$E$8:$S$68,15,0)</f>
        <v>325</v>
      </c>
      <c r="W19" s="3">
        <f>VLOOKUP($B19,'[2]Indicador h)'!$D$10:$R$70,11,0)</f>
        <v>559</v>
      </c>
      <c r="X19" s="3">
        <f>VLOOKUP($B19,'[2]Indicador h)'!$D$10:$R$70,15,0)</f>
        <v>467</v>
      </c>
      <c r="Y19" s="4">
        <f>VLOOKUP($B19,'[2]Indicador i. 1)'!$C$10:$Q$71,11,0)</f>
        <v>446</v>
      </c>
      <c r="Z19" s="4">
        <f>VLOOKUP($B19,'[2]Indicador i. 1)'!$C$10:$Q$71,15,0)</f>
        <v>283</v>
      </c>
      <c r="AA19" s="4" t="str">
        <f t="shared" si="0"/>
        <v>MAG</v>
      </c>
      <c r="AB19" s="33" t="s">
        <v>10</v>
      </c>
      <c r="AC19" s="52" t="str">
        <f>VLOOKUP(AA19,'Categoria 2017'!$B$8:$J$23,9,0)</f>
        <v>III</v>
      </c>
      <c r="AD19" s="200">
        <f t="shared" si="8"/>
        <v>4.2543244506778866</v>
      </c>
      <c r="AE19" s="201">
        <f t="shared" si="34"/>
        <v>0.92574100046750807</v>
      </c>
      <c r="AF19" s="200">
        <f t="shared" si="1"/>
        <v>0.20831927100911224</v>
      </c>
      <c r="AG19" s="201">
        <f t="shared" si="35"/>
        <v>1</v>
      </c>
      <c r="AH19" s="200">
        <f t="shared" si="2"/>
        <v>0.44254134323320915</v>
      </c>
      <c r="AI19" s="201">
        <f t="shared" si="36"/>
        <v>0.69054888767015332</v>
      </c>
      <c r="AJ19" s="200">
        <f t="shared" si="9"/>
        <v>0.28585892676341529</v>
      </c>
      <c r="AK19" s="201">
        <f t="shared" si="37"/>
        <v>1</v>
      </c>
      <c r="AL19" s="200">
        <f t="shared" si="3"/>
        <v>1.3722154718509518</v>
      </c>
      <c r="AM19" s="201">
        <f t="shared" si="38"/>
        <v>1</v>
      </c>
      <c r="AN19" s="200">
        <f t="shared" si="4"/>
        <v>3.0074626865671643</v>
      </c>
      <c r="AO19" s="201">
        <f t="shared" si="39"/>
        <v>0.62946893439777862</v>
      </c>
      <c r="AP19" s="200">
        <f t="shared" si="5"/>
        <v>0.48652694610778441</v>
      </c>
      <c r="AQ19" s="201">
        <f t="shared" si="40"/>
        <v>0.59378720944278585</v>
      </c>
      <c r="AR19" s="200">
        <f t="shared" si="10"/>
        <v>0.83542039355992848</v>
      </c>
      <c r="AS19" s="201">
        <f t="shared" si="41"/>
        <v>1</v>
      </c>
      <c r="AT19" s="200">
        <f t="shared" si="11"/>
        <v>0.63452914798206284</v>
      </c>
      <c r="AU19" s="201">
        <f t="shared" si="42"/>
        <v>0.95253673034309672</v>
      </c>
      <c r="AV19" s="200" t="e">
        <f t="shared" si="12"/>
        <v>#DIV/0!</v>
      </c>
      <c r="AW19" s="200"/>
      <c r="AX19" s="201"/>
      <c r="AY19" s="200">
        <f t="shared" si="13"/>
        <v>0</v>
      </c>
      <c r="AZ19" s="201">
        <f t="shared" si="43"/>
        <v>0</v>
      </c>
      <c r="BA19" s="202" t="str">
        <f t="shared" si="7"/>
        <v>MAG</v>
      </c>
      <c r="BB19" s="203">
        <f t="shared" si="14"/>
        <v>0.77920827623213218</v>
      </c>
      <c r="BC19" s="201">
        <f t="shared" si="44"/>
        <v>0.19133938424680919</v>
      </c>
      <c r="BD19" s="228">
        <f t="shared" si="45"/>
        <v>1406427.9762520478</v>
      </c>
      <c r="BE19" s="167">
        <f t="shared" si="15"/>
        <v>1406428</v>
      </c>
    </row>
    <row r="20" spans="1:57" ht="11.25" customHeight="1" x14ac:dyDescent="0.15">
      <c r="A20" s="224" t="s">
        <v>33</v>
      </c>
      <c r="B20" s="224" t="s">
        <v>34</v>
      </c>
      <c r="C20" s="224">
        <v>82</v>
      </c>
      <c r="D20" s="224" t="s">
        <v>48</v>
      </c>
      <c r="E20" s="2"/>
      <c r="F20" s="2"/>
      <c r="G20" s="2">
        <f>VLOOKUP($D20,[1]Presentación!$B$44:$D$68,2,0)</f>
        <v>33</v>
      </c>
      <c r="H20" s="2">
        <f>VLOOKUP($D20,[1]Presentación!$B$44:$D$68,3,0)</f>
        <v>26</v>
      </c>
      <c r="I20" s="51">
        <f>VLOOKUP($D20,[1]Presentación!$B$13:$D$37,2,0)</f>
        <v>117</v>
      </c>
      <c r="J20" s="51">
        <f>VLOOKUP($D20,[1]Presentación!$B$13:$D$37,3,0)</f>
        <v>341</v>
      </c>
      <c r="K20" s="2">
        <f>VLOOKUP($B20,'[2]Indicador a)'!$C$2:$H$61,4,0)</f>
        <v>225</v>
      </c>
      <c r="L20" s="2">
        <f>VLOOKUP($B20,'[2]Indicador a)'!$C$2:$H$61,5,0)</f>
        <v>4961</v>
      </c>
      <c r="M20" s="10">
        <f>VLOOKUP($B20,'[2]Indicador c)'!$C$3:$J$62,7,0)</f>
        <v>323.43181818181807</v>
      </c>
      <c r="N20" s="10">
        <f>VLOOKUP($B20,'[2]Indicador c)'!$C$3:$J$62,4,0)</f>
        <v>64.272727272727266</v>
      </c>
      <c r="O20" s="10">
        <f>VLOOKUP($B20,'[2]Indicador c)'!$C$3:$J$62,5,0)</f>
        <v>142.86363636363637</v>
      </c>
      <c r="P20" s="10">
        <f>VLOOKUP($B20,'[2]Indicador c)'!$C$3:$J$62,6,0)</f>
        <v>0.13636363636363635</v>
      </c>
      <c r="Q20" s="2">
        <v>5</v>
      </c>
      <c r="R20" s="2"/>
      <c r="S20" s="2">
        <f>VLOOKUP($B20,'[3]Indicador j)'!$E$7:$O$30,4,0)</f>
        <v>3</v>
      </c>
      <c r="T20" s="2">
        <f>VLOOKUP($B20,'[3]Indicador j)'!$E$7:$O$30,11,0)</f>
        <v>0</v>
      </c>
      <c r="U20" s="3">
        <f>VLOOKUP($B20,'[2]Ind g) 2016 con QUINTIL PERFIL'!$E$8:$S$68,11,0)</f>
        <v>1180</v>
      </c>
      <c r="V20" s="3">
        <f>VLOOKUP($B20,'[2]Ind g) 2016 con QUINTIL PERFIL'!$E$8:$S$68,15,0)</f>
        <v>777</v>
      </c>
      <c r="W20" s="3">
        <f>VLOOKUP($B20,'[2]Indicador h)'!$D$10:$R$70,11,0)</f>
        <v>1044</v>
      </c>
      <c r="X20" s="3">
        <f>VLOOKUP($B20,'[2]Indicador h)'!$D$10:$R$70,15,0)</f>
        <v>872</v>
      </c>
      <c r="Y20" s="4">
        <f>VLOOKUP($B20,'[2]Indicador i. 1)'!$C$10:$Q$71,11,0)</f>
        <v>977</v>
      </c>
      <c r="Z20" s="4">
        <f>VLOOKUP($B20,'[2]Indicador i. 1)'!$C$10:$Q$71,15,0)</f>
        <v>621</v>
      </c>
      <c r="AA20" s="4" t="str">
        <f t="shared" si="0"/>
        <v>UMC</v>
      </c>
      <c r="AB20" s="33" t="s">
        <v>10</v>
      </c>
      <c r="AC20" s="52" t="str">
        <f>VLOOKUP(AA20,'Categoria 2017'!$B$8:$J$23,9,0)</f>
        <v>III</v>
      </c>
      <c r="AD20" s="200">
        <f t="shared" si="8"/>
        <v>4.5353759322717195</v>
      </c>
      <c r="AE20" s="201">
        <f t="shared" si="34"/>
        <v>0.9868978028623262</v>
      </c>
      <c r="AF20" s="200">
        <f t="shared" si="1"/>
        <v>0.19872110181997055</v>
      </c>
      <c r="AG20" s="201">
        <f t="shared" si="35"/>
        <v>0.95392567791425376</v>
      </c>
      <c r="AH20" s="200">
        <f t="shared" si="2"/>
        <v>0.6408544726301737</v>
      </c>
      <c r="AI20" s="201">
        <f t="shared" si="36"/>
        <v>1</v>
      </c>
      <c r="AJ20" s="200">
        <f t="shared" si="9"/>
        <v>0.10203077787927767</v>
      </c>
      <c r="AK20" s="201">
        <f t="shared" si="37"/>
        <v>0.35692703052691843</v>
      </c>
      <c r="AL20" s="200">
        <f t="shared" si="3"/>
        <v>0.51343705799151351</v>
      </c>
      <c r="AM20" s="201">
        <f t="shared" si="38"/>
        <v>0.37416649828248133</v>
      </c>
      <c r="AN20" s="200">
        <f t="shared" si="4"/>
        <v>2.9145299145299144</v>
      </c>
      <c r="AO20" s="201">
        <f t="shared" si="39"/>
        <v>0.61001788908765653</v>
      </c>
      <c r="AP20" s="200">
        <f t="shared" si="5"/>
        <v>0.65847457627118644</v>
      </c>
      <c r="AQ20" s="201">
        <f t="shared" si="40"/>
        <v>0.80364260245200991</v>
      </c>
      <c r="AR20" s="200">
        <f t="shared" si="10"/>
        <v>0.83524904214559392</v>
      </c>
      <c r="AS20" s="201">
        <f t="shared" si="41"/>
        <v>0.99979489199012206</v>
      </c>
      <c r="AT20" s="200">
        <f t="shared" si="11"/>
        <v>0.63561924257932445</v>
      </c>
      <c r="AU20" s="201">
        <f t="shared" si="42"/>
        <v>0.95417314869636294</v>
      </c>
      <c r="AV20" s="200">
        <f t="shared" si="12"/>
        <v>0</v>
      </c>
      <c r="AW20" s="200">
        <f>T20/S20</f>
        <v>0</v>
      </c>
      <c r="AX20" s="201">
        <f>AW20/AX$3</f>
        <v>0</v>
      </c>
      <c r="AY20" s="200">
        <f t="shared" si="13"/>
        <v>0</v>
      </c>
      <c r="AZ20" s="201">
        <f t="shared" si="43"/>
        <v>0</v>
      </c>
      <c r="BA20" s="202" t="str">
        <f t="shared" si="7"/>
        <v>UMC</v>
      </c>
      <c r="BB20" s="203">
        <f t="shared" si="14"/>
        <v>0.63995868561928471</v>
      </c>
      <c r="BC20" s="201">
        <f t="shared" si="44"/>
        <v>0.15714579090701636</v>
      </c>
      <c r="BD20" s="228">
        <f t="shared" si="45"/>
        <v>1155090.1428468884</v>
      </c>
      <c r="BE20" s="167">
        <f t="shared" si="15"/>
        <v>1155090</v>
      </c>
    </row>
    <row r="21" spans="1:57" ht="11.25" customHeight="1" x14ac:dyDescent="0.15">
      <c r="A21" s="224" t="s">
        <v>35</v>
      </c>
      <c r="B21" s="224" t="s">
        <v>36</v>
      </c>
      <c r="C21" s="224">
        <v>85</v>
      </c>
      <c r="D21" s="224" t="s">
        <v>42</v>
      </c>
      <c r="E21" s="2"/>
      <c r="F21" s="2"/>
      <c r="G21" s="2">
        <f>VLOOKUP($D21,[1]Presentación!$B$44:$D$68,2,0)</f>
        <v>17</v>
      </c>
      <c r="H21" s="2">
        <f>VLOOKUP($D21,[1]Presentación!$B$44:$D$68,3,0)</f>
        <v>11</v>
      </c>
      <c r="I21" s="51">
        <f>VLOOKUP($D21,[1]Presentación!$B$13:$D$37,2,0)</f>
        <v>63</v>
      </c>
      <c r="J21" s="51">
        <f>VLOOKUP($D21,[1]Presentación!$B$13:$D$37,3,0)</f>
        <v>301</v>
      </c>
      <c r="K21" s="2">
        <f>VLOOKUP($B21,'[2]Indicador a)'!$C$2:$H$61,4,0)</f>
        <v>188</v>
      </c>
      <c r="L21" s="2">
        <f>VLOOKUP($B21,'[2]Indicador a)'!$C$2:$H$61,5,0)</f>
        <v>7676</v>
      </c>
      <c r="M21" s="10">
        <f>VLOOKUP($B21,'[2]Indicador c)'!$C$3:$J$62,7,0)</f>
        <v>302.34090909090895</v>
      </c>
      <c r="N21" s="10">
        <f>VLOOKUP($B21,'[2]Indicador c)'!$C$3:$J$62,4,0)</f>
        <v>57.159090909090878</v>
      </c>
      <c r="O21" s="10">
        <f>VLOOKUP($B21,'[2]Indicador c)'!$C$3:$J$62,5,0)</f>
        <v>127.18181818181819</v>
      </c>
      <c r="P21" s="10">
        <f>VLOOKUP($B21,'[2]Indicador c)'!$C$3:$J$62,6,0)</f>
        <v>0</v>
      </c>
      <c r="Q21" s="2"/>
      <c r="R21" s="2"/>
      <c r="S21" s="2"/>
      <c r="T21" s="2"/>
      <c r="U21" s="3">
        <f>VLOOKUP($B21,'[2]Ind g) 2016 con QUINTIL PERFIL'!$E$8:$S$68,11,0)</f>
        <v>2054</v>
      </c>
      <c r="V21" s="3">
        <f>VLOOKUP($B21,'[2]Ind g) 2016 con QUINTIL PERFIL'!$E$8:$S$68,15,0)</f>
        <v>1537</v>
      </c>
      <c r="W21" s="3">
        <f>VLOOKUP($B21,'[2]Indicador h)'!$D$10:$R$70,11,0)</f>
        <v>1846</v>
      </c>
      <c r="X21" s="3">
        <f>VLOOKUP($B21,'[2]Indicador h)'!$D$10:$R$70,15,0)</f>
        <v>1487</v>
      </c>
      <c r="Y21" s="4">
        <f>VLOOKUP($B21,'[2]Indicador i. 1)'!$C$10:$Q$71,11,0)</f>
        <v>1568</v>
      </c>
      <c r="Z21" s="4">
        <f>VLOOKUP($B21,'[2]Indicador i. 1)'!$C$10:$Q$71,15,0)</f>
        <v>780</v>
      </c>
      <c r="AA21" s="4" t="str">
        <f t="shared" si="0"/>
        <v>UTM</v>
      </c>
      <c r="AB21" s="33" t="s">
        <v>10</v>
      </c>
      <c r="AC21" s="52" t="str">
        <f>VLOOKUP(AA21,'Categoria 2017'!$B$8:$J$23,9,0)</f>
        <v>III</v>
      </c>
      <c r="AD21" s="200">
        <f t="shared" si="8"/>
        <v>2.4491922876498173</v>
      </c>
      <c r="AE21" s="201">
        <f t="shared" si="34"/>
        <v>0.53294424179260025</v>
      </c>
      <c r="AF21" s="200">
        <f t="shared" si="1"/>
        <v>0.18905510035330375</v>
      </c>
      <c r="AG21" s="201">
        <f t="shared" si="35"/>
        <v>0.90752573891752031</v>
      </c>
      <c r="AH21" s="200">
        <f t="shared" si="2"/>
        <v>0.60971209501616197</v>
      </c>
      <c r="AI21" s="201">
        <f t="shared" si="36"/>
        <v>0.95140491493146917</v>
      </c>
      <c r="AJ21" s="200">
        <f t="shared" si="9"/>
        <v>5.6227918514620785E-2</v>
      </c>
      <c r="AK21" s="201">
        <f t="shared" si="37"/>
        <v>0.19669813761372076</v>
      </c>
      <c r="AL21" s="200">
        <f t="shared" si="3"/>
        <v>0.29741550695825064</v>
      </c>
      <c r="AM21" s="201">
        <f t="shared" si="38"/>
        <v>0.21674111177093294</v>
      </c>
      <c r="AN21" s="200">
        <f t="shared" si="4"/>
        <v>4.7777777777777777</v>
      </c>
      <c r="AO21" s="201">
        <f t="shared" si="39"/>
        <v>1</v>
      </c>
      <c r="AP21" s="200">
        <f t="shared" si="5"/>
        <v>0.74829600778967864</v>
      </c>
      <c r="AQ21" s="201">
        <f t="shared" si="40"/>
        <v>0.9132661651265962</v>
      </c>
      <c r="AR21" s="200">
        <f t="shared" si="10"/>
        <v>0.80552546045503792</v>
      </c>
      <c r="AS21" s="201">
        <f t="shared" si="41"/>
        <v>0.96421570105859999</v>
      </c>
      <c r="AT21" s="200">
        <f t="shared" si="11"/>
        <v>0.49744897959183676</v>
      </c>
      <c r="AU21" s="201">
        <f t="shared" si="42"/>
        <v>0.74675596233809693</v>
      </c>
      <c r="AV21" s="200" t="e">
        <f t="shared" si="12"/>
        <v>#DIV/0!</v>
      </c>
      <c r="AW21" s="200"/>
      <c r="AX21" s="201"/>
      <c r="AY21" s="200">
        <f t="shared" si="13"/>
        <v>0</v>
      </c>
      <c r="AZ21" s="201">
        <f>AY21/AZ$3</f>
        <v>0</v>
      </c>
      <c r="BA21" s="202" t="str">
        <f t="shared" si="7"/>
        <v>UTM</v>
      </c>
      <c r="BB21" s="203">
        <f t="shared" si="14"/>
        <v>0.64295519735495366</v>
      </c>
      <c r="BC21" s="201">
        <f t="shared" si="44"/>
        <v>0.15788160279182289</v>
      </c>
      <c r="BD21" s="228">
        <f t="shared" si="45"/>
        <v>1160498.6813144095</v>
      </c>
      <c r="BE21" s="167">
        <f t="shared" si="15"/>
        <v>1160499</v>
      </c>
    </row>
  </sheetData>
  <autoFilter ref="A5:BC23"/>
  <sortState ref="A13:HA42">
    <sortCondition ref="AC13:AC42"/>
  </sortState>
  <mergeCells count="4">
    <mergeCell ref="A2:D2"/>
    <mergeCell ref="E2:F2"/>
    <mergeCell ref="G2:J2"/>
    <mergeCell ref="K2:Z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1:N28"/>
  <sheetViews>
    <sheetView view="pageBreakPreview" zoomScale="90" zoomScaleSheetLayoutView="90" workbookViewId="0">
      <selection activeCell="M6" sqref="M6"/>
    </sheetView>
  </sheetViews>
  <sheetFormatPr baseColWidth="10" defaultRowHeight="14" x14ac:dyDescent="0.2"/>
  <cols>
    <col min="1" max="1" width="29.1640625" style="16" bestFit="1" customWidth="1"/>
    <col min="2" max="2" width="4.6640625" style="16" bestFit="1" customWidth="1"/>
    <col min="3" max="3" width="8.1640625" style="16" customWidth="1"/>
    <col min="4" max="4" width="7.83203125" style="16" customWidth="1"/>
    <col min="5" max="5" width="10.6640625" style="16" bestFit="1" customWidth="1"/>
    <col min="6" max="6" width="10.83203125" style="16"/>
    <col min="7" max="7" width="9.33203125" style="16" hidden="1" customWidth="1"/>
    <col min="8" max="8" width="9.33203125" style="16" customWidth="1"/>
    <col min="9" max="9" width="8.33203125" style="16" customWidth="1"/>
    <col min="10" max="10" width="10.83203125" style="16"/>
    <col min="11" max="11" width="8.33203125" style="16" bestFit="1" customWidth="1"/>
    <col min="12" max="12" width="6.5" style="16" customWidth="1"/>
    <col min="13" max="13" width="11.5" style="16" customWidth="1"/>
    <col min="14" max="16384" width="10.83203125" style="16"/>
  </cols>
  <sheetData>
    <row r="1" spans="1:14" ht="16" x14ac:dyDescent="0.2">
      <c r="A1" s="32" t="s">
        <v>171</v>
      </c>
    </row>
    <row r="2" spans="1:14" ht="16" x14ac:dyDescent="0.2">
      <c r="A2" s="31" t="s">
        <v>94</v>
      </c>
    </row>
    <row r="3" spans="1:14" x14ac:dyDescent="0.2">
      <c r="A3" s="16" t="s">
        <v>172</v>
      </c>
    </row>
    <row r="6" spans="1:14" ht="30" customHeight="1" x14ac:dyDescent="0.2">
      <c r="C6" s="263" t="s">
        <v>111</v>
      </c>
      <c r="D6" s="263"/>
      <c r="E6" s="263"/>
      <c r="F6" s="263"/>
      <c r="G6" s="16" t="s">
        <v>117</v>
      </c>
      <c r="H6" s="50">
        <v>42735</v>
      </c>
      <c r="M6" s="35">
        <f>+'CM_Calculo 2017'!K32</f>
        <v>27564136.530000001</v>
      </c>
    </row>
    <row r="7" spans="1:14" s="30" customFormat="1" ht="56" x14ac:dyDescent="0.2">
      <c r="A7" s="36"/>
      <c r="B7" s="36"/>
      <c r="C7" s="24" t="s">
        <v>79</v>
      </c>
      <c r="D7" s="23" t="s">
        <v>78</v>
      </c>
      <c r="E7" s="23" t="s">
        <v>113</v>
      </c>
      <c r="F7" s="28" t="s">
        <v>114</v>
      </c>
      <c r="G7" s="8" t="s">
        <v>115</v>
      </c>
      <c r="H7" s="8" t="s">
        <v>115</v>
      </c>
      <c r="I7" s="22" t="s">
        <v>116</v>
      </c>
      <c r="J7" s="21" t="s">
        <v>77</v>
      </c>
      <c r="K7" s="19" t="s">
        <v>76</v>
      </c>
      <c r="L7" s="20" t="s">
        <v>75</v>
      </c>
      <c r="M7" s="19" t="s">
        <v>112</v>
      </c>
    </row>
    <row r="8" spans="1:14" ht="15" customHeight="1" x14ac:dyDescent="0.2">
      <c r="A8" s="27" t="s">
        <v>12</v>
      </c>
      <c r="B8" s="27" t="s">
        <v>40</v>
      </c>
      <c r="C8" s="27">
        <v>31</v>
      </c>
      <c r="D8" s="27">
        <v>3</v>
      </c>
      <c r="E8" s="26">
        <v>34</v>
      </c>
      <c r="F8" s="25" t="s">
        <v>4</v>
      </c>
      <c r="G8" s="37">
        <f>VLOOKUP($A8,[4]Presentación!$B$13:$L$37,10,0)</f>
        <v>2369</v>
      </c>
      <c r="H8" s="37">
        <f>VLOOKUP(B8,[1]Presentación!$B$44:$C$68,2,0)</f>
        <v>2369</v>
      </c>
      <c r="I8" s="25" t="str">
        <f t="shared" ref="I8:I23" si="0">IF(G8&gt;299,"I",IF(G8&gt;100,"II","III"))</f>
        <v>I</v>
      </c>
      <c r="J8" s="38" t="s">
        <v>4</v>
      </c>
      <c r="K8" s="39">
        <v>3</v>
      </c>
      <c r="L8" s="40" t="s">
        <v>162</v>
      </c>
      <c r="M8" s="264">
        <f>$M6*SUM(K8:K9)/$K$26</f>
        <v>5512827.3059999999</v>
      </c>
      <c r="N8" s="49">
        <f>VALUE(M8)</f>
        <v>5512827.3059999999</v>
      </c>
    </row>
    <row r="9" spans="1:14" x14ac:dyDescent="0.2">
      <c r="A9" s="27" t="s">
        <v>24</v>
      </c>
      <c r="B9" s="27" t="s">
        <v>37</v>
      </c>
      <c r="C9" s="27">
        <v>11</v>
      </c>
      <c r="D9" s="27">
        <v>1</v>
      </c>
      <c r="E9" s="26">
        <v>12</v>
      </c>
      <c r="F9" s="25" t="s">
        <v>4</v>
      </c>
      <c r="G9" s="37">
        <f>VLOOKUP($A9,[4]Presentación!$B$13:$L$37,10,0)</f>
        <v>475</v>
      </c>
      <c r="H9" s="37">
        <f>VLOOKUP(B9,[1]Presentación!$B$44:$C$68,2,0)</f>
        <v>475</v>
      </c>
      <c r="I9" s="25" t="str">
        <f t="shared" si="0"/>
        <v>I</v>
      </c>
      <c r="J9" s="38" t="s">
        <v>4</v>
      </c>
      <c r="K9" s="41">
        <v>3</v>
      </c>
      <c r="L9" s="42">
        <f>6/30</f>
        <v>0.2</v>
      </c>
      <c r="M9" s="265"/>
      <c r="N9" s="49"/>
    </row>
    <row r="10" spans="1:14" ht="15" customHeight="1" x14ac:dyDescent="0.2">
      <c r="A10" s="27" t="s">
        <v>14</v>
      </c>
      <c r="B10" s="27" t="s">
        <v>43</v>
      </c>
      <c r="C10" s="27">
        <v>5</v>
      </c>
      <c r="D10" s="27">
        <v>0</v>
      </c>
      <c r="E10" s="26">
        <v>5</v>
      </c>
      <c r="F10" s="25" t="s">
        <v>5</v>
      </c>
      <c r="G10" s="37">
        <f>VLOOKUP($A10,[4]Presentación!$B$13:$L$37,10,0)</f>
        <v>408</v>
      </c>
      <c r="H10" s="37">
        <f>VLOOKUP(B10,[1]Presentación!$B$44:$C$68,2,0)</f>
        <v>408</v>
      </c>
      <c r="I10" s="25" t="str">
        <f t="shared" si="0"/>
        <v>I</v>
      </c>
      <c r="J10" s="38" t="s">
        <v>5</v>
      </c>
      <c r="K10" s="41">
        <v>2</v>
      </c>
      <c r="L10" s="43" t="s">
        <v>163</v>
      </c>
      <c r="M10" s="264">
        <f>$M$6*SUM(K10:K17)/$K$26</f>
        <v>14700872.816000002</v>
      </c>
      <c r="N10" s="49">
        <f>VALUE(M10)</f>
        <v>14700872.816000002</v>
      </c>
    </row>
    <row r="11" spans="1:14" x14ac:dyDescent="0.2">
      <c r="A11" s="27" t="s">
        <v>26</v>
      </c>
      <c r="B11" s="27" t="s">
        <v>41</v>
      </c>
      <c r="C11" s="27">
        <v>7</v>
      </c>
      <c r="D11" s="27">
        <v>0</v>
      </c>
      <c r="E11" s="26">
        <v>7</v>
      </c>
      <c r="F11" s="25" t="s">
        <v>5</v>
      </c>
      <c r="G11" s="37">
        <f>VLOOKUP($A11,[4]Presentación!$B$13:$L$37,10,0)</f>
        <v>342</v>
      </c>
      <c r="H11" s="37">
        <f>VLOOKUP(B11,[1]Presentación!$B$44:$C$68,2,0)</f>
        <v>342</v>
      </c>
      <c r="I11" s="25" t="str">
        <f t="shared" si="0"/>
        <v>I</v>
      </c>
      <c r="J11" s="38" t="s">
        <v>5</v>
      </c>
      <c r="K11" s="41">
        <v>2</v>
      </c>
      <c r="L11" s="44"/>
      <c r="M11" s="266"/>
      <c r="N11" s="49"/>
    </row>
    <row r="12" spans="1:14" x14ac:dyDescent="0.2">
      <c r="A12" s="27" t="s">
        <v>30</v>
      </c>
      <c r="B12" s="27" t="s">
        <v>39</v>
      </c>
      <c r="C12" s="27">
        <v>5</v>
      </c>
      <c r="D12" s="27">
        <v>0</v>
      </c>
      <c r="E12" s="26">
        <v>5</v>
      </c>
      <c r="F12" s="25" t="s">
        <v>5</v>
      </c>
      <c r="G12" s="37">
        <f>VLOOKUP($A12,[4]Presentación!$B$13:$L$37,10,0)</f>
        <v>341</v>
      </c>
      <c r="H12" s="37">
        <f>VLOOKUP(B12,[1]Presentación!$B$44:$C$68,2,0)</f>
        <v>341</v>
      </c>
      <c r="I12" s="25" t="str">
        <f t="shared" si="0"/>
        <v>I</v>
      </c>
      <c r="J12" s="38" t="s">
        <v>5</v>
      </c>
      <c r="K12" s="41">
        <v>2</v>
      </c>
      <c r="L12" s="45">
        <f>16/30</f>
        <v>0.53333333333333333</v>
      </c>
      <c r="M12" s="266"/>
      <c r="N12" s="49"/>
    </row>
    <row r="13" spans="1:14" x14ac:dyDescent="0.2">
      <c r="A13" s="27" t="s">
        <v>28</v>
      </c>
      <c r="B13" s="27" t="s">
        <v>45</v>
      </c>
      <c r="C13" s="27">
        <v>0</v>
      </c>
      <c r="D13" s="27">
        <v>1</v>
      </c>
      <c r="E13" s="26">
        <v>1</v>
      </c>
      <c r="F13" s="25" t="s">
        <v>5</v>
      </c>
      <c r="G13" s="37">
        <f>VLOOKUP($A13,[4]Presentación!$B$13:$L$37,10,0)</f>
        <v>189</v>
      </c>
      <c r="H13" s="37">
        <f>VLOOKUP(B13,[1]Presentación!$B$44:$C$68,2,0)</f>
        <v>189</v>
      </c>
      <c r="I13" s="25" t="str">
        <f t="shared" si="0"/>
        <v>II</v>
      </c>
      <c r="J13" s="38" t="s">
        <v>5</v>
      </c>
      <c r="K13" s="41">
        <v>2</v>
      </c>
      <c r="L13" s="45"/>
      <c r="M13" s="266"/>
      <c r="N13" s="49"/>
    </row>
    <row r="14" spans="1:14" x14ac:dyDescent="0.2">
      <c r="A14" s="27" t="s">
        <v>32</v>
      </c>
      <c r="B14" s="27" t="s">
        <v>38</v>
      </c>
      <c r="C14" s="27">
        <v>2</v>
      </c>
      <c r="D14" s="27">
        <v>0</v>
      </c>
      <c r="E14" s="26">
        <v>2</v>
      </c>
      <c r="F14" s="25" t="s">
        <v>5</v>
      </c>
      <c r="G14" s="37">
        <f>VLOOKUP($A14,[4]Presentación!$B$13:$L$37,10,0)</f>
        <v>171</v>
      </c>
      <c r="H14" s="37">
        <f>VLOOKUP(B14,[1]Presentación!$B$44:$C$68,2,0)</f>
        <v>171</v>
      </c>
      <c r="I14" s="25" t="str">
        <f t="shared" si="0"/>
        <v>II</v>
      </c>
      <c r="J14" s="38" t="s">
        <v>5</v>
      </c>
      <c r="K14" s="41">
        <v>2</v>
      </c>
      <c r="L14" s="44"/>
      <c r="M14" s="266"/>
      <c r="N14" s="49"/>
    </row>
    <row r="15" spans="1:14" x14ac:dyDescent="0.2">
      <c r="A15" s="27" t="s">
        <v>7</v>
      </c>
      <c r="B15" s="27" t="s">
        <v>51</v>
      </c>
      <c r="C15" s="27">
        <v>3</v>
      </c>
      <c r="D15" s="27">
        <v>0</v>
      </c>
      <c r="E15" s="26">
        <v>3</v>
      </c>
      <c r="F15" s="25" t="s">
        <v>5</v>
      </c>
      <c r="G15" s="37">
        <f>VLOOKUP($A15,[4]Presentación!$B$13:$L$37,10,0)</f>
        <v>147</v>
      </c>
      <c r="H15" s="37">
        <f>VLOOKUP(B15,[1]Presentación!$B$44:$C$68,2,0)</f>
        <v>147</v>
      </c>
      <c r="I15" s="25" t="str">
        <f t="shared" si="0"/>
        <v>II</v>
      </c>
      <c r="J15" s="38" t="s">
        <v>5</v>
      </c>
      <c r="K15" s="41">
        <v>2</v>
      </c>
      <c r="L15" s="44"/>
      <c r="M15" s="266"/>
      <c r="N15" s="49"/>
    </row>
    <row r="16" spans="1:14" ht="15" customHeight="1" x14ac:dyDescent="0.2">
      <c r="A16" s="191" t="s">
        <v>22</v>
      </c>
      <c r="B16" s="191" t="s">
        <v>44</v>
      </c>
      <c r="C16" s="191">
        <v>1</v>
      </c>
      <c r="D16" s="191">
        <v>0</v>
      </c>
      <c r="E16" s="192">
        <v>1</v>
      </c>
      <c r="F16" s="192" t="s">
        <v>5</v>
      </c>
      <c r="G16" s="46">
        <f>VLOOKUP($A16,[4]Presentación!$B$13:$L$37,10,0)</f>
        <v>111</v>
      </c>
      <c r="H16" s="193">
        <f>VLOOKUP(B16,[1]Presentación!$B$44:$C$68,2,0)</f>
        <v>111</v>
      </c>
      <c r="I16" s="192" t="str">
        <f t="shared" si="0"/>
        <v>II</v>
      </c>
      <c r="J16" s="194" t="s">
        <v>5</v>
      </c>
      <c r="K16" s="41">
        <v>2</v>
      </c>
      <c r="L16" s="44"/>
      <c r="M16" s="266"/>
      <c r="N16" s="49"/>
    </row>
    <row r="17" spans="1:14" x14ac:dyDescent="0.2">
      <c r="A17" s="191" t="s">
        <v>16</v>
      </c>
      <c r="B17" s="191" t="s">
        <v>46</v>
      </c>
      <c r="C17" s="191">
        <v>1</v>
      </c>
      <c r="D17" s="191">
        <v>1</v>
      </c>
      <c r="E17" s="192">
        <v>2</v>
      </c>
      <c r="F17" s="192" t="s">
        <v>5</v>
      </c>
      <c r="G17" s="46">
        <f>VLOOKUP($A17,[4]Presentación!$B$13:$L$37,10,0)</f>
        <v>110</v>
      </c>
      <c r="H17" s="193">
        <f>VLOOKUP(B17,[1]Presentación!$B$44:$C$68,2,0)</f>
        <v>110</v>
      </c>
      <c r="I17" s="192" t="str">
        <f t="shared" si="0"/>
        <v>II</v>
      </c>
      <c r="J17" s="194" t="s">
        <v>5</v>
      </c>
      <c r="K17" s="41">
        <v>2</v>
      </c>
      <c r="L17" s="47"/>
      <c r="M17" s="265"/>
      <c r="N17" s="49"/>
    </row>
    <row r="18" spans="1:14" x14ac:dyDescent="0.2">
      <c r="A18" s="191" t="s">
        <v>18</v>
      </c>
      <c r="B18" s="191" t="s">
        <v>47</v>
      </c>
      <c r="C18" s="191">
        <v>1</v>
      </c>
      <c r="D18" s="191">
        <v>0</v>
      </c>
      <c r="E18" s="192">
        <v>1</v>
      </c>
      <c r="F18" s="192" t="s">
        <v>5</v>
      </c>
      <c r="G18" s="37">
        <f>VLOOKUP($A18,[4]Presentación!$B$13:$L$37,10,0)</f>
        <v>81</v>
      </c>
      <c r="H18" s="37">
        <f>VLOOKUP(B18,[1]Presentación!$B$44:$C$68,2,0)</f>
        <v>81</v>
      </c>
      <c r="I18" s="25" t="str">
        <f t="shared" si="0"/>
        <v>III</v>
      </c>
      <c r="J18" s="38" t="s">
        <v>10</v>
      </c>
      <c r="K18" s="41">
        <v>1</v>
      </c>
      <c r="L18" s="43" t="s">
        <v>164</v>
      </c>
      <c r="M18" s="264">
        <f>$M$6*SUM(K18:K25)/$K$26</f>
        <v>7350436.4080000008</v>
      </c>
      <c r="N18" s="49">
        <f>VALUE(M18)</f>
        <v>7350436.4080000008</v>
      </c>
    </row>
    <row r="19" spans="1:14" x14ac:dyDescent="0.2">
      <c r="A19" s="27" t="s">
        <v>20</v>
      </c>
      <c r="B19" s="27" t="s">
        <v>52</v>
      </c>
      <c r="C19" s="27"/>
      <c r="D19" s="27"/>
      <c r="E19" s="26">
        <v>0</v>
      </c>
      <c r="F19" s="25" t="s">
        <v>10</v>
      </c>
      <c r="G19" s="37">
        <f>VLOOKUP($A19,[4]Presentación!$B$13:$L$37,10,0)</f>
        <v>77</v>
      </c>
      <c r="H19" s="37">
        <f>VLOOKUP(B19,[1]Presentación!$B$44:$C$68,2,0)</f>
        <v>77</v>
      </c>
      <c r="I19" s="25" t="str">
        <f t="shared" si="0"/>
        <v>III</v>
      </c>
      <c r="J19" s="38" t="s">
        <v>10</v>
      </c>
      <c r="K19" s="41">
        <v>1</v>
      </c>
      <c r="L19" s="44"/>
      <c r="M19" s="266"/>
    </row>
    <row r="20" spans="1:14" x14ac:dyDescent="0.2">
      <c r="A20" s="27" t="s">
        <v>3</v>
      </c>
      <c r="B20" s="27" t="s">
        <v>49</v>
      </c>
      <c r="C20" s="27"/>
      <c r="D20" s="27"/>
      <c r="E20" s="26">
        <v>0</v>
      </c>
      <c r="F20" s="25" t="s">
        <v>10</v>
      </c>
      <c r="G20" s="37">
        <f>VLOOKUP($A20,[4]Presentación!$B$13:$L$37,10,0)</f>
        <v>55</v>
      </c>
      <c r="H20" s="37">
        <f>VLOOKUP(B20,[1]Presentación!$B$44:$C$68,2,0)</f>
        <v>55</v>
      </c>
      <c r="I20" s="25" t="str">
        <f t="shared" si="0"/>
        <v>III</v>
      </c>
      <c r="J20" s="38" t="s">
        <v>10</v>
      </c>
      <c r="K20" s="41">
        <v>1</v>
      </c>
      <c r="L20" s="45">
        <f>8/30</f>
        <v>0.26666666666666666</v>
      </c>
      <c r="M20" s="266"/>
    </row>
    <row r="21" spans="1:14" x14ac:dyDescent="0.2">
      <c r="A21" s="27" t="s">
        <v>34</v>
      </c>
      <c r="B21" s="27" t="s">
        <v>48</v>
      </c>
      <c r="C21" s="27"/>
      <c r="D21" s="27"/>
      <c r="E21" s="26">
        <v>0</v>
      </c>
      <c r="F21" s="25" t="s">
        <v>10</v>
      </c>
      <c r="G21" s="37">
        <f>VLOOKUP($A21,[4]Presentación!$B$13:$L$37,10,0)</f>
        <v>33</v>
      </c>
      <c r="H21" s="37">
        <f>VLOOKUP(B21,[1]Presentación!$B$44:$C$68,2,0)</f>
        <v>33</v>
      </c>
      <c r="I21" s="25" t="str">
        <f t="shared" si="0"/>
        <v>III</v>
      </c>
      <c r="J21" s="38" t="s">
        <v>10</v>
      </c>
      <c r="K21" s="41">
        <v>1</v>
      </c>
      <c r="L21" s="45"/>
      <c r="M21" s="266"/>
    </row>
    <row r="22" spans="1:14" x14ac:dyDescent="0.2">
      <c r="A22" s="27" t="s">
        <v>9</v>
      </c>
      <c r="B22" s="27" t="s">
        <v>50</v>
      </c>
      <c r="C22" s="27"/>
      <c r="D22" s="27"/>
      <c r="E22" s="26">
        <v>0</v>
      </c>
      <c r="F22" s="25" t="s">
        <v>10</v>
      </c>
      <c r="G22" s="37">
        <f>VLOOKUP($A22,[4]Presentación!$B$13:$L$37,10,0)</f>
        <v>26</v>
      </c>
      <c r="H22" s="37">
        <f>VLOOKUP(B22,[1]Presentación!$B$44:$C$68,2,0)</f>
        <v>26</v>
      </c>
      <c r="I22" s="25" t="str">
        <f t="shared" si="0"/>
        <v>III</v>
      </c>
      <c r="J22" s="38" t="s">
        <v>10</v>
      </c>
      <c r="K22" s="41">
        <v>1</v>
      </c>
      <c r="L22" s="44"/>
      <c r="M22" s="266"/>
    </row>
    <row r="23" spans="1:14" x14ac:dyDescent="0.2">
      <c r="A23" s="27" t="s">
        <v>36</v>
      </c>
      <c r="B23" s="27" t="s">
        <v>42</v>
      </c>
      <c r="C23" s="27"/>
      <c r="D23" s="27"/>
      <c r="E23" s="26">
        <v>0</v>
      </c>
      <c r="F23" s="25" t="s">
        <v>10</v>
      </c>
      <c r="G23" s="37">
        <f>VLOOKUP($A23,[4]Presentación!$B$13:$L$37,10,0)</f>
        <v>17</v>
      </c>
      <c r="H23" s="37">
        <f>VLOOKUP(B23,[1]Presentación!$B$44:$C$68,2,0)</f>
        <v>17</v>
      </c>
      <c r="I23" s="25" t="str">
        <f t="shared" si="0"/>
        <v>III</v>
      </c>
      <c r="J23" s="38" t="s">
        <v>10</v>
      </c>
      <c r="K23" s="41">
        <v>1</v>
      </c>
      <c r="L23" s="44"/>
      <c r="M23" s="266"/>
    </row>
    <row r="24" spans="1:14" x14ac:dyDescent="0.2">
      <c r="A24" s="27" t="s">
        <v>160</v>
      </c>
      <c r="B24" s="27" t="s">
        <v>152</v>
      </c>
      <c r="C24" s="27"/>
      <c r="D24" s="27"/>
      <c r="E24" s="26">
        <v>0</v>
      </c>
      <c r="F24" s="25" t="s">
        <v>10</v>
      </c>
      <c r="G24" s="37"/>
      <c r="H24" s="37"/>
      <c r="I24" s="25" t="str">
        <f t="shared" ref="I24:I25" si="1">IF(G24&gt;299,"I",IF(G24&gt;100,"II","III"))</f>
        <v>III</v>
      </c>
      <c r="J24" s="38" t="s">
        <v>10</v>
      </c>
      <c r="K24" s="41">
        <v>1</v>
      </c>
      <c r="L24" s="44"/>
      <c r="M24" s="266"/>
    </row>
    <row r="25" spans="1:14" x14ac:dyDescent="0.2">
      <c r="A25" s="27" t="s">
        <v>161</v>
      </c>
      <c r="B25" s="27" t="s">
        <v>153</v>
      </c>
      <c r="C25" s="27"/>
      <c r="D25" s="27"/>
      <c r="E25" s="26">
        <v>0</v>
      </c>
      <c r="F25" s="25" t="s">
        <v>10</v>
      </c>
      <c r="G25" s="37"/>
      <c r="H25" s="37"/>
      <c r="I25" s="25" t="str">
        <f t="shared" si="1"/>
        <v>III</v>
      </c>
      <c r="J25" s="38" t="s">
        <v>10</v>
      </c>
      <c r="K25" s="41">
        <v>1</v>
      </c>
      <c r="L25" s="47"/>
      <c r="M25" s="265"/>
    </row>
    <row r="26" spans="1:14" x14ac:dyDescent="0.2">
      <c r="E26" s="16">
        <f>SUM(E8:E25)</f>
        <v>73</v>
      </c>
      <c r="G26" s="34">
        <f>SUM(G8:G25)</f>
        <v>4952</v>
      </c>
      <c r="H26" s="34">
        <f>SUM(H8:H25)</f>
        <v>4952</v>
      </c>
      <c r="K26" s="17">
        <f>SUM(K8:K25)</f>
        <v>30</v>
      </c>
      <c r="L26" s="29"/>
      <c r="M26" s="48">
        <f>SUM(M8:M23)</f>
        <v>27564136.530000001</v>
      </c>
    </row>
    <row r="28" spans="1:14" ht="12.75" customHeight="1" x14ac:dyDescent="0.2"/>
  </sheetData>
  <mergeCells count="4">
    <mergeCell ref="C6:F6"/>
    <mergeCell ref="M8:M9"/>
    <mergeCell ref="M10:M17"/>
    <mergeCell ref="M18:M25"/>
  </mergeCells>
  <phoneticPr fontId="34" type="noConversion"/>
  <pageMargins left="1.299212598425197" right="0.11811023622047245" top="0.35433070866141736" bottom="0.15748031496062992" header="0.31496062992125984" footer="0.31496062992125984"/>
  <pageSetup paperSize="14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CM_Calculo 2017</vt:lpstr>
      <vt:lpstr>AFI 2016</vt:lpstr>
      <vt:lpstr>Complejidad IES</vt:lpstr>
      <vt:lpstr>Desempeño</vt:lpstr>
      <vt:lpstr>Categoria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Usuario de Microsoft Office</cp:lastModifiedBy>
  <cp:lastPrinted>2017-11-30T19:04:39Z</cp:lastPrinted>
  <dcterms:created xsi:type="dcterms:W3CDTF">2015-08-26T13:33:54Z</dcterms:created>
  <dcterms:modified xsi:type="dcterms:W3CDTF">2018-01-04T18:14:36Z</dcterms:modified>
</cp:coreProperties>
</file>