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 2021/"/>
    </mc:Choice>
  </mc:AlternateContent>
  <xr:revisionPtr revIDLastSave="18" documentId="8_{E861BA57-F6B0-4FC3-AD9E-02D0B79AE3DD}" xr6:coauthVersionLast="47" xr6:coauthVersionMax="47" xr10:uidLastSave="{4BA9F7F5-196A-479A-B5B1-A9F638C8678B}"/>
  <bookViews>
    <workbookView xWindow="-120" yWindow="-120" windowWidth="20730" windowHeight="11160" xr2:uid="{00000000-000D-0000-FFFF-FFFF00000000}"/>
  </bookViews>
  <sheets>
    <sheet name="ESR Estatales 2021" sheetId="1" r:id="rId1"/>
    <sheet name="Subvencionados U. Estatales" sheetId="2" r:id="rId2"/>
    <sheet name="KM RM" sheetId="3" r:id="rId3"/>
  </sheets>
  <definedNames>
    <definedName name="_xlnm._FilterDatabase" localSheetId="0" hidden="1">'ESR Estatales 2021'!$A$11:$J$25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1" l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U33" i="1" l="1"/>
  <c r="U32" i="1"/>
  <c r="U31" i="1"/>
  <c r="U30" i="1"/>
  <c r="U13" i="1" l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4" i="1"/>
  <c r="U12" i="1"/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6" i="2"/>
  <c r="J14" i="2" l="1"/>
  <c r="J10" i="2"/>
  <c r="J8" i="2"/>
  <c r="J18" i="2"/>
  <c r="J17" i="2"/>
  <c r="J13" i="2"/>
  <c r="J9" i="2"/>
  <c r="J6" i="2"/>
  <c r="J16" i="2"/>
  <c r="J12" i="2"/>
  <c r="J19" i="2"/>
  <c r="J15" i="2"/>
  <c r="J11" i="2"/>
  <c r="J7" i="2"/>
  <c r="D20" i="2"/>
  <c r="E20" i="2"/>
  <c r="F20" i="2"/>
  <c r="G20" i="2"/>
  <c r="H20" i="2"/>
  <c r="I20" i="2"/>
  <c r="C20" i="2"/>
  <c r="K6" i="2" l="1"/>
  <c r="G35" i="1"/>
  <c r="H35" i="1"/>
  <c r="J35" i="1"/>
  <c r="K35" i="1"/>
  <c r="C40" i="1" s="1"/>
  <c r="F35" i="1"/>
  <c r="C39" i="1" l="1"/>
  <c r="D38" i="1" l="1"/>
  <c r="D37" i="1"/>
  <c r="C41" i="1"/>
  <c r="C42" i="1" s="1"/>
  <c r="O14" i="1" l="1"/>
  <c r="O25" i="1"/>
  <c r="O13" i="1"/>
  <c r="O24" i="1"/>
  <c r="C43" i="1"/>
  <c r="O23" i="1"/>
  <c r="O19" i="1"/>
  <c r="O15" i="1"/>
  <c r="C45" i="1"/>
  <c r="O21" i="1"/>
  <c r="O17" i="1"/>
  <c r="O20" i="1"/>
  <c r="O16" i="1"/>
  <c r="C44" i="1"/>
  <c r="O12" i="1"/>
  <c r="O22" i="1"/>
  <c r="O18" i="1"/>
  <c r="K11" i="2"/>
  <c r="I16" i="1" s="1"/>
  <c r="K15" i="2"/>
  <c r="I19" i="1" s="1"/>
  <c r="C46" i="1" l="1"/>
  <c r="K14" i="2"/>
  <c r="I24" i="1" s="1"/>
  <c r="K9" i="2"/>
  <c r="I25" i="1" s="1"/>
  <c r="K18" i="2"/>
  <c r="I22" i="1" s="1"/>
  <c r="K10" i="2"/>
  <c r="I15" i="1" s="1"/>
  <c r="K17" i="2"/>
  <c r="I21" i="1" s="1"/>
  <c r="K13" i="2"/>
  <c r="I18" i="1" s="1"/>
  <c r="K16" i="2"/>
  <c r="I20" i="1" s="1"/>
  <c r="K12" i="2"/>
  <c r="I17" i="1" s="1"/>
  <c r="J20" i="2"/>
  <c r="K7" i="2"/>
  <c r="I13" i="1" s="1"/>
  <c r="K19" i="2"/>
  <c r="I23" i="1" s="1"/>
  <c r="K8" i="2"/>
  <c r="I14" i="1" s="1"/>
  <c r="O35" i="1"/>
  <c r="I12" i="1" l="1"/>
  <c r="K20" i="2"/>
  <c r="N24" i="1"/>
  <c r="F17" i="3"/>
  <c r="G4" i="3" l="1"/>
  <c r="G8" i="3"/>
  <c r="G12" i="3"/>
  <c r="G16" i="3"/>
  <c r="G6" i="3"/>
  <c r="G14" i="3"/>
  <c r="G11" i="3"/>
  <c r="G5" i="3"/>
  <c r="G17" i="3" s="1"/>
  <c r="G9" i="3"/>
  <c r="G13" i="3"/>
  <c r="G3" i="3"/>
  <c r="G10" i="3"/>
  <c r="G7" i="3"/>
  <c r="G15" i="3"/>
  <c r="N15" i="1"/>
  <c r="N16" i="1"/>
  <c r="N18" i="1"/>
  <c r="N14" i="1"/>
  <c r="N21" i="1"/>
  <c r="N17" i="1"/>
  <c r="N23" i="1"/>
  <c r="N20" i="1"/>
  <c r="N22" i="1"/>
  <c r="N19" i="1"/>
  <c r="N25" i="1"/>
  <c r="L23" i="1"/>
  <c r="L18" i="1"/>
  <c r="L17" i="1"/>
  <c r="L12" i="1"/>
  <c r="L16" i="1"/>
  <c r="L14" i="1"/>
  <c r="L20" i="1"/>
  <c r="L15" i="1"/>
  <c r="L13" i="1"/>
  <c r="L19" i="1"/>
  <c r="L22" i="1"/>
  <c r="L25" i="1"/>
  <c r="L24" i="1"/>
  <c r="L21" i="1"/>
  <c r="M15" i="1"/>
  <c r="M16" i="1"/>
  <c r="M14" i="1"/>
  <c r="M23" i="1"/>
  <c r="M22" i="1"/>
  <c r="M19" i="1"/>
  <c r="M17" i="1"/>
  <c r="M18" i="1"/>
  <c r="M24" i="1"/>
  <c r="M12" i="1"/>
  <c r="M21" i="1"/>
  <c r="M25" i="1"/>
  <c r="M13" i="1"/>
  <c r="M20" i="1"/>
  <c r="N13" i="1"/>
  <c r="P24" i="1" l="1"/>
  <c r="Q24" i="1" s="1"/>
  <c r="P23" i="1"/>
  <c r="Q23" i="1" s="1"/>
  <c r="P25" i="1"/>
  <c r="Q25" i="1" s="1"/>
  <c r="P16" i="1"/>
  <c r="Q16" i="1" s="1"/>
  <c r="P15" i="1"/>
  <c r="Q15" i="1" s="1"/>
  <c r="P13" i="1"/>
  <c r="Q13" i="1" s="1"/>
  <c r="P22" i="1"/>
  <c r="Q22" i="1" s="1"/>
  <c r="P20" i="1"/>
  <c r="Q20" i="1" s="1"/>
  <c r="P17" i="1"/>
  <c r="Q17" i="1" s="1"/>
  <c r="P21" i="1"/>
  <c r="Q21" i="1" s="1"/>
  <c r="P19" i="1"/>
  <c r="Q19" i="1" s="1"/>
  <c r="P14" i="1"/>
  <c r="Q14" i="1" s="1"/>
  <c r="P18" i="1"/>
  <c r="Q18" i="1" s="1"/>
  <c r="N12" i="1"/>
  <c r="N35" i="1" s="1"/>
  <c r="I35" i="1"/>
  <c r="M35" i="1"/>
  <c r="L35" i="1"/>
  <c r="P12" i="1" l="1"/>
  <c r="Q12" i="1" s="1"/>
  <c r="T35" i="1" l="1"/>
  <c r="Q35" i="1"/>
  <c r="S35" i="1"/>
  <c r="S36" i="1" s="1"/>
  <c r="Q36" i="1"/>
  <c r="P35" i="1"/>
  <c r="T36" i="1" l="1"/>
  <c r="R12" i="1"/>
  <c r="R32" i="1"/>
  <c r="R33" i="1"/>
  <c r="R30" i="1"/>
  <c r="R31" i="1"/>
  <c r="R29" i="1"/>
  <c r="R34" i="1"/>
  <c r="R28" i="1"/>
  <c r="R27" i="1"/>
  <c r="R26" i="1"/>
  <c r="R19" i="1"/>
  <c r="R21" i="1"/>
  <c r="R24" i="1"/>
  <c r="R23" i="1"/>
  <c r="R25" i="1"/>
  <c r="R20" i="1"/>
  <c r="R13" i="1"/>
  <c r="R15" i="1"/>
  <c r="R14" i="1"/>
  <c r="R22" i="1"/>
  <c r="R17" i="1"/>
  <c r="R16" i="1"/>
  <c r="R18" i="1"/>
  <c r="R3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Andrea Nuñez Cisternas</author>
    <author>Roxana Acuña Molina</author>
  </authors>
  <commentList>
    <comment ref="E31" authorId="0" shapeId="0" xr:uid="{F954ABEB-DD2B-443E-A141-94060E1C29BD}">
      <text>
        <r>
          <rPr>
            <b/>
            <sz val="9"/>
            <color indexed="81"/>
            <rFont val="Tahoma"/>
            <family val="2"/>
          </rPr>
          <t>y Panguipulli</t>
        </r>
      </text>
    </comment>
    <comment ref="E33" authorId="1" shapeId="0" xr:uid="{0E43956E-5F65-4A68-BA66-5D63F81C73A9}">
      <text>
        <r>
          <rPr>
            <b/>
            <sz val="9"/>
            <color indexed="81"/>
            <rFont val="Tahoma"/>
            <family val="2"/>
          </rPr>
          <t>y Viña del Mar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<sst xmlns="http://schemas.openxmlformats.org/spreadsheetml/2006/main" count="273" uniqueCount="145">
  <si>
    <t>Instituciones</t>
  </si>
  <si>
    <t>Región</t>
  </si>
  <si>
    <t>Tipo IES</t>
  </si>
  <si>
    <t>Ciudad</t>
  </si>
  <si>
    <t>Universidad Regional</t>
  </si>
  <si>
    <t>Vinculación con el Medio</t>
  </si>
  <si>
    <t>Km RM</t>
  </si>
  <si>
    <t>CRUCH-ESTATAL</t>
  </si>
  <si>
    <t>UVA</t>
  </si>
  <si>
    <t>U. de Valparaíso</t>
  </si>
  <si>
    <t>Valparaíso</t>
  </si>
  <si>
    <t>ANT</t>
  </si>
  <si>
    <t>U. de Antofagasta</t>
  </si>
  <si>
    <t>Antofagasta</t>
  </si>
  <si>
    <t>ULS</t>
  </si>
  <si>
    <t>U. de la Serena</t>
  </si>
  <si>
    <t>Coquimbo</t>
  </si>
  <si>
    <t>La Serena</t>
  </si>
  <si>
    <t>UBB</t>
  </si>
  <si>
    <t>Bío-Bío</t>
  </si>
  <si>
    <t>Concepción</t>
  </si>
  <si>
    <t>FRO</t>
  </si>
  <si>
    <t>U. de la Frontera</t>
  </si>
  <si>
    <t>Araucanía</t>
  </si>
  <si>
    <t>Temuco</t>
  </si>
  <si>
    <t>MAG</t>
  </si>
  <si>
    <t>U. de Magallanes</t>
  </si>
  <si>
    <t>Magallanes</t>
  </si>
  <si>
    <t>Punta Arenas</t>
  </si>
  <si>
    <t>TAL</t>
  </si>
  <si>
    <t>U. de Talca</t>
  </si>
  <si>
    <t>Maule</t>
  </si>
  <si>
    <t>Talca</t>
  </si>
  <si>
    <t>ATA</t>
  </si>
  <si>
    <t>U. de Atacama</t>
  </si>
  <si>
    <t>Atacama</t>
  </si>
  <si>
    <t>Copiapó</t>
  </si>
  <si>
    <t>UTA</t>
  </si>
  <si>
    <t>U. de Tarapacá</t>
  </si>
  <si>
    <t>Arica y Parinacota</t>
  </si>
  <si>
    <t>Arica</t>
  </si>
  <si>
    <t>UAP</t>
  </si>
  <si>
    <t>U. Arturo Prat</t>
  </si>
  <si>
    <t>Tarapacá</t>
  </si>
  <si>
    <t>Iquique</t>
  </si>
  <si>
    <t>UPA</t>
  </si>
  <si>
    <t>U. de Playa Ancha</t>
  </si>
  <si>
    <t>ULA</t>
  </si>
  <si>
    <t>U. de Los Lagos</t>
  </si>
  <si>
    <t>Los Lagos</t>
  </si>
  <si>
    <t>Osorno</t>
  </si>
  <si>
    <t>URO</t>
  </si>
  <si>
    <t>U. de O'Higgins</t>
  </si>
  <si>
    <t>O'Higgins</t>
  </si>
  <si>
    <t>Rancagua</t>
  </si>
  <si>
    <t>URY</t>
  </si>
  <si>
    <t>U. de Aysén</t>
  </si>
  <si>
    <t>Aysén</t>
  </si>
  <si>
    <t>Coyhaique</t>
  </si>
  <si>
    <t>UNIVERSIDAD ARTURO PRAT</t>
  </si>
  <si>
    <t>UNIVERSIDAD DE ANTOFAGASTA</t>
  </si>
  <si>
    <t>UNIVERSIDAD DE ATACAMA</t>
  </si>
  <si>
    <t>UNIVERSIDAD DE LA FRONTERA</t>
  </si>
  <si>
    <t>UNIVERSIDAD DE LA SERENA</t>
  </si>
  <si>
    <t>UNIVERSIDAD DE LOS LAGOS</t>
  </si>
  <si>
    <t>UNIVERSIDAD DE MAGALLANES</t>
  </si>
  <si>
    <t>UNIVERSIDAD DE PLAYA ANCHA DE CIENCIAS DE LA EDUCACION</t>
  </si>
  <si>
    <t>UNIVERSIDAD DE TALCA</t>
  </si>
  <si>
    <t>UNIVERSIDAD DE TARAPACA</t>
  </si>
  <si>
    <t>UNIVERSIDAD DE VALPARAISO</t>
  </si>
  <si>
    <t>UNIVERSIDAD DEL BIO-BIO</t>
  </si>
  <si>
    <t>U. del Bio Bio</t>
  </si>
  <si>
    <t>% Matrícula Subvencionada</t>
  </si>
  <si>
    <t>NOMBRE INSTITUCIÓN</t>
  </si>
  <si>
    <t>Suma de TOTAL TES</t>
  </si>
  <si>
    <t>Total</t>
  </si>
  <si>
    <t>% KM</t>
  </si>
  <si>
    <t>% KM RM</t>
  </si>
  <si>
    <t>Código</t>
  </si>
  <si>
    <t>Matrícula Subvencionada</t>
  </si>
  <si>
    <t>KM RM</t>
  </si>
  <si>
    <t>% Distribución</t>
  </si>
  <si>
    <t>NIVEL GLOBAL</t>
  </si>
  <si>
    <t>Pregrado</t>
  </si>
  <si>
    <t>TIPO DE PLAN DE LA CARRERA</t>
  </si>
  <si>
    <t>Plan Regular</t>
  </si>
  <si>
    <t>Suma de TES MUNICIPAL</t>
  </si>
  <si>
    <t>Suma de TES PARTICULAR SUBVENCIONADO</t>
  </si>
  <si>
    <t>Suma de TES PARTICULAR PAGADO</t>
  </si>
  <si>
    <t>Suma de TES CORP_ DE ADM_ DELEGADA</t>
  </si>
  <si>
    <t>UNIVERSIDAD DE AYSEN</t>
  </si>
  <si>
    <t>UNIVERSIDAD DE O'HIGGINS</t>
  </si>
  <si>
    <t>% Matrícula Subvencionada por IES</t>
  </si>
  <si>
    <t>% Ajustado</t>
  </si>
  <si>
    <t>CFT Estatal</t>
  </si>
  <si>
    <t>Transferencias Corrientes</t>
  </si>
  <si>
    <t>Transferencias de Capital</t>
  </si>
  <si>
    <t>CFT ESTATAL</t>
  </si>
  <si>
    <t>Oferta Académica CFT Estatal</t>
  </si>
  <si>
    <t>CFT de la Región del Maule</t>
  </si>
  <si>
    <t>CFT de la Región de la Araucanía</t>
  </si>
  <si>
    <t>Linares</t>
  </si>
  <si>
    <t>Lautaro</t>
  </si>
  <si>
    <t>Monto a Distribuir por Indicadores</t>
  </si>
  <si>
    <t>CFT de la Región de Los Lagos</t>
  </si>
  <si>
    <t>CFT de la Región de Tarapacá</t>
  </si>
  <si>
    <t>Ovalle</t>
  </si>
  <si>
    <t>Llanquihue</t>
  </si>
  <si>
    <t>Alto Hospicio</t>
  </si>
  <si>
    <t>Suma de TES SERVICIO LOCAL EDUCACION</t>
  </si>
  <si>
    <t>Código DFI</t>
  </si>
  <si>
    <t>Suma de TOTAL TES Subvencionada</t>
  </si>
  <si>
    <t>Totales</t>
  </si>
  <si>
    <t>CRM</t>
  </si>
  <si>
    <t>CRA</t>
  </si>
  <si>
    <t>CRC</t>
  </si>
  <si>
    <t>CRT</t>
  </si>
  <si>
    <t>CRL</t>
  </si>
  <si>
    <t>AÑO</t>
  </si>
  <si>
    <t>Ley de Presupuestos 2021</t>
  </si>
  <si>
    <t>CFT de la Región de Antofagasta</t>
  </si>
  <si>
    <t>CFT de la Región de Los Rios</t>
  </si>
  <si>
    <t>CFT de la Región de Magallanes y Antártica Chilena</t>
  </si>
  <si>
    <t>CFT de la Región de Valparaíso</t>
  </si>
  <si>
    <t>Los Rios</t>
  </si>
  <si>
    <t>Calama</t>
  </si>
  <si>
    <t>La Unión</t>
  </si>
  <si>
    <t>Porvenir</t>
  </si>
  <si>
    <t>San Antonio</t>
  </si>
  <si>
    <t>CAN</t>
  </si>
  <si>
    <t>CRR</t>
  </si>
  <si>
    <t>CEM</t>
  </si>
  <si>
    <t>CRV</t>
  </si>
  <si>
    <t>Educación Superior Regional</t>
  </si>
  <si>
    <t>Año 2021</t>
  </si>
  <si>
    <t>Miles de pesos</t>
  </si>
  <si>
    <t>13 de enero 2021</t>
  </si>
  <si>
    <t>Instituciones Estatales</t>
  </si>
  <si>
    <t>Total ESR 2021
M$</t>
  </si>
  <si>
    <t>Monto 
ESR ESTATALES
2021
M$</t>
  </si>
  <si>
    <t>TOTAL</t>
  </si>
  <si>
    <t>Monto 
 ESTATALES 
2021
Transferencias Corrientes 
M$</t>
  </si>
  <si>
    <t>Monto 
 ESTATALES 
2021
Transferencias de Capital
M$</t>
  </si>
  <si>
    <t>Unidad de Análisis e Información, DFI, SUBESUP</t>
  </si>
  <si>
    <t>CFT de la Región de Coquimbo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</si>
</sst>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0000"/>
    <numFmt numFmtId="168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/>
    <xf numFmtId="165" fontId="0" fillId="0" borderId="0" xfId="0" applyNumberFormat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9" fontId="3" fillId="0" borderId="0" xfId="2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0" borderId="0" xfId="0"/>
    <xf numFmtId="0" fontId="0" fillId="0" borderId="0" xfId="0" pivotButton="1"/>
    <xf numFmtId="0" fontId="6" fillId="0" borderId="2" xfId="0" applyFont="1" applyBorder="1"/>
    <xf numFmtId="0" fontId="5" fillId="0" borderId="2" xfId="0" applyFont="1" applyBorder="1"/>
    <xf numFmtId="0" fontId="5" fillId="0" borderId="2" xfId="0" applyFont="1" applyFill="1" applyBorder="1"/>
    <xf numFmtId="2" fontId="5" fillId="0" borderId="2" xfId="0" applyNumberFormat="1" applyFont="1" applyBorder="1"/>
    <xf numFmtId="0" fontId="7" fillId="0" borderId="2" xfId="0" applyFont="1" applyBorder="1" applyAlignment="1">
      <alignment horizontal="center"/>
    </xf>
    <xf numFmtId="2" fontId="3" fillId="0" borderId="0" xfId="0" applyNumberFormat="1" applyFont="1"/>
    <xf numFmtId="0" fontId="4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0" fontId="4" fillId="0" borderId="2" xfId="0" applyFont="1" applyBorder="1"/>
    <xf numFmtId="0" fontId="4" fillId="0" borderId="2" xfId="0" applyFont="1" applyFill="1" applyBorder="1"/>
    <xf numFmtId="165" fontId="4" fillId="0" borderId="2" xfId="1" applyNumberFormat="1" applyFont="1" applyBorder="1"/>
    <xf numFmtId="0" fontId="4" fillId="2" borderId="2" xfId="0" applyFont="1" applyFill="1" applyBorder="1"/>
    <xf numFmtId="0" fontId="3" fillId="0" borderId="2" xfId="0" applyFont="1" applyBorder="1"/>
    <xf numFmtId="0" fontId="3" fillId="3" borderId="2" xfId="0" applyFont="1" applyFill="1" applyBorder="1"/>
    <xf numFmtId="165" fontId="3" fillId="0" borderId="2" xfId="1" applyNumberFormat="1" applyFont="1" applyBorder="1"/>
    <xf numFmtId="165" fontId="3" fillId="3" borderId="2" xfId="1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/>
    <xf numFmtId="165" fontId="4" fillId="2" borderId="2" xfId="1" applyNumberFormat="1" applyFont="1" applyFill="1" applyBorder="1"/>
    <xf numFmtId="165" fontId="4" fillId="2" borderId="2" xfId="0" applyNumberFormat="1" applyFont="1" applyFill="1" applyBorder="1"/>
    <xf numFmtId="0" fontId="8" fillId="0" borderId="2" xfId="0" applyFont="1" applyBorder="1"/>
    <xf numFmtId="0" fontId="5" fillId="0" borderId="0" xfId="0" applyFont="1" applyBorder="1"/>
    <xf numFmtId="0" fontId="7" fillId="0" borderId="2" xfId="0" applyFont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41" fontId="5" fillId="0" borderId="2" xfId="3" applyFont="1" applyBorder="1"/>
    <xf numFmtId="41" fontId="7" fillId="0" borderId="2" xfId="3" applyFont="1" applyBorder="1"/>
    <xf numFmtId="0" fontId="5" fillId="0" borderId="3" xfId="0" applyFont="1" applyBorder="1"/>
    <xf numFmtId="0" fontId="7" fillId="0" borderId="2" xfId="0" applyFont="1" applyFill="1" applyBorder="1"/>
    <xf numFmtId="9" fontId="7" fillId="0" borderId="2" xfId="2" applyFont="1" applyFill="1" applyBorder="1"/>
    <xf numFmtId="166" fontId="4" fillId="0" borderId="2" xfId="0" applyNumberFormat="1" applyFont="1" applyBorder="1"/>
    <xf numFmtId="0" fontId="0" fillId="0" borderId="0" xfId="0" applyAlignment="1">
      <alignment horizontal="left"/>
    </xf>
    <xf numFmtId="0" fontId="1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" fillId="0" borderId="2" xfId="1" applyNumberFormat="1" applyFont="1" applyFill="1" applyBorder="1"/>
    <xf numFmtId="0" fontId="0" fillId="0" borderId="0" xfId="0" applyFont="1"/>
    <xf numFmtId="165" fontId="0" fillId="0" borderId="0" xfId="0" applyNumberFormat="1" applyFont="1"/>
    <xf numFmtId="0" fontId="8" fillId="0" borderId="2" xfId="0" applyFont="1" applyFill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1" fontId="3" fillId="0" borderId="0" xfId="3" applyNumberFormat="1" applyFont="1"/>
    <xf numFmtId="9" fontId="0" fillId="0" borderId="0" xfId="2" applyFont="1"/>
    <xf numFmtId="41" fontId="0" fillId="0" borderId="0" xfId="0" applyNumberFormat="1"/>
    <xf numFmtId="167" fontId="0" fillId="0" borderId="0" xfId="0" applyNumberFormat="1"/>
    <xf numFmtId="168" fontId="0" fillId="0" borderId="0" xfId="2" applyNumberFormat="1" applyFont="1"/>
    <xf numFmtId="9" fontId="0" fillId="0" borderId="0" xfId="2" applyNumberFormat="1" applyFont="1"/>
    <xf numFmtId="3" fontId="4" fillId="4" borderId="2" xfId="0" applyNumberFormat="1" applyFont="1" applyFill="1" applyBorder="1"/>
    <xf numFmtId="3" fontId="3" fillId="5" borderId="2" xfId="0" applyNumberFormat="1" applyFont="1" applyFill="1" applyBorder="1"/>
    <xf numFmtId="3" fontId="3" fillId="4" borderId="2" xfId="0" applyNumberFormat="1" applyFont="1" applyFill="1" applyBorder="1"/>
    <xf numFmtId="9" fontId="4" fillId="4" borderId="2" xfId="2" applyFont="1" applyFill="1" applyBorder="1"/>
    <xf numFmtId="9" fontId="3" fillId="4" borderId="2" xfId="2" applyFont="1" applyFill="1" applyBorder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0" fontId="10" fillId="0" borderId="0" xfId="0" applyFont="1" applyAlignment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59530</xdr:rowOff>
    </xdr:from>
    <xdr:to>
      <xdr:col>1</xdr:col>
      <xdr:colOff>575957</xdr:colOff>
      <xdr:row>0</xdr:row>
      <xdr:rowOff>1117659</xdr:rowOff>
    </xdr:to>
    <xdr:pic>
      <xdr:nvPicPr>
        <xdr:cNvPr id="2" name="Imagen 1" descr="../../../../Desktop/Logotipo%20-%20Ministerio%20de%20Educacion/Logo%20Mineduc%20SIN%20SLOGAN/01-Mineduc-Col">
          <a:extLst>
            <a:ext uri="{FF2B5EF4-FFF2-40B4-BE49-F238E27FC236}">
              <a16:creationId xmlns:a16="http://schemas.microsoft.com/office/drawing/2014/main" id="{8C4679DE-DAF1-4CC5-9A62-80A1CA3E0F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59530"/>
          <a:ext cx="1016489" cy="10581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381002</xdr:colOff>
      <xdr:row>0</xdr:row>
      <xdr:rowOff>130964</xdr:rowOff>
    </xdr:from>
    <xdr:to>
      <xdr:col>20</xdr:col>
      <xdr:colOff>2216</xdr:colOff>
      <xdr:row>0</xdr:row>
      <xdr:rowOff>553699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A20BAB-937D-4C87-97DE-B85E6D2DD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7658" y="130964"/>
          <a:ext cx="1430964" cy="42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9"/>
  <sheetViews>
    <sheetView tabSelected="1" topLeftCell="A16" zoomScale="80" zoomScaleNormal="80" workbookViewId="0">
      <selection activeCell="B34" sqref="B34"/>
    </sheetView>
  </sheetViews>
  <sheetFormatPr baseColWidth="10" defaultRowHeight="15" x14ac:dyDescent="0.25"/>
  <cols>
    <col min="1" max="1" width="7.28515625" customWidth="1"/>
    <col min="2" max="2" width="29" bestFit="1" customWidth="1"/>
    <col min="3" max="3" width="15.42578125" customWidth="1"/>
    <col min="4" max="4" width="15.140625" customWidth="1"/>
    <col min="5" max="5" width="12.7109375" customWidth="1"/>
    <col min="6" max="6" width="11.42578125" style="9" customWidth="1"/>
    <col min="7" max="7" width="10.140625" bestFit="1" customWidth="1"/>
    <col min="8" max="8" width="10.85546875" customWidth="1"/>
    <col min="9" max="9" width="12.28515625" customWidth="1"/>
    <col min="10" max="10" width="10.85546875" customWidth="1"/>
    <col min="11" max="11" width="10.85546875" style="9" customWidth="1"/>
    <col min="12" max="13" width="10.85546875" customWidth="1"/>
    <col min="14" max="14" width="12.7109375" customWidth="1"/>
    <col min="15" max="15" width="10.85546875" customWidth="1"/>
    <col min="16" max="16" width="12.42578125" customWidth="1"/>
    <col min="17" max="17" width="12.42578125" style="9" customWidth="1"/>
    <col min="18" max="18" width="10.85546875" customWidth="1"/>
    <col min="19" max="20" width="13.5703125" style="9" customWidth="1"/>
    <col min="21" max="21" width="6.7109375" customWidth="1"/>
  </cols>
  <sheetData>
    <row r="1" spans="1:21" s="9" customFormat="1" ht="90.75" customHeight="1" x14ac:dyDescent="0.25"/>
    <row r="2" spans="1:21" s="9" customFormat="1" x14ac:dyDescent="0.25"/>
    <row r="3" spans="1:21" s="9" customFormat="1" ht="19.5" x14ac:dyDescent="0.3">
      <c r="A3" s="75" t="s">
        <v>133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49"/>
      <c r="T3" s="49"/>
    </row>
    <row r="4" spans="1:21" s="9" customFormat="1" ht="19.5" x14ac:dyDescent="0.3">
      <c r="A4" s="75" t="s">
        <v>134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49"/>
      <c r="T4" s="49"/>
    </row>
    <row r="5" spans="1:21" s="9" customFormat="1" ht="19.5" x14ac:dyDescent="0.3">
      <c r="A5" s="75" t="s">
        <v>137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49"/>
      <c r="T5" s="49"/>
    </row>
    <row r="6" spans="1:21" s="9" customFormat="1" ht="17.25" x14ac:dyDescent="0.3">
      <c r="A6" s="74" t="s">
        <v>135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49"/>
      <c r="T6" s="49"/>
    </row>
    <row r="7" spans="1:21" s="9" customFormat="1" x14ac:dyDescent="0.25">
      <c r="A7" s="73" t="s">
        <v>143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48"/>
      <c r="T7" s="48"/>
    </row>
    <row r="8" spans="1:21" s="9" customFormat="1" x14ac:dyDescent="0.25">
      <c r="A8" s="73" t="s">
        <v>136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48"/>
      <c r="T8" s="48"/>
    </row>
    <row r="9" spans="1:21" s="46" customFormat="1" ht="8.25" x14ac:dyDescent="0.1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50"/>
      <c r="T9" s="50"/>
    </row>
    <row r="10" spans="1:21" x14ac:dyDescent="0.25">
      <c r="A10" s="1"/>
      <c r="B10" s="3"/>
      <c r="C10" s="1"/>
      <c r="G10" s="6">
        <v>0.25</v>
      </c>
      <c r="H10" s="6">
        <v>0.25</v>
      </c>
      <c r="I10" s="6">
        <v>0.3</v>
      </c>
      <c r="J10" s="6">
        <v>0.2</v>
      </c>
      <c r="K10" s="6"/>
      <c r="L10" s="6">
        <v>0.25</v>
      </c>
      <c r="M10" s="6">
        <v>0.25</v>
      </c>
      <c r="N10" s="6">
        <v>0.3</v>
      </c>
      <c r="O10" s="6">
        <v>0.2</v>
      </c>
    </row>
    <row r="11" spans="1:21" s="52" customFormat="1" ht="85.5" customHeight="1" x14ac:dyDescent="0.25">
      <c r="A11" s="4" t="s">
        <v>78</v>
      </c>
      <c r="B11" s="4" t="s">
        <v>0</v>
      </c>
      <c r="C11" s="4" t="s">
        <v>1</v>
      </c>
      <c r="D11" s="4" t="s">
        <v>2</v>
      </c>
      <c r="E11" s="4" t="s">
        <v>3</v>
      </c>
      <c r="F11" s="4" t="s">
        <v>98</v>
      </c>
      <c r="G11" s="4" t="s">
        <v>4</v>
      </c>
      <c r="H11" s="4" t="s">
        <v>5</v>
      </c>
      <c r="I11" s="47" t="s">
        <v>72</v>
      </c>
      <c r="J11" s="4" t="s">
        <v>77</v>
      </c>
      <c r="K11" s="4" t="s">
        <v>98</v>
      </c>
      <c r="L11" s="18" t="s">
        <v>4</v>
      </c>
      <c r="M11" s="18" t="s">
        <v>5</v>
      </c>
      <c r="N11" s="47" t="s">
        <v>79</v>
      </c>
      <c r="O11" s="18" t="s">
        <v>80</v>
      </c>
      <c r="P11" s="4" t="s">
        <v>138</v>
      </c>
      <c r="Q11" s="57" t="s">
        <v>139</v>
      </c>
      <c r="R11" s="57" t="s">
        <v>81</v>
      </c>
      <c r="S11" s="58" t="s">
        <v>141</v>
      </c>
      <c r="T11" s="58" t="s">
        <v>142</v>
      </c>
    </row>
    <row r="12" spans="1:21" s="52" customFormat="1" x14ac:dyDescent="0.25">
      <c r="A12" s="33" t="s">
        <v>41</v>
      </c>
      <c r="B12" s="20" t="s">
        <v>42</v>
      </c>
      <c r="C12" s="20" t="s">
        <v>43</v>
      </c>
      <c r="D12" s="20" t="s">
        <v>7</v>
      </c>
      <c r="E12" s="21" t="s">
        <v>44</v>
      </c>
      <c r="F12" s="21">
        <v>0</v>
      </c>
      <c r="G12" s="20">
        <v>1</v>
      </c>
      <c r="H12" s="20">
        <v>1</v>
      </c>
      <c r="I12" s="20">
        <f>VLOOKUP(A12,'Subvencionados U. Estatales'!$B$5:$K$19,10,0)</f>
        <v>7.4687436878760283E-2</v>
      </c>
      <c r="J12" s="20">
        <v>0.12823505524002601</v>
      </c>
      <c r="K12" s="20">
        <v>0</v>
      </c>
      <c r="L12" s="19">
        <f t="shared" ref="L12:L25" si="0">$G$10*$C$41*(G12/$G$35)</f>
        <v>135970.625</v>
      </c>
      <c r="M12" s="19">
        <f t="shared" ref="M12:M25" si="1">$H$10*$C$41*(H12/$H$35)</f>
        <v>158632.39583333331</v>
      </c>
      <c r="N12" s="22">
        <f t="shared" ref="N12:N25" si="2">$I$10*$C$41*(I12)</f>
        <v>170608.99753049182</v>
      </c>
      <c r="O12" s="19">
        <f t="shared" ref="O12:O25" si="3">$J$10*$C$41*J12</f>
        <v>195285.44680843365</v>
      </c>
      <c r="P12" s="44">
        <f>SUM(K12:O12)</f>
        <v>660497.46517225879</v>
      </c>
      <c r="Q12" s="65">
        <f>ROUND(P12,0)</f>
        <v>660497</v>
      </c>
      <c r="R12" s="68">
        <f t="shared" ref="R12:R29" si="4">Q12/$Q$35</f>
        <v>8.190326442722326E-2</v>
      </c>
      <c r="S12" s="66">
        <v>542167</v>
      </c>
      <c r="T12" s="66">
        <v>118330</v>
      </c>
      <c r="U12" s="53" t="str">
        <f t="shared" ref="U12:U34" si="5">+A12</f>
        <v>UAP</v>
      </c>
    </row>
    <row r="13" spans="1:21" s="52" customFormat="1" x14ac:dyDescent="0.25">
      <c r="A13" s="33" t="s">
        <v>11</v>
      </c>
      <c r="B13" s="20" t="s">
        <v>12</v>
      </c>
      <c r="C13" s="20" t="s">
        <v>13</v>
      </c>
      <c r="D13" s="20" t="s">
        <v>7</v>
      </c>
      <c r="E13" s="21" t="s">
        <v>13</v>
      </c>
      <c r="F13" s="21">
        <v>0</v>
      </c>
      <c r="G13" s="20">
        <v>1</v>
      </c>
      <c r="H13" s="20">
        <v>1</v>
      </c>
      <c r="I13" s="20">
        <f>VLOOKUP(A13,'Subvencionados U. Estatales'!$B$5:$K$19,10,0)</f>
        <v>6.6582898351940464E-2</v>
      </c>
      <c r="J13" s="20">
        <v>9.8511140167966554E-2</v>
      </c>
      <c r="K13" s="20">
        <v>0</v>
      </c>
      <c r="L13" s="19">
        <f t="shared" si="0"/>
        <v>135970.625</v>
      </c>
      <c r="M13" s="19">
        <f t="shared" si="1"/>
        <v>158632.39583333331</v>
      </c>
      <c r="N13" s="22">
        <f t="shared" si="2"/>
        <v>152095.7474941769</v>
      </c>
      <c r="O13" s="19">
        <f t="shared" si="3"/>
        <v>150019.7585387314</v>
      </c>
      <c r="P13" s="44">
        <f t="shared" ref="P13:P34" si="6">SUM(K13:O13)</f>
        <v>596718.52686624159</v>
      </c>
      <c r="Q13" s="65">
        <f t="shared" ref="Q13:Q34" si="7">ROUND(P13,0)</f>
        <v>596719</v>
      </c>
      <c r="R13" s="68">
        <f t="shared" si="4"/>
        <v>7.3994634412795565E-2</v>
      </c>
      <c r="S13" s="66">
        <v>489310</v>
      </c>
      <c r="T13" s="66">
        <v>107409</v>
      </c>
      <c r="U13" s="53" t="str">
        <f t="shared" si="5"/>
        <v>ANT</v>
      </c>
    </row>
    <row r="14" spans="1:21" s="52" customFormat="1" x14ac:dyDescent="0.25">
      <c r="A14" s="33" t="s">
        <v>33</v>
      </c>
      <c r="B14" s="20" t="s">
        <v>34</v>
      </c>
      <c r="C14" s="20" t="s">
        <v>35</v>
      </c>
      <c r="D14" s="20" t="s">
        <v>7</v>
      </c>
      <c r="E14" s="21" t="s">
        <v>36</v>
      </c>
      <c r="F14" s="21">
        <v>0</v>
      </c>
      <c r="G14" s="20">
        <v>1</v>
      </c>
      <c r="H14" s="20">
        <v>1</v>
      </c>
      <c r="I14" s="20">
        <f>VLOOKUP(A14,'Subvencionados U. Estatales'!$B$5:$K$19,10,0)</f>
        <v>7.3468116914991291E-2</v>
      </c>
      <c r="J14" s="20">
        <v>5.7869543679365927E-2</v>
      </c>
      <c r="K14" s="20">
        <v>0</v>
      </c>
      <c r="L14" s="19">
        <f t="shared" si="0"/>
        <v>135970.625</v>
      </c>
      <c r="M14" s="19">
        <f t="shared" si="1"/>
        <v>158632.39583333331</v>
      </c>
      <c r="N14" s="22">
        <f t="shared" si="2"/>
        <v>167823.69701167455</v>
      </c>
      <c r="O14" s="19">
        <f t="shared" si="3"/>
        <v>88127.849852539672</v>
      </c>
      <c r="P14" s="44">
        <f t="shared" si="6"/>
        <v>550554.56769754761</v>
      </c>
      <c r="Q14" s="65">
        <f t="shared" si="7"/>
        <v>550555</v>
      </c>
      <c r="R14" s="68">
        <f t="shared" si="4"/>
        <v>6.8270184038277087E-2</v>
      </c>
      <c r="S14" s="66">
        <v>451455</v>
      </c>
      <c r="T14" s="66">
        <v>99100</v>
      </c>
      <c r="U14" s="53" t="str">
        <f t="shared" si="5"/>
        <v>ATA</v>
      </c>
    </row>
    <row r="15" spans="1:21" s="52" customFormat="1" x14ac:dyDescent="0.25">
      <c r="A15" s="33" t="s">
        <v>21</v>
      </c>
      <c r="B15" s="20" t="s">
        <v>22</v>
      </c>
      <c r="C15" s="20" t="s">
        <v>23</v>
      </c>
      <c r="D15" s="20" t="s">
        <v>7</v>
      </c>
      <c r="E15" s="21" t="s">
        <v>24</v>
      </c>
      <c r="F15" s="21">
        <v>0</v>
      </c>
      <c r="G15" s="20">
        <v>1</v>
      </c>
      <c r="H15" s="20">
        <v>1</v>
      </c>
      <c r="I15" s="20">
        <f>VLOOKUP(A15,'Subvencionados U. Estatales'!$B$5:$K$19,10,0)</f>
        <v>7.1056916288964822E-2</v>
      </c>
      <c r="J15" s="20">
        <v>4.9677862516272486E-2</v>
      </c>
      <c r="K15" s="20">
        <v>0</v>
      </c>
      <c r="L15" s="19">
        <f t="shared" si="0"/>
        <v>135970.625</v>
      </c>
      <c r="M15" s="19">
        <f t="shared" si="1"/>
        <v>158632.39583333331</v>
      </c>
      <c r="N15" s="22">
        <f t="shared" si="2"/>
        <v>162315.77574883823</v>
      </c>
      <c r="O15" s="19">
        <f t="shared" si="3"/>
        <v>75652.976168018402</v>
      </c>
      <c r="P15" s="44">
        <f t="shared" si="6"/>
        <v>532571.77275018999</v>
      </c>
      <c r="Q15" s="65">
        <f t="shared" si="7"/>
        <v>532572</v>
      </c>
      <c r="R15" s="68">
        <f t="shared" si="4"/>
        <v>6.6040247484144735E-2</v>
      </c>
      <c r="S15" s="66">
        <v>436709</v>
      </c>
      <c r="T15" s="66">
        <v>95863</v>
      </c>
      <c r="U15" s="53" t="str">
        <f t="shared" si="5"/>
        <v>FRO</v>
      </c>
    </row>
    <row r="16" spans="1:21" s="52" customFormat="1" x14ac:dyDescent="0.25">
      <c r="A16" s="33" t="s">
        <v>14</v>
      </c>
      <c r="B16" s="20" t="s">
        <v>15</v>
      </c>
      <c r="C16" s="20" t="s">
        <v>16</v>
      </c>
      <c r="D16" s="20" t="s">
        <v>7</v>
      </c>
      <c r="E16" s="21" t="s">
        <v>17</v>
      </c>
      <c r="F16" s="21">
        <v>0</v>
      </c>
      <c r="G16" s="20">
        <v>1</v>
      </c>
      <c r="H16" s="20">
        <v>1</v>
      </c>
      <c r="I16" s="20">
        <f>VLOOKUP(A16,'Subvencionados U. Estatales'!$B$5:$K$19,10,0)</f>
        <v>7.0977258786263916E-2</v>
      </c>
      <c r="J16" s="20">
        <v>3.3864756978445452E-2</v>
      </c>
      <c r="K16" s="20">
        <v>0</v>
      </c>
      <c r="L16" s="19">
        <f t="shared" si="0"/>
        <v>135970.625</v>
      </c>
      <c r="M16" s="19">
        <f t="shared" si="1"/>
        <v>158632.39583333331</v>
      </c>
      <c r="N16" s="22">
        <f t="shared" si="2"/>
        <v>162133.81359764477</v>
      </c>
      <c r="O16" s="19">
        <f t="shared" si="3"/>
        <v>51571.656324522206</v>
      </c>
      <c r="P16" s="44">
        <f t="shared" si="6"/>
        <v>508308.49075550027</v>
      </c>
      <c r="Q16" s="65">
        <f t="shared" si="7"/>
        <v>508308</v>
      </c>
      <c r="R16" s="68">
        <f t="shared" si="4"/>
        <v>6.3031451368398342E-2</v>
      </c>
      <c r="S16" s="66">
        <v>416813</v>
      </c>
      <c r="T16" s="66">
        <v>91495</v>
      </c>
      <c r="U16" s="53" t="str">
        <f t="shared" si="5"/>
        <v>ULS</v>
      </c>
    </row>
    <row r="17" spans="1:21" s="52" customFormat="1" x14ac:dyDescent="0.25">
      <c r="A17" s="33" t="s">
        <v>47</v>
      </c>
      <c r="B17" s="20" t="s">
        <v>48</v>
      </c>
      <c r="C17" s="20" t="s">
        <v>49</v>
      </c>
      <c r="D17" s="20" t="s">
        <v>7</v>
      </c>
      <c r="E17" s="21" t="s">
        <v>50</v>
      </c>
      <c r="F17" s="21">
        <v>0</v>
      </c>
      <c r="G17" s="20">
        <v>1</v>
      </c>
      <c r="H17" s="20">
        <v>1</v>
      </c>
      <c r="I17" s="20">
        <f>VLOOKUP(A17,'Subvencionados U. Estatales'!$B$5:$K$19,10,0)</f>
        <v>7.4520291363471908E-2</v>
      </c>
      <c r="J17" s="20">
        <v>6.7096615324355152E-2</v>
      </c>
      <c r="K17" s="20">
        <v>0</v>
      </c>
      <c r="L17" s="19">
        <f t="shared" si="0"/>
        <v>135970.625</v>
      </c>
      <c r="M17" s="19">
        <f t="shared" si="1"/>
        <v>158632.39583333331</v>
      </c>
      <c r="N17" s="22">
        <f t="shared" si="2"/>
        <v>170227.18594347275</v>
      </c>
      <c r="O17" s="19">
        <f t="shared" si="3"/>
        <v>102179.48967561606</v>
      </c>
      <c r="P17" s="44">
        <f t="shared" si="6"/>
        <v>567009.69645242207</v>
      </c>
      <c r="Q17" s="65">
        <f t="shared" si="7"/>
        <v>567010</v>
      </c>
      <c r="R17" s="68">
        <f t="shared" si="4"/>
        <v>7.031064480668324E-2</v>
      </c>
      <c r="S17" s="66">
        <v>464948</v>
      </c>
      <c r="T17" s="66">
        <v>102062</v>
      </c>
      <c r="U17" s="53" t="str">
        <f t="shared" si="5"/>
        <v>ULA</v>
      </c>
    </row>
    <row r="18" spans="1:21" s="52" customFormat="1" x14ac:dyDescent="0.25">
      <c r="A18" s="33" t="s">
        <v>25</v>
      </c>
      <c r="B18" s="20" t="s">
        <v>26</v>
      </c>
      <c r="C18" s="20" t="s">
        <v>27</v>
      </c>
      <c r="D18" s="20" t="s">
        <v>7</v>
      </c>
      <c r="E18" s="21" t="s">
        <v>28</v>
      </c>
      <c r="F18" s="21">
        <v>0</v>
      </c>
      <c r="G18" s="20">
        <v>1</v>
      </c>
      <c r="H18" s="20">
        <v>1</v>
      </c>
      <c r="I18" s="20">
        <f>VLOOKUP(A18,'Subvencionados U. Estatales'!$B$5:$K$19,10,0)</f>
        <v>6.9656884844711595E-2</v>
      </c>
      <c r="J18" s="20">
        <v>0.21627204704906514</v>
      </c>
      <c r="K18" s="20">
        <v>0</v>
      </c>
      <c r="L18" s="19">
        <f t="shared" si="0"/>
        <v>135970.625</v>
      </c>
      <c r="M18" s="19">
        <f t="shared" si="1"/>
        <v>158632.39583333331</v>
      </c>
      <c r="N18" s="22">
        <f t="shared" si="2"/>
        <v>159117.67482052618</v>
      </c>
      <c r="O18" s="19">
        <f t="shared" si="3"/>
        <v>329354.42856165685</v>
      </c>
      <c r="P18" s="44">
        <f t="shared" si="6"/>
        <v>783075.12421551638</v>
      </c>
      <c r="Q18" s="65">
        <f t="shared" si="7"/>
        <v>783075</v>
      </c>
      <c r="R18" s="68">
        <f t="shared" si="4"/>
        <v>9.7103240122737647E-2</v>
      </c>
      <c r="S18" s="66">
        <v>642122</v>
      </c>
      <c r="T18" s="66">
        <v>140953</v>
      </c>
      <c r="U18" s="53" t="str">
        <f t="shared" si="5"/>
        <v>MAG</v>
      </c>
    </row>
    <row r="19" spans="1:21" s="52" customFormat="1" x14ac:dyDescent="0.25">
      <c r="A19" s="33" t="s">
        <v>45</v>
      </c>
      <c r="B19" s="20" t="s">
        <v>46</v>
      </c>
      <c r="C19" s="20" t="s">
        <v>10</v>
      </c>
      <c r="D19" s="20" t="s">
        <v>7</v>
      </c>
      <c r="E19" s="21" t="s">
        <v>10</v>
      </c>
      <c r="F19" s="21">
        <v>0</v>
      </c>
      <c r="G19" s="20">
        <v>1</v>
      </c>
      <c r="H19" s="20">
        <v>1</v>
      </c>
      <c r="I19" s="20">
        <f>VLOOKUP(A19,'Subvencionados U. Estatales'!$B$5:$K$19,10,0)</f>
        <v>7.2486112773408565E-2</v>
      </c>
      <c r="J19" s="20">
        <v>8.3486457841318862E-3</v>
      </c>
      <c r="K19" s="20">
        <v>0</v>
      </c>
      <c r="L19" s="19">
        <f t="shared" si="0"/>
        <v>135970.625</v>
      </c>
      <c r="M19" s="19">
        <f t="shared" si="1"/>
        <v>158632.39583333331</v>
      </c>
      <c r="N19" s="22">
        <f t="shared" si="2"/>
        <v>165580.49856803022</v>
      </c>
      <c r="O19" s="19">
        <f t="shared" si="3"/>
        <v>12713.910553926709</v>
      </c>
      <c r="P19" s="44">
        <f t="shared" si="6"/>
        <v>472897.42995529028</v>
      </c>
      <c r="Q19" s="65">
        <f t="shared" si="7"/>
        <v>472897</v>
      </c>
      <c r="R19" s="68">
        <f t="shared" si="4"/>
        <v>5.8640399635184713E-2</v>
      </c>
      <c r="S19" s="66">
        <v>387776</v>
      </c>
      <c r="T19" s="66">
        <v>85121</v>
      </c>
      <c r="U19" s="53" t="str">
        <f t="shared" si="5"/>
        <v>UPA</v>
      </c>
    </row>
    <row r="20" spans="1:21" s="52" customFormat="1" x14ac:dyDescent="0.25">
      <c r="A20" s="33" t="s">
        <v>29</v>
      </c>
      <c r="B20" s="20" t="s">
        <v>30</v>
      </c>
      <c r="C20" s="20" t="s">
        <v>31</v>
      </c>
      <c r="D20" s="20" t="s">
        <v>7</v>
      </c>
      <c r="E20" s="21" t="s">
        <v>32</v>
      </c>
      <c r="F20" s="21">
        <v>0</v>
      </c>
      <c r="G20" s="20">
        <v>1</v>
      </c>
      <c r="H20" s="20">
        <v>1</v>
      </c>
      <c r="I20" s="20">
        <f>VLOOKUP(A20,'Subvencionados U. Estatales'!$B$5:$K$19,10,0)</f>
        <v>6.9332036663660154E-2</v>
      </c>
      <c r="J20" s="20">
        <v>1.8494464477034206E-2</v>
      </c>
      <c r="K20" s="20">
        <v>0</v>
      </c>
      <c r="L20" s="19">
        <f t="shared" si="0"/>
        <v>135970.625</v>
      </c>
      <c r="M20" s="19">
        <f t="shared" si="1"/>
        <v>158632.39583333331</v>
      </c>
      <c r="N20" s="22">
        <f t="shared" si="2"/>
        <v>158375.62200903721</v>
      </c>
      <c r="O20" s="19">
        <f t="shared" si="3"/>
        <v>28164.683612605557</v>
      </c>
      <c r="P20" s="44">
        <f t="shared" si="6"/>
        <v>481143.32645497611</v>
      </c>
      <c r="Q20" s="65">
        <f t="shared" si="7"/>
        <v>481143</v>
      </c>
      <c r="R20" s="68">
        <f t="shared" si="4"/>
        <v>5.9662924065222826E-2</v>
      </c>
      <c r="S20" s="66">
        <v>394537</v>
      </c>
      <c r="T20" s="66">
        <v>86606</v>
      </c>
      <c r="U20" s="53" t="str">
        <f t="shared" si="5"/>
        <v>TAL</v>
      </c>
    </row>
    <row r="21" spans="1:21" s="52" customFormat="1" x14ac:dyDescent="0.25">
      <c r="A21" s="33" t="s">
        <v>37</v>
      </c>
      <c r="B21" s="20" t="s">
        <v>38</v>
      </c>
      <c r="C21" s="20" t="s">
        <v>39</v>
      </c>
      <c r="D21" s="20" t="s">
        <v>7</v>
      </c>
      <c r="E21" s="21" t="s">
        <v>40</v>
      </c>
      <c r="F21" s="21">
        <v>0</v>
      </c>
      <c r="G21" s="20">
        <v>1</v>
      </c>
      <c r="H21" s="20">
        <v>1</v>
      </c>
      <c r="I21" s="20">
        <f>VLOOKUP(A21,'Subvencionados U. Estatales'!$B$5:$K$19,10,0)</f>
        <v>7.2808384416271049E-2</v>
      </c>
      <c r="J21" s="20">
        <v>0.14825524463440204</v>
      </c>
      <c r="K21" s="20">
        <v>0</v>
      </c>
      <c r="L21" s="19">
        <f t="shared" si="0"/>
        <v>135970.625</v>
      </c>
      <c r="M21" s="19">
        <f t="shared" si="1"/>
        <v>158632.39583333331</v>
      </c>
      <c r="N21" s="22">
        <f t="shared" si="2"/>
        <v>166316.66577658665</v>
      </c>
      <c r="O21" s="19">
        <f t="shared" si="3"/>
        <v>225773.61265163647</v>
      </c>
      <c r="P21" s="44">
        <f t="shared" si="6"/>
        <v>686693.29926155647</v>
      </c>
      <c r="Q21" s="65">
        <f t="shared" si="7"/>
        <v>686693</v>
      </c>
      <c r="R21" s="68">
        <f t="shared" si="4"/>
        <v>8.5151633329633922E-2</v>
      </c>
      <c r="S21" s="66">
        <v>563088</v>
      </c>
      <c r="T21" s="66">
        <v>123605</v>
      </c>
      <c r="U21" s="53" t="str">
        <f t="shared" si="5"/>
        <v>UTA</v>
      </c>
    </row>
    <row r="22" spans="1:21" s="52" customFormat="1" x14ac:dyDescent="0.25">
      <c r="A22" s="33" t="s">
        <v>8</v>
      </c>
      <c r="B22" s="20" t="s">
        <v>9</v>
      </c>
      <c r="C22" s="20" t="s">
        <v>10</v>
      </c>
      <c r="D22" s="20" t="s">
        <v>7</v>
      </c>
      <c r="E22" s="21" t="s">
        <v>10</v>
      </c>
      <c r="F22" s="21">
        <v>0</v>
      </c>
      <c r="G22" s="20">
        <v>1</v>
      </c>
      <c r="H22" s="20">
        <v>1</v>
      </c>
      <c r="I22" s="20">
        <f>VLOOKUP(A22,'Subvencionados U. Estatales'!$B$5:$K$19,10,0)</f>
        <v>6.5721354977657909E-2</v>
      </c>
      <c r="J22" s="20">
        <v>8.3486457841318862E-3</v>
      </c>
      <c r="K22" s="20">
        <v>0</v>
      </c>
      <c r="L22" s="19">
        <f t="shared" si="0"/>
        <v>135970.625</v>
      </c>
      <c r="M22" s="19">
        <f t="shared" si="1"/>
        <v>158632.39583333331</v>
      </c>
      <c r="N22" s="22">
        <f t="shared" si="2"/>
        <v>150127.71836427131</v>
      </c>
      <c r="O22" s="19">
        <f t="shared" si="3"/>
        <v>12713.910553926709</v>
      </c>
      <c r="P22" s="44">
        <f t="shared" si="6"/>
        <v>457444.64975153131</v>
      </c>
      <c r="Q22" s="65">
        <f t="shared" si="7"/>
        <v>457445</v>
      </c>
      <c r="R22" s="68">
        <f t="shared" si="4"/>
        <v>5.672431335178077E-2</v>
      </c>
      <c r="S22" s="66">
        <v>375105</v>
      </c>
      <c r="T22" s="66">
        <v>82340</v>
      </c>
      <c r="U22" s="53" t="str">
        <f t="shared" si="5"/>
        <v>UVA</v>
      </c>
    </row>
    <row r="23" spans="1:21" s="52" customFormat="1" x14ac:dyDescent="0.25">
      <c r="A23" s="33" t="s">
        <v>18</v>
      </c>
      <c r="B23" s="20" t="s">
        <v>71</v>
      </c>
      <c r="C23" s="20" t="s">
        <v>19</v>
      </c>
      <c r="D23" s="20" t="s">
        <v>7</v>
      </c>
      <c r="E23" s="21" t="s">
        <v>20</v>
      </c>
      <c r="F23" s="21">
        <v>0</v>
      </c>
      <c r="G23" s="20">
        <v>1</v>
      </c>
      <c r="H23" s="20">
        <v>1</v>
      </c>
      <c r="I23" s="20">
        <f>VLOOKUP(A23,'Subvencionados U. Estatales'!$B$5:$K$19,10,0)</f>
        <v>7.3183278008703542E-2</v>
      </c>
      <c r="J23" s="20">
        <v>3.5983059341267012E-2</v>
      </c>
      <c r="K23" s="20">
        <v>0</v>
      </c>
      <c r="L23" s="19">
        <f t="shared" si="0"/>
        <v>135970.625</v>
      </c>
      <c r="M23" s="19">
        <f t="shared" si="1"/>
        <v>158632.39583333331</v>
      </c>
      <c r="N23" s="22">
        <f t="shared" si="2"/>
        <v>167173.03764658855</v>
      </c>
      <c r="O23" s="19">
        <f t="shared" si="3"/>
        <v>54797.557562094633</v>
      </c>
      <c r="P23" s="44">
        <f t="shared" si="6"/>
        <v>516573.61604201654</v>
      </c>
      <c r="Q23" s="65">
        <f t="shared" si="7"/>
        <v>516574</v>
      </c>
      <c r="R23" s="68">
        <f t="shared" si="4"/>
        <v>6.4056455847987845E-2</v>
      </c>
      <c r="S23" s="66">
        <v>423591</v>
      </c>
      <c r="T23" s="66">
        <v>92983</v>
      </c>
      <c r="U23" s="53" t="str">
        <f t="shared" si="5"/>
        <v>UBB</v>
      </c>
    </row>
    <row r="24" spans="1:21" s="52" customFormat="1" x14ac:dyDescent="0.25">
      <c r="A24" s="33" t="s">
        <v>51</v>
      </c>
      <c r="B24" s="20" t="s">
        <v>52</v>
      </c>
      <c r="C24" s="21" t="s">
        <v>53</v>
      </c>
      <c r="D24" s="20" t="s">
        <v>7</v>
      </c>
      <c r="E24" s="21" t="s">
        <v>54</v>
      </c>
      <c r="F24" s="21">
        <v>0</v>
      </c>
      <c r="G24" s="20">
        <v>1</v>
      </c>
      <c r="H24" s="20">
        <v>0</v>
      </c>
      <c r="I24" s="20">
        <f>VLOOKUP(A24,'Subvencionados U. Estatales'!$B$5:$K$19,10,0)</f>
        <v>7.0218247706379036E-2</v>
      </c>
      <c r="J24" s="20">
        <v>6.0287374860315893E-3</v>
      </c>
      <c r="K24" s="20">
        <v>0</v>
      </c>
      <c r="L24" s="19">
        <f t="shared" si="0"/>
        <v>135970.625</v>
      </c>
      <c r="M24" s="19">
        <f t="shared" si="1"/>
        <v>0</v>
      </c>
      <c r="N24" s="22">
        <f t="shared" si="2"/>
        <v>160399.99965429172</v>
      </c>
      <c r="O24" s="19">
        <f t="shared" si="3"/>
        <v>9180.9894840904126</v>
      </c>
      <c r="P24" s="44">
        <f t="shared" si="6"/>
        <v>305551.61413838214</v>
      </c>
      <c r="Q24" s="65">
        <f t="shared" si="7"/>
        <v>305552</v>
      </c>
      <c r="R24" s="68">
        <f t="shared" si="4"/>
        <v>3.7889205026316423E-2</v>
      </c>
      <c r="S24" s="66">
        <v>250553</v>
      </c>
      <c r="T24" s="66">
        <v>54999</v>
      </c>
      <c r="U24" s="53" t="str">
        <f t="shared" si="5"/>
        <v>URO</v>
      </c>
    </row>
    <row r="25" spans="1:21" s="52" customFormat="1" x14ac:dyDescent="0.25">
      <c r="A25" s="33" t="s">
        <v>55</v>
      </c>
      <c r="B25" s="20" t="s">
        <v>56</v>
      </c>
      <c r="C25" s="21" t="s">
        <v>57</v>
      </c>
      <c r="D25" s="20" t="s">
        <v>7</v>
      </c>
      <c r="E25" s="21" t="s">
        <v>58</v>
      </c>
      <c r="F25" s="21">
        <v>0</v>
      </c>
      <c r="G25" s="20">
        <v>1</v>
      </c>
      <c r="H25" s="20">
        <v>0</v>
      </c>
      <c r="I25" s="20">
        <f>VLOOKUP(A25,'Subvencionados U. Estatales'!$B$5:$K$19,10,0)</f>
        <v>7.5300782024815507E-2</v>
      </c>
      <c r="J25" s="20">
        <v>0.12301418153750447</v>
      </c>
      <c r="K25" s="20">
        <v>0</v>
      </c>
      <c r="L25" s="19">
        <f t="shared" si="0"/>
        <v>135970.625</v>
      </c>
      <c r="M25" s="19">
        <f t="shared" si="1"/>
        <v>0</v>
      </c>
      <c r="N25" s="22">
        <f t="shared" si="2"/>
        <v>172010.06583436922</v>
      </c>
      <c r="O25" s="19">
        <f t="shared" si="3"/>
        <v>187334.72965220097</v>
      </c>
      <c r="P25" s="44">
        <f t="shared" si="6"/>
        <v>495315.42048657022</v>
      </c>
      <c r="Q25" s="65">
        <f t="shared" si="7"/>
        <v>495315</v>
      </c>
      <c r="R25" s="68">
        <f t="shared" si="4"/>
        <v>6.1420287177337801E-2</v>
      </c>
      <c r="S25" s="66">
        <v>406158</v>
      </c>
      <c r="T25" s="66">
        <v>89157</v>
      </c>
      <c r="U25" s="53" t="str">
        <f t="shared" si="5"/>
        <v>URY</v>
      </c>
    </row>
    <row r="26" spans="1:21" s="52" customFormat="1" x14ac:dyDescent="0.25">
      <c r="A26" s="54" t="s">
        <v>113</v>
      </c>
      <c r="B26" s="20" t="s">
        <v>99</v>
      </c>
      <c r="C26" s="20" t="s">
        <v>31</v>
      </c>
      <c r="D26" s="20" t="s">
        <v>97</v>
      </c>
      <c r="E26" s="21" t="s">
        <v>101</v>
      </c>
      <c r="F26" s="21">
        <v>1</v>
      </c>
      <c r="G26" s="23"/>
      <c r="H26" s="23"/>
      <c r="I26" s="23"/>
      <c r="J26" s="23"/>
      <c r="K26" s="22">
        <v>50000</v>
      </c>
      <c r="L26" s="32"/>
      <c r="M26" s="32"/>
      <c r="N26" s="31"/>
      <c r="O26" s="32"/>
      <c r="P26" s="44">
        <f t="shared" si="6"/>
        <v>50000</v>
      </c>
      <c r="Q26" s="65">
        <f t="shared" si="7"/>
        <v>50000</v>
      </c>
      <c r="R26" s="68">
        <f t="shared" si="4"/>
        <v>6.2001238784750922E-3</v>
      </c>
      <c r="S26" s="66">
        <v>41000</v>
      </c>
      <c r="T26" s="66">
        <v>9000</v>
      </c>
      <c r="U26" s="53" t="str">
        <f t="shared" si="5"/>
        <v>CRM</v>
      </c>
    </row>
    <row r="27" spans="1:21" s="52" customFormat="1" x14ac:dyDescent="0.25">
      <c r="A27" s="54" t="s">
        <v>114</v>
      </c>
      <c r="B27" s="20" t="s">
        <v>100</v>
      </c>
      <c r="C27" s="20" t="s">
        <v>23</v>
      </c>
      <c r="D27" s="20" t="s">
        <v>97</v>
      </c>
      <c r="E27" s="21" t="s">
        <v>102</v>
      </c>
      <c r="F27" s="21">
        <v>1</v>
      </c>
      <c r="G27" s="23"/>
      <c r="H27" s="23"/>
      <c r="I27" s="23"/>
      <c r="J27" s="23"/>
      <c r="K27" s="22">
        <v>50000</v>
      </c>
      <c r="L27" s="32"/>
      <c r="M27" s="32"/>
      <c r="N27" s="31"/>
      <c r="O27" s="32"/>
      <c r="P27" s="44">
        <f t="shared" si="6"/>
        <v>50000</v>
      </c>
      <c r="Q27" s="65">
        <f t="shared" si="7"/>
        <v>50000</v>
      </c>
      <c r="R27" s="68">
        <f t="shared" si="4"/>
        <v>6.2001238784750922E-3</v>
      </c>
      <c r="S27" s="66">
        <v>41000</v>
      </c>
      <c r="T27" s="66">
        <v>9000</v>
      </c>
      <c r="U27" s="53" t="str">
        <f t="shared" si="5"/>
        <v>CRA</v>
      </c>
    </row>
    <row r="28" spans="1:21" s="52" customFormat="1" x14ac:dyDescent="0.25">
      <c r="A28" s="54" t="s">
        <v>115</v>
      </c>
      <c r="B28" s="20" t="s">
        <v>144</v>
      </c>
      <c r="C28" s="20" t="s">
        <v>16</v>
      </c>
      <c r="D28" s="20" t="s">
        <v>97</v>
      </c>
      <c r="E28" s="21" t="s">
        <v>106</v>
      </c>
      <c r="F28" s="21">
        <v>1</v>
      </c>
      <c r="G28" s="23"/>
      <c r="H28" s="23"/>
      <c r="I28" s="23"/>
      <c r="J28" s="23"/>
      <c r="K28" s="22">
        <v>50000</v>
      </c>
      <c r="L28" s="32"/>
      <c r="M28" s="32"/>
      <c r="N28" s="31"/>
      <c r="O28" s="32"/>
      <c r="P28" s="44">
        <f t="shared" si="6"/>
        <v>50000</v>
      </c>
      <c r="Q28" s="65">
        <f t="shared" si="7"/>
        <v>50000</v>
      </c>
      <c r="R28" s="68">
        <f t="shared" si="4"/>
        <v>6.2001238784750922E-3</v>
      </c>
      <c r="S28" s="66">
        <v>41000</v>
      </c>
      <c r="T28" s="66">
        <v>9000</v>
      </c>
      <c r="U28" s="53" t="str">
        <f t="shared" si="5"/>
        <v>CRC</v>
      </c>
    </row>
    <row r="29" spans="1:21" s="52" customFormat="1" x14ac:dyDescent="0.25">
      <c r="A29" s="54" t="s">
        <v>117</v>
      </c>
      <c r="B29" s="20" t="s">
        <v>104</v>
      </c>
      <c r="C29" s="20" t="s">
        <v>49</v>
      </c>
      <c r="D29" s="20" t="s">
        <v>97</v>
      </c>
      <c r="E29" s="21" t="s">
        <v>107</v>
      </c>
      <c r="F29" s="21">
        <v>1</v>
      </c>
      <c r="G29" s="23"/>
      <c r="H29" s="23"/>
      <c r="I29" s="23"/>
      <c r="J29" s="23"/>
      <c r="K29" s="22">
        <v>50000</v>
      </c>
      <c r="L29" s="32"/>
      <c r="M29" s="32"/>
      <c r="N29" s="31"/>
      <c r="O29" s="32"/>
      <c r="P29" s="44">
        <f t="shared" si="6"/>
        <v>50000</v>
      </c>
      <c r="Q29" s="65">
        <f t="shared" si="7"/>
        <v>50000</v>
      </c>
      <c r="R29" s="68">
        <f t="shared" si="4"/>
        <v>6.2001238784750922E-3</v>
      </c>
      <c r="S29" s="66">
        <v>41000</v>
      </c>
      <c r="T29" s="66">
        <v>9000</v>
      </c>
      <c r="U29" s="53" t="str">
        <f t="shared" si="5"/>
        <v>CRL</v>
      </c>
    </row>
    <row r="30" spans="1:21" s="52" customFormat="1" x14ac:dyDescent="0.25">
      <c r="A30" s="54" t="s">
        <v>129</v>
      </c>
      <c r="B30" s="20" t="s">
        <v>120</v>
      </c>
      <c r="C30" s="20" t="s">
        <v>13</v>
      </c>
      <c r="D30" s="20" t="s">
        <v>97</v>
      </c>
      <c r="E30" s="21" t="s">
        <v>125</v>
      </c>
      <c r="F30" s="21">
        <v>1</v>
      </c>
      <c r="G30" s="23"/>
      <c r="H30" s="23"/>
      <c r="I30" s="23"/>
      <c r="J30" s="23"/>
      <c r="K30" s="22">
        <v>50000</v>
      </c>
      <c r="L30" s="32"/>
      <c r="M30" s="32"/>
      <c r="N30" s="31"/>
      <c r="O30" s="32"/>
      <c r="P30" s="44">
        <f t="shared" si="6"/>
        <v>50000</v>
      </c>
      <c r="Q30" s="65">
        <f t="shared" si="7"/>
        <v>50000</v>
      </c>
      <c r="R30" s="68">
        <f t="shared" ref="R30:R33" si="8">Q30/$Q$35</f>
        <v>6.2001238784750922E-3</v>
      </c>
      <c r="S30" s="66">
        <v>41000</v>
      </c>
      <c r="T30" s="66">
        <v>9000</v>
      </c>
      <c r="U30" s="53" t="str">
        <f t="shared" si="5"/>
        <v>CAN</v>
      </c>
    </row>
    <row r="31" spans="1:21" s="52" customFormat="1" x14ac:dyDescent="0.25">
      <c r="A31" s="54" t="s">
        <v>130</v>
      </c>
      <c r="B31" s="20" t="s">
        <v>121</v>
      </c>
      <c r="C31" s="20" t="s">
        <v>124</v>
      </c>
      <c r="D31" s="20" t="s">
        <v>97</v>
      </c>
      <c r="E31" s="21" t="s">
        <v>126</v>
      </c>
      <c r="F31" s="21">
        <v>1</v>
      </c>
      <c r="G31" s="23"/>
      <c r="H31" s="23"/>
      <c r="I31" s="23"/>
      <c r="J31" s="23"/>
      <c r="K31" s="22">
        <v>50000</v>
      </c>
      <c r="L31" s="32"/>
      <c r="M31" s="32"/>
      <c r="N31" s="31"/>
      <c r="O31" s="32"/>
      <c r="P31" s="44">
        <f t="shared" si="6"/>
        <v>50000</v>
      </c>
      <c r="Q31" s="65">
        <f t="shared" si="7"/>
        <v>50000</v>
      </c>
      <c r="R31" s="68">
        <f t="shared" si="8"/>
        <v>6.2001238784750922E-3</v>
      </c>
      <c r="S31" s="66">
        <v>41000</v>
      </c>
      <c r="T31" s="66">
        <v>9000</v>
      </c>
      <c r="U31" s="53" t="str">
        <f t="shared" si="5"/>
        <v>CRR</v>
      </c>
    </row>
    <row r="32" spans="1:21" s="52" customFormat="1" x14ac:dyDescent="0.25">
      <c r="A32" s="54" t="s">
        <v>131</v>
      </c>
      <c r="B32" s="20" t="s">
        <v>122</v>
      </c>
      <c r="C32" s="20" t="s">
        <v>27</v>
      </c>
      <c r="D32" s="20" t="s">
        <v>97</v>
      </c>
      <c r="E32" s="21" t="s">
        <v>127</v>
      </c>
      <c r="F32" s="21">
        <v>1</v>
      </c>
      <c r="G32" s="23"/>
      <c r="H32" s="23"/>
      <c r="I32" s="23"/>
      <c r="J32" s="23"/>
      <c r="K32" s="22">
        <v>50000</v>
      </c>
      <c r="L32" s="32"/>
      <c r="M32" s="32"/>
      <c r="N32" s="31"/>
      <c r="O32" s="32"/>
      <c r="P32" s="44">
        <f t="shared" si="6"/>
        <v>50000</v>
      </c>
      <c r="Q32" s="65">
        <f t="shared" si="7"/>
        <v>50000</v>
      </c>
      <c r="R32" s="68">
        <f t="shared" si="8"/>
        <v>6.2001238784750922E-3</v>
      </c>
      <c r="S32" s="66">
        <v>41000</v>
      </c>
      <c r="T32" s="66">
        <v>9000</v>
      </c>
      <c r="U32" s="53" t="str">
        <f t="shared" si="5"/>
        <v>CEM</v>
      </c>
    </row>
    <row r="33" spans="1:21" s="52" customFormat="1" x14ac:dyDescent="0.25">
      <c r="A33" s="54" t="s">
        <v>132</v>
      </c>
      <c r="B33" s="20" t="s">
        <v>123</v>
      </c>
      <c r="C33" s="20" t="s">
        <v>10</v>
      </c>
      <c r="D33" s="20" t="s">
        <v>97</v>
      </c>
      <c r="E33" s="21" t="s">
        <v>128</v>
      </c>
      <c r="F33" s="21">
        <v>1</v>
      </c>
      <c r="G33" s="23"/>
      <c r="H33" s="23"/>
      <c r="I33" s="23"/>
      <c r="J33" s="23"/>
      <c r="K33" s="22">
        <v>50000</v>
      </c>
      <c r="L33" s="32"/>
      <c r="M33" s="32"/>
      <c r="N33" s="31"/>
      <c r="O33" s="32"/>
      <c r="P33" s="44">
        <f t="shared" si="6"/>
        <v>50000</v>
      </c>
      <c r="Q33" s="65">
        <f t="shared" si="7"/>
        <v>50000</v>
      </c>
      <c r="R33" s="68">
        <f t="shared" si="8"/>
        <v>6.2001238784750922E-3</v>
      </c>
      <c r="S33" s="66">
        <v>41000</v>
      </c>
      <c r="T33" s="66">
        <v>9000</v>
      </c>
      <c r="U33" s="53" t="str">
        <f t="shared" si="5"/>
        <v>CRV</v>
      </c>
    </row>
    <row r="34" spans="1:21" s="52" customFormat="1" x14ac:dyDescent="0.25">
      <c r="A34" s="54" t="s">
        <v>116</v>
      </c>
      <c r="B34" s="20" t="s">
        <v>105</v>
      </c>
      <c r="C34" s="20" t="s">
        <v>43</v>
      </c>
      <c r="D34" s="20" t="s">
        <v>97</v>
      </c>
      <c r="E34" s="21" t="s">
        <v>108</v>
      </c>
      <c r="F34" s="21">
        <v>1</v>
      </c>
      <c r="G34" s="23"/>
      <c r="H34" s="23"/>
      <c r="I34" s="23"/>
      <c r="J34" s="23"/>
      <c r="K34" s="22">
        <v>50000</v>
      </c>
      <c r="L34" s="32"/>
      <c r="M34" s="32"/>
      <c r="N34" s="31"/>
      <c r="O34" s="32"/>
      <c r="P34" s="44">
        <f t="shared" si="6"/>
        <v>50000</v>
      </c>
      <c r="Q34" s="65">
        <f t="shared" si="7"/>
        <v>50000</v>
      </c>
      <c r="R34" s="68">
        <f>Q34/$Q$35</f>
        <v>6.2001238784750922E-3</v>
      </c>
      <c r="S34" s="66">
        <v>41000</v>
      </c>
      <c r="T34" s="66">
        <v>9000</v>
      </c>
      <c r="U34" s="53" t="str">
        <f t="shared" si="5"/>
        <v>CRT</v>
      </c>
    </row>
    <row r="35" spans="1:21" s="9" customFormat="1" x14ac:dyDescent="0.25">
      <c r="A35" s="70" t="s">
        <v>140</v>
      </c>
      <c r="B35" s="71"/>
      <c r="C35" s="71"/>
      <c r="D35" s="71"/>
      <c r="E35" s="72"/>
      <c r="F35" s="55">
        <f>SUM(F12:F34)</f>
        <v>9</v>
      </c>
      <c r="G35" s="55">
        <f t="shared" ref="G35:T35" si="9">SUM(G12:G34)</f>
        <v>14</v>
      </c>
      <c r="H35" s="55">
        <f t="shared" si="9"/>
        <v>12</v>
      </c>
      <c r="I35" s="55">
        <f t="shared" si="9"/>
        <v>0.99999999999999989</v>
      </c>
      <c r="J35" s="55">
        <f t="shared" si="9"/>
        <v>0.99999999999999956</v>
      </c>
      <c r="K35" s="55">
        <f t="shared" si="9"/>
        <v>450000</v>
      </c>
      <c r="L35" s="55">
        <f t="shared" si="9"/>
        <v>1903588.75</v>
      </c>
      <c r="M35" s="55">
        <f t="shared" si="9"/>
        <v>1903588.7499999993</v>
      </c>
      <c r="N35" s="55">
        <f t="shared" si="9"/>
        <v>2284306.5000000005</v>
      </c>
      <c r="O35" s="55">
        <f t="shared" si="9"/>
        <v>1522870.9999999998</v>
      </c>
      <c r="P35" s="56">
        <f t="shared" si="9"/>
        <v>8064355</v>
      </c>
      <c r="Q35" s="67">
        <f>SUM(Q12:Q34)</f>
        <v>8064355</v>
      </c>
      <c r="R35" s="69">
        <f>SUM(R12:R34)</f>
        <v>1.0000000000000002</v>
      </c>
      <c r="S35" s="66">
        <f t="shared" si="9"/>
        <v>6613332</v>
      </c>
      <c r="T35" s="66">
        <f t="shared" si="9"/>
        <v>1451023</v>
      </c>
      <c r="U35" s="2"/>
    </row>
    <row r="36" spans="1:21" x14ac:dyDescent="0.25">
      <c r="Q36" s="2">
        <f>+Q35-C39</f>
        <v>0</v>
      </c>
      <c r="S36" s="61">
        <f>+S35-C37</f>
        <v>0</v>
      </c>
      <c r="T36" s="61">
        <f>+T35-C38</f>
        <v>0</v>
      </c>
    </row>
    <row r="37" spans="1:21" s="9" customFormat="1" x14ac:dyDescent="0.25">
      <c r="B37" s="24" t="s">
        <v>95</v>
      </c>
      <c r="C37" s="26">
        <v>6613332</v>
      </c>
      <c r="D37" s="64">
        <f>+C37/C39</f>
        <v>0.82006955298966877</v>
      </c>
      <c r="G37" s="8"/>
      <c r="H37" s="8"/>
      <c r="I37" s="8"/>
      <c r="J37" s="8"/>
      <c r="K37" s="8"/>
      <c r="L37" s="5"/>
      <c r="M37" s="5"/>
      <c r="N37" s="5"/>
      <c r="O37" s="5"/>
      <c r="P37" s="5"/>
      <c r="Q37" s="5"/>
      <c r="S37" s="59"/>
      <c r="T37" s="59"/>
    </row>
    <row r="38" spans="1:21" x14ac:dyDescent="0.25">
      <c r="B38" s="24" t="s">
        <v>96</v>
      </c>
      <c r="C38" s="26">
        <v>1451023</v>
      </c>
      <c r="D38" s="64">
        <f>+C38/C39</f>
        <v>0.17993044701033126</v>
      </c>
      <c r="S38" s="63"/>
      <c r="T38" s="60"/>
    </row>
    <row r="39" spans="1:21" x14ac:dyDescent="0.25">
      <c r="B39" s="25" t="s">
        <v>119</v>
      </c>
      <c r="C39" s="27">
        <f>SUM(C37:C38)</f>
        <v>8064355</v>
      </c>
      <c r="D39" s="17"/>
      <c r="E39" s="2"/>
      <c r="F39" s="2"/>
      <c r="S39" s="62"/>
    </row>
    <row r="40" spans="1:21" s="9" customFormat="1" x14ac:dyDescent="0.25">
      <c r="B40" s="24" t="s">
        <v>94</v>
      </c>
      <c r="C40" s="51">
        <f>K35</f>
        <v>450000</v>
      </c>
      <c r="D40" s="17"/>
      <c r="E40" s="2"/>
      <c r="F40" s="2"/>
    </row>
    <row r="41" spans="1:21" s="9" customFormat="1" x14ac:dyDescent="0.25">
      <c r="B41" s="25" t="s">
        <v>103</v>
      </c>
      <c r="C41" s="27">
        <f>C39-C40</f>
        <v>7614355</v>
      </c>
      <c r="D41" s="17"/>
      <c r="E41" s="2"/>
      <c r="F41" s="2"/>
    </row>
    <row r="42" spans="1:21" x14ac:dyDescent="0.25">
      <c r="B42" s="28" t="s">
        <v>4</v>
      </c>
      <c r="C42" s="19">
        <f>C41*G10</f>
        <v>1903588.75</v>
      </c>
    </row>
    <row r="43" spans="1:21" x14ac:dyDescent="0.25">
      <c r="B43" s="28" t="s">
        <v>5</v>
      </c>
      <c r="C43" s="19">
        <f>C41*H10</f>
        <v>1903588.75</v>
      </c>
    </row>
    <row r="44" spans="1:21" x14ac:dyDescent="0.25">
      <c r="B44" s="28" t="s">
        <v>72</v>
      </c>
      <c r="C44" s="19">
        <f>C41*I10</f>
        <v>2284306.5</v>
      </c>
    </row>
    <row r="45" spans="1:21" x14ac:dyDescent="0.25">
      <c r="B45" s="28" t="s">
        <v>6</v>
      </c>
      <c r="C45" s="19">
        <f>C41*J10</f>
        <v>1522871</v>
      </c>
    </row>
    <row r="46" spans="1:21" x14ac:dyDescent="0.25">
      <c r="B46" s="29" t="s">
        <v>75</v>
      </c>
      <c r="C46" s="30">
        <f>SUM(C42:C45)</f>
        <v>7614355</v>
      </c>
    </row>
    <row r="49" spans="2:2" x14ac:dyDescent="0.25">
      <c r="B49" s="7"/>
    </row>
  </sheetData>
  <sortState xmlns:xlrd2="http://schemas.microsoft.com/office/spreadsheetml/2017/richdata2" ref="A10:J21">
    <sortCondition ref="B10:B21"/>
  </sortState>
  <mergeCells count="1">
    <mergeCell ref="A35:E35"/>
  </mergeCells>
  <printOptions horizontalCentered="1"/>
  <pageMargins left="0.31496062992125984" right="0.31496062992125984" top="0.74803149606299213" bottom="0.15748031496062992" header="0.31496062992125984" footer="0.31496062992125984"/>
  <pageSetup paperSize="14" scale="60" orientation="landscape" verticalDpi="0" r:id="rId1"/>
  <headerFooter>
    <oddFooter>&amp;F&amp;RPágina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D11" sqref="D11"/>
    </sheetView>
  </sheetViews>
  <sheetFormatPr baseColWidth="10" defaultRowHeight="15" x14ac:dyDescent="0.25"/>
  <cols>
    <col min="1" max="1" width="33.85546875" bestFit="1" customWidth="1"/>
    <col min="2" max="3" width="10.85546875" customWidth="1"/>
    <col min="4" max="4" width="14.5703125" customWidth="1"/>
    <col min="5" max="5" width="13.42578125" customWidth="1"/>
    <col min="6" max="6" width="13" customWidth="1"/>
    <col min="7" max="7" width="12.42578125" customWidth="1"/>
    <col min="8" max="8" width="14.28515625" customWidth="1"/>
    <col min="9" max="9" width="11.5703125" style="9" customWidth="1"/>
    <col min="10" max="11" width="15.7109375" customWidth="1"/>
    <col min="12" max="12" width="4.42578125" customWidth="1"/>
  </cols>
  <sheetData>
    <row r="1" spans="1:11" x14ac:dyDescent="0.25">
      <c r="A1" s="10" t="s">
        <v>82</v>
      </c>
      <c r="B1" s="9" t="s">
        <v>83</v>
      </c>
      <c r="C1" s="9"/>
      <c r="D1" s="9"/>
      <c r="E1" s="9"/>
      <c r="F1" s="9"/>
      <c r="G1" s="9"/>
      <c r="H1" s="9"/>
    </row>
    <row r="2" spans="1:11" x14ac:dyDescent="0.25">
      <c r="A2" s="10" t="s">
        <v>84</v>
      </c>
      <c r="B2" s="9" t="s">
        <v>85</v>
      </c>
      <c r="C2" s="9"/>
      <c r="D2" s="9"/>
      <c r="E2" s="9"/>
      <c r="F2" s="9"/>
      <c r="G2" s="9"/>
      <c r="H2" s="9"/>
    </row>
    <row r="3" spans="1:11" s="9" customFormat="1" x14ac:dyDescent="0.25">
      <c r="A3" s="10" t="s">
        <v>118</v>
      </c>
      <c r="B3" s="45">
        <v>2020</v>
      </c>
    </row>
    <row r="4" spans="1:11" x14ac:dyDescent="0.25">
      <c r="A4" s="9"/>
      <c r="B4" s="9"/>
      <c r="C4" s="9"/>
      <c r="D4" s="9"/>
      <c r="E4" s="9"/>
      <c r="F4" s="9"/>
      <c r="G4" s="9"/>
      <c r="H4" s="9"/>
    </row>
    <row r="5" spans="1:11" ht="36" x14ac:dyDescent="0.25">
      <c r="A5" s="36" t="s">
        <v>73</v>
      </c>
      <c r="B5" s="36" t="s">
        <v>110</v>
      </c>
      <c r="C5" s="37" t="s">
        <v>86</v>
      </c>
      <c r="D5" s="38" t="s">
        <v>87</v>
      </c>
      <c r="E5" s="38" t="s">
        <v>88</v>
      </c>
      <c r="F5" s="38" t="s">
        <v>89</v>
      </c>
      <c r="G5" s="38" t="s">
        <v>109</v>
      </c>
      <c r="H5" s="38" t="s">
        <v>111</v>
      </c>
      <c r="I5" s="38" t="s">
        <v>74</v>
      </c>
      <c r="J5" s="37" t="s">
        <v>92</v>
      </c>
      <c r="K5" s="37" t="s">
        <v>93</v>
      </c>
    </row>
    <row r="6" spans="1:11" x14ac:dyDescent="0.25">
      <c r="A6" s="12" t="s">
        <v>59</v>
      </c>
      <c r="B6" s="41" t="s">
        <v>41</v>
      </c>
      <c r="C6" s="39">
        <v>3013</v>
      </c>
      <c r="D6" s="39">
        <v>4658</v>
      </c>
      <c r="E6" s="39">
        <v>105</v>
      </c>
      <c r="F6" s="39">
        <v>121</v>
      </c>
      <c r="G6" s="39">
        <v>7</v>
      </c>
      <c r="H6" s="39">
        <f>C6+D6+F6+G6</f>
        <v>7799</v>
      </c>
      <c r="I6" s="39">
        <f>C6+D6+E6+F6+G6</f>
        <v>7904</v>
      </c>
      <c r="J6" s="12">
        <f>H6/I6</f>
        <v>0.98671558704453444</v>
      </c>
      <c r="K6" s="12">
        <f>J6/SUM($J$6:$J$19)</f>
        <v>7.4687436878760283E-2</v>
      </c>
    </row>
    <row r="7" spans="1:11" x14ac:dyDescent="0.25">
      <c r="A7" s="12" t="s">
        <v>60</v>
      </c>
      <c r="B7" s="41" t="s">
        <v>11</v>
      </c>
      <c r="C7" s="39">
        <v>2882</v>
      </c>
      <c r="D7" s="39">
        <v>3724</v>
      </c>
      <c r="E7" s="39">
        <v>907</v>
      </c>
      <c r="F7" s="39">
        <v>10</v>
      </c>
      <c r="G7" s="39">
        <v>13</v>
      </c>
      <c r="H7" s="39">
        <f t="shared" ref="H7:H19" si="0">C7+D7+F7+G7</f>
        <v>6629</v>
      </c>
      <c r="I7" s="39">
        <f t="shared" ref="I7:I19" si="1">C7+D7+E7+F7+G7</f>
        <v>7536</v>
      </c>
      <c r="J7" s="12">
        <f t="shared" ref="J7:J19" si="2">H7/I7</f>
        <v>0.87964437367303605</v>
      </c>
      <c r="K7" s="12">
        <f t="shared" ref="K7:K19" si="3">J7/SUM($J$6:$J$19)</f>
        <v>6.6582898351940464E-2</v>
      </c>
    </row>
    <row r="8" spans="1:11" x14ac:dyDescent="0.25">
      <c r="A8" s="12" t="s">
        <v>61</v>
      </c>
      <c r="B8" s="41" t="s">
        <v>33</v>
      </c>
      <c r="C8" s="39">
        <v>2556</v>
      </c>
      <c r="D8" s="39">
        <v>3292</v>
      </c>
      <c r="E8" s="39">
        <v>186</v>
      </c>
      <c r="F8" s="39">
        <v>9</v>
      </c>
      <c r="G8" s="39">
        <v>285</v>
      </c>
      <c r="H8" s="39">
        <f t="shared" si="0"/>
        <v>6142</v>
      </c>
      <c r="I8" s="39">
        <f t="shared" si="1"/>
        <v>6328</v>
      </c>
      <c r="J8" s="12">
        <f t="shared" si="2"/>
        <v>0.97060682680151711</v>
      </c>
      <c r="K8" s="12">
        <f t="shared" si="3"/>
        <v>7.3468116914991291E-2</v>
      </c>
    </row>
    <row r="9" spans="1:11" x14ac:dyDescent="0.25">
      <c r="A9" s="12" t="s">
        <v>90</v>
      </c>
      <c r="B9" s="41" t="s">
        <v>55</v>
      </c>
      <c r="C9" s="39">
        <v>98</v>
      </c>
      <c r="D9" s="39">
        <v>280</v>
      </c>
      <c r="E9" s="39">
        <v>2</v>
      </c>
      <c r="F9" s="39">
        <v>6</v>
      </c>
      <c r="G9" s="39"/>
      <c r="H9" s="39">
        <f t="shared" si="0"/>
        <v>384</v>
      </c>
      <c r="I9" s="39">
        <f t="shared" si="1"/>
        <v>386</v>
      </c>
      <c r="J9" s="12">
        <f t="shared" si="2"/>
        <v>0.99481865284974091</v>
      </c>
      <c r="K9" s="12">
        <f t="shared" si="3"/>
        <v>7.5300782024815507E-2</v>
      </c>
    </row>
    <row r="10" spans="1:11" x14ac:dyDescent="0.25">
      <c r="A10" s="12" t="s">
        <v>62</v>
      </c>
      <c r="B10" s="41" t="s">
        <v>21</v>
      </c>
      <c r="C10" s="39">
        <v>3276</v>
      </c>
      <c r="D10" s="39">
        <v>6266</v>
      </c>
      <c r="E10" s="39">
        <v>633</v>
      </c>
      <c r="F10" s="39">
        <v>66</v>
      </c>
      <c r="G10" s="39">
        <v>94</v>
      </c>
      <c r="H10" s="39">
        <f t="shared" si="0"/>
        <v>9702</v>
      </c>
      <c r="I10" s="39">
        <f t="shared" si="1"/>
        <v>10335</v>
      </c>
      <c r="J10" s="12">
        <f t="shared" si="2"/>
        <v>0.93875181422351228</v>
      </c>
      <c r="K10" s="12">
        <f t="shared" si="3"/>
        <v>7.1056916288964822E-2</v>
      </c>
    </row>
    <row r="11" spans="1:11" x14ac:dyDescent="0.25">
      <c r="A11" s="12" t="s">
        <v>63</v>
      </c>
      <c r="B11" s="41" t="s">
        <v>14</v>
      </c>
      <c r="C11" s="39">
        <v>1331</v>
      </c>
      <c r="D11" s="39">
        <v>4604</v>
      </c>
      <c r="E11" s="39">
        <v>410</v>
      </c>
      <c r="F11" s="39">
        <v>18</v>
      </c>
      <c r="G11" s="39">
        <v>218</v>
      </c>
      <c r="H11" s="39">
        <f t="shared" si="0"/>
        <v>6171</v>
      </c>
      <c r="I11" s="39">
        <f t="shared" si="1"/>
        <v>6581</v>
      </c>
      <c r="J11" s="12">
        <f t="shared" si="2"/>
        <v>0.93769943777541409</v>
      </c>
      <c r="K11" s="12">
        <f t="shared" si="3"/>
        <v>7.0977258786263916E-2</v>
      </c>
    </row>
    <row r="12" spans="1:11" x14ac:dyDescent="0.25">
      <c r="A12" s="12" t="s">
        <v>64</v>
      </c>
      <c r="B12" s="41" t="s">
        <v>47</v>
      </c>
      <c r="C12" s="39">
        <v>4343</v>
      </c>
      <c r="D12" s="39">
        <v>3737</v>
      </c>
      <c r="E12" s="39">
        <v>128</v>
      </c>
      <c r="F12" s="39">
        <v>53</v>
      </c>
      <c r="G12" s="39">
        <v>1</v>
      </c>
      <c r="H12" s="39">
        <f t="shared" si="0"/>
        <v>8134</v>
      </c>
      <c r="I12" s="39">
        <f t="shared" si="1"/>
        <v>8262</v>
      </c>
      <c r="J12" s="12">
        <f t="shared" si="2"/>
        <v>0.98450738320019371</v>
      </c>
      <c r="K12" s="12">
        <f t="shared" si="3"/>
        <v>7.4520291363471908E-2</v>
      </c>
    </row>
    <row r="13" spans="1:11" x14ac:dyDescent="0.25">
      <c r="A13" s="12" t="s">
        <v>65</v>
      </c>
      <c r="B13" s="41" t="s">
        <v>25</v>
      </c>
      <c r="C13" s="39">
        <v>1467</v>
      </c>
      <c r="D13" s="39">
        <v>1841</v>
      </c>
      <c r="E13" s="39">
        <v>287</v>
      </c>
      <c r="F13" s="39">
        <v>4</v>
      </c>
      <c r="G13" s="39"/>
      <c r="H13" s="39">
        <f t="shared" si="0"/>
        <v>3312</v>
      </c>
      <c r="I13" s="39">
        <f t="shared" si="1"/>
        <v>3599</v>
      </c>
      <c r="J13" s="12">
        <f t="shared" si="2"/>
        <v>0.92025562656293414</v>
      </c>
      <c r="K13" s="12">
        <f t="shared" si="3"/>
        <v>6.9656884844711595E-2</v>
      </c>
    </row>
    <row r="14" spans="1:11" x14ac:dyDescent="0.25">
      <c r="A14" s="12" t="s">
        <v>91</v>
      </c>
      <c r="B14" s="41" t="s">
        <v>51</v>
      </c>
      <c r="C14" s="39">
        <v>1308</v>
      </c>
      <c r="D14" s="39">
        <v>1318</v>
      </c>
      <c r="E14" s="39">
        <v>224</v>
      </c>
      <c r="F14" s="39">
        <v>247</v>
      </c>
      <c r="G14" s="39"/>
      <c r="H14" s="39">
        <f t="shared" si="0"/>
        <v>2873</v>
      </c>
      <c r="I14" s="39">
        <f t="shared" si="1"/>
        <v>3097</v>
      </c>
      <c r="J14" s="12">
        <f t="shared" si="2"/>
        <v>0.92767194058766544</v>
      </c>
      <c r="K14" s="12">
        <f t="shared" si="3"/>
        <v>7.0218247706379036E-2</v>
      </c>
    </row>
    <row r="15" spans="1:11" x14ac:dyDescent="0.25">
      <c r="A15" s="12" t="s">
        <v>66</v>
      </c>
      <c r="B15" s="41" t="s">
        <v>45</v>
      </c>
      <c r="C15" s="39">
        <v>1921</v>
      </c>
      <c r="D15" s="39">
        <v>4448</v>
      </c>
      <c r="E15" s="39">
        <v>290</v>
      </c>
      <c r="F15" s="39">
        <v>182</v>
      </c>
      <c r="G15" s="39">
        <v>4</v>
      </c>
      <c r="H15" s="39">
        <f t="shared" si="0"/>
        <v>6555</v>
      </c>
      <c r="I15" s="39">
        <f t="shared" si="1"/>
        <v>6845</v>
      </c>
      <c r="J15" s="12">
        <f t="shared" si="2"/>
        <v>0.95763330898466037</v>
      </c>
      <c r="K15" s="12">
        <f t="shared" si="3"/>
        <v>7.2486112773408565E-2</v>
      </c>
    </row>
    <row r="16" spans="1:11" x14ac:dyDescent="0.25">
      <c r="A16" s="12" t="s">
        <v>67</v>
      </c>
      <c r="B16" s="41" t="s">
        <v>29</v>
      </c>
      <c r="C16" s="39">
        <v>3857</v>
      </c>
      <c r="D16" s="39">
        <v>5489</v>
      </c>
      <c r="E16" s="39">
        <v>877</v>
      </c>
      <c r="F16" s="39">
        <v>212</v>
      </c>
      <c r="G16" s="39">
        <v>1</v>
      </c>
      <c r="H16" s="39">
        <f t="shared" si="0"/>
        <v>9559</v>
      </c>
      <c r="I16" s="39">
        <f t="shared" si="1"/>
        <v>10436</v>
      </c>
      <c r="J16" s="12">
        <f t="shared" si="2"/>
        <v>0.9159639708700652</v>
      </c>
      <c r="K16" s="12">
        <f t="shared" si="3"/>
        <v>6.9332036663660154E-2</v>
      </c>
    </row>
    <row r="17" spans="1:11" x14ac:dyDescent="0.25">
      <c r="A17" s="12" t="s">
        <v>68</v>
      </c>
      <c r="B17" s="41" t="s">
        <v>37</v>
      </c>
      <c r="C17" s="39">
        <v>2700</v>
      </c>
      <c r="D17" s="39">
        <v>5582</v>
      </c>
      <c r="E17" s="39">
        <v>341</v>
      </c>
      <c r="F17" s="39">
        <v>13</v>
      </c>
      <c r="G17" s="39">
        <v>312</v>
      </c>
      <c r="H17" s="39">
        <f t="shared" si="0"/>
        <v>8607</v>
      </c>
      <c r="I17" s="39">
        <f t="shared" si="1"/>
        <v>8948</v>
      </c>
      <c r="J17" s="12">
        <f t="shared" si="2"/>
        <v>0.96189092534644616</v>
      </c>
      <c r="K17" s="12">
        <f t="shared" si="3"/>
        <v>7.2808384416271049E-2</v>
      </c>
    </row>
    <row r="18" spans="1:11" x14ac:dyDescent="0.25">
      <c r="A18" s="12" t="s">
        <v>69</v>
      </c>
      <c r="B18" s="41" t="s">
        <v>8</v>
      </c>
      <c r="C18" s="39">
        <v>2969</v>
      </c>
      <c r="D18" s="39">
        <v>10009</v>
      </c>
      <c r="E18" s="39">
        <v>2009</v>
      </c>
      <c r="F18" s="39">
        <v>248</v>
      </c>
      <c r="G18" s="39">
        <v>15</v>
      </c>
      <c r="H18" s="39">
        <f t="shared" si="0"/>
        <v>13241</v>
      </c>
      <c r="I18" s="39">
        <f t="shared" si="1"/>
        <v>15250</v>
      </c>
      <c r="J18" s="12">
        <f t="shared" si="2"/>
        <v>0.86826229508196717</v>
      </c>
      <c r="K18" s="12">
        <f t="shared" si="3"/>
        <v>6.5721354977657909E-2</v>
      </c>
    </row>
    <row r="19" spans="1:11" x14ac:dyDescent="0.25">
      <c r="A19" s="12" t="s">
        <v>70</v>
      </c>
      <c r="B19" s="12" t="s">
        <v>18</v>
      </c>
      <c r="C19" s="39">
        <v>3471</v>
      </c>
      <c r="D19" s="39">
        <v>6259</v>
      </c>
      <c r="E19" s="39">
        <v>362</v>
      </c>
      <c r="F19" s="39">
        <v>780</v>
      </c>
      <c r="G19" s="39">
        <v>46</v>
      </c>
      <c r="H19" s="39">
        <f t="shared" si="0"/>
        <v>10556</v>
      </c>
      <c r="I19" s="39">
        <f t="shared" si="1"/>
        <v>10918</v>
      </c>
      <c r="J19" s="12">
        <f t="shared" si="2"/>
        <v>0.96684374427550834</v>
      </c>
      <c r="K19" s="12">
        <f t="shared" si="3"/>
        <v>7.3183278008703542E-2</v>
      </c>
    </row>
    <row r="20" spans="1:11" x14ac:dyDescent="0.25">
      <c r="A20" s="34"/>
      <c r="B20" s="35" t="s">
        <v>112</v>
      </c>
      <c r="C20" s="40">
        <f>SUM(C6:C19)</f>
        <v>35192</v>
      </c>
      <c r="D20" s="40">
        <f t="shared" ref="D20:I20" si="4">SUM(D6:D19)</f>
        <v>61507</v>
      </c>
      <c r="E20" s="40">
        <f t="shared" si="4"/>
        <v>6761</v>
      </c>
      <c r="F20" s="40">
        <f t="shared" si="4"/>
        <v>1969</v>
      </c>
      <c r="G20" s="40">
        <f t="shared" si="4"/>
        <v>996</v>
      </c>
      <c r="H20" s="40">
        <f t="shared" si="4"/>
        <v>99664</v>
      </c>
      <c r="I20" s="40">
        <f t="shared" si="4"/>
        <v>106425</v>
      </c>
      <c r="J20" s="42">
        <f>SUM(J6:J19)</f>
        <v>13.211265887277195</v>
      </c>
      <c r="K20" s="43">
        <f>SUM(K6:K19)</f>
        <v>0.99999999999999989</v>
      </c>
    </row>
    <row r="21" spans="1:11" x14ac:dyDescent="0.25">
      <c r="H21" s="9"/>
      <c r="I2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7"/>
  <sheetViews>
    <sheetView workbookViewId="0">
      <selection activeCell="G2" sqref="G2"/>
    </sheetView>
  </sheetViews>
  <sheetFormatPr baseColWidth="10" defaultRowHeight="15" x14ac:dyDescent="0.25"/>
  <cols>
    <col min="2" max="3" width="16.7109375" bestFit="1" customWidth="1"/>
    <col min="4" max="4" width="15.140625" bestFit="1" customWidth="1"/>
    <col min="5" max="5" width="12.7109375" bestFit="1" customWidth="1"/>
  </cols>
  <sheetData>
    <row r="2" spans="1:9" x14ac:dyDescent="0.25">
      <c r="B2" s="15" t="s">
        <v>0</v>
      </c>
      <c r="C2" s="15" t="s">
        <v>1</v>
      </c>
      <c r="D2" s="15" t="s">
        <v>2</v>
      </c>
      <c r="E2" s="15" t="s">
        <v>3</v>
      </c>
      <c r="F2" s="15" t="s">
        <v>6</v>
      </c>
      <c r="G2" s="15" t="s">
        <v>76</v>
      </c>
    </row>
    <row r="3" spans="1:9" x14ac:dyDescent="0.25">
      <c r="A3" s="11" t="s">
        <v>41</v>
      </c>
      <c r="B3" s="12" t="s">
        <v>42</v>
      </c>
      <c r="C3" s="12" t="s">
        <v>43</v>
      </c>
      <c r="D3" s="12" t="s">
        <v>7</v>
      </c>
      <c r="E3" s="13" t="s">
        <v>44</v>
      </c>
      <c r="F3" s="14">
        <v>1780.99</v>
      </c>
      <c r="G3" s="12">
        <f>F3/$F$17</f>
        <v>0.12823505524002626</v>
      </c>
    </row>
    <row r="4" spans="1:9" x14ac:dyDescent="0.25">
      <c r="A4" s="11" t="s">
        <v>11</v>
      </c>
      <c r="B4" s="12" t="s">
        <v>12</v>
      </c>
      <c r="C4" s="12" t="s">
        <v>13</v>
      </c>
      <c r="D4" s="12" t="s">
        <v>7</v>
      </c>
      <c r="E4" s="13" t="s">
        <v>13</v>
      </c>
      <c r="F4" s="14">
        <v>1368.17</v>
      </c>
      <c r="G4" s="12">
        <f t="shared" ref="G4:G16" si="0">F4/$F$17</f>
        <v>9.8511140167966554E-2</v>
      </c>
      <c r="H4" s="9"/>
      <c r="I4" s="9"/>
    </row>
    <row r="5" spans="1:9" x14ac:dyDescent="0.25">
      <c r="A5" s="11" t="s">
        <v>33</v>
      </c>
      <c r="B5" s="12" t="s">
        <v>34</v>
      </c>
      <c r="C5" s="12" t="s">
        <v>35</v>
      </c>
      <c r="D5" s="12" t="s">
        <v>7</v>
      </c>
      <c r="E5" s="13" t="s">
        <v>36</v>
      </c>
      <c r="F5" s="14">
        <v>803.72</v>
      </c>
      <c r="G5" s="12">
        <f t="shared" si="0"/>
        <v>5.7869543679365927E-2</v>
      </c>
      <c r="H5" s="9"/>
      <c r="I5" s="9"/>
    </row>
    <row r="6" spans="1:9" x14ac:dyDescent="0.25">
      <c r="A6" s="11" t="s">
        <v>21</v>
      </c>
      <c r="B6" s="12" t="s">
        <v>22</v>
      </c>
      <c r="C6" s="12" t="s">
        <v>23</v>
      </c>
      <c r="D6" s="12" t="s">
        <v>7</v>
      </c>
      <c r="E6" s="13" t="s">
        <v>24</v>
      </c>
      <c r="F6" s="14">
        <v>689.95</v>
      </c>
      <c r="G6" s="12">
        <f t="shared" si="0"/>
        <v>4.9677862516272486E-2</v>
      </c>
      <c r="H6" s="9"/>
      <c r="I6" s="9"/>
    </row>
    <row r="7" spans="1:9" x14ac:dyDescent="0.25">
      <c r="A7" s="11" t="s">
        <v>14</v>
      </c>
      <c r="B7" s="12" t="s">
        <v>15</v>
      </c>
      <c r="C7" s="12" t="s">
        <v>16</v>
      </c>
      <c r="D7" s="12" t="s">
        <v>7</v>
      </c>
      <c r="E7" s="13" t="s">
        <v>17</v>
      </c>
      <c r="F7" s="14">
        <v>470.33</v>
      </c>
      <c r="G7" s="12">
        <f t="shared" si="0"/>
        <v>3.3864756978445446E-2</v>
      </c>
      <c r="H7" s="9"/>
      <c r="I7" s="9"/>
    </row>
    <row r="8" spans="1:9" x14ac:dyDescent="0.25">
      <c r="A8" s="11" t="s">
        <v>47</v>
      </c>
      <c r="B8" s="12" t="s">
        <v>48</v>
      </c>
      <c r="C8" s="12" t="s">
        <v>49</v>
      </c>
      <c r="D8" s="12" t="s">
        <v>7</v>
      </c>
      <c r="E8" s="13" t="s">
        <v>50</v>
      </c>
      <c r="F8" s="14">
        <v>931.87</v>
      </c>
      <c r="G8" s="12">
        <f t="shared" si="0"/>
        <v>6.7096615324355152E-2</v>
      </c>
      <c r="H8" s="9"/>
      <c r="I8" s="9"/>
    </row>
    <row r="9" spans="1:9" x14ac:dyDescent="0.25">
      <c r="A9" s="11" t="s">
        <v>25</v>
      </c>
      <c r="B9" s="12" t="s">
        <v>26</v>
      </c>
      <c r="C9" s="12" t="s">
        <v>27</v>
      </c>
      <c r="D9" s="12" t="s">
        <v>7</v>
      </c>
      <c r="E9" s="13" t="s">
        <v>28</v>
      </c>
      <c r="F9" s="14">
        <v>3003.69</v>
      </c>
      <c r="G9" s="12">
        <f t="shared" si="0"/>
        <v>0.21627204704906514</v>
      </c>
      <c r="H9" s="9"/>
      <c r="I9" s="9"/>
    </row>
    <row r="10" spans="1:9" x14ac:dyDescent="0.25">
      <c r="A10" s="11" t="s">
        <v>45</v>
      </c>
      <c r="B10" s="12" t="s">
        <v>46</v>
      </c>
      <c r="C10" s="12" t="s">
        <v>10</v>
      </c>
      <c r="D10" s="12" t="s">
        <v>7</v>
      </c>
      <c r="E10" s="13" t="s">
        <v>10</v>
      </c>
      <c r="F10" s="14">
        <v>115.95</v>
      </c>
      <c r="G10" s="12">
        <f t="shared" si="0"/>
        <v>8.3486457841318844E-3</v>
      </c>
      <c r="H10" s="9"/>
      <c r="I10" s="9"/>
    </row>
    <row r="11" spans="1:9" x14ac:dyDescent="0.25">
      <c r="A11" s="11" t="s">
        <v>29</v>
      </c>
      <c r="B11" s="12" t="s">
        <v>30</v>
      </c>
      <c r="C11" s="12" t="s">
        <v>31</v>
      </c>
      <c r="D11" s="12" t="s">
        <v>7</v>
      </c>
      <c r="E11" s="13" t="s">
        <v>32</v>
      </c>
      <c r="F11" s="14">
        <v>256.86</v>
      </c>
      <c r="G11" s="12">
        <f t="shared" si="0"/>
        <v>1.8494464477034206E-2</v>
      </c>
      <c r="H11" s="9"/>
      <c r="I11" s="9"/>
    </row>
    <row r="12" spans="1:9" x14ac:dyDescent="0.25">
      <c r="A12" s="11" t="s">
        <v>37</v>
      </c>
      <c r="B12" s="12" t="s">
        <v>38</v>
      </c>
      <c r="C12" s="12" t="s">
        <v>39</v>
      </c>
      <c r="D12" s="12" t="s">
        <v>7</v>
      </c>
      <c r="E12" s="13" t="s">
        <v>40</v>
      </c>
      <c r="F12" s="14">
        <v>2059.04</v>
      </c>
      <c r="G12" s="12">
        <f t="shared" si="0"/>
        <v>0.14825524463440204</v>
      </c>
      <c r="H12" s="9"/>
      <c r="I12" s="9"/>
    </row>
    <row r="13" spans="1:9" x14ac:dyDescent="0.25">
      <c r="A13" s="11" t="s">
        <v>8</v>
      </c>
      <c r="B13" s="12" t="s">
        <v>9</v>
      </c>
      <c r="C13" s="12" t="s">
        <v>10</v>
      </c>
      <c r="D13" s="12" t="s">
        <v>7</v>
      </c>
      <c r="E13" s="13" t="s">
        <v>10</v>
      </c>
      <c r="F13" s="14">
        <v>115.95</v>
      </c>
      <c r="G13" s="12">
        <f t="shared" si="0"/>
        <v>8.3486457841318844E-3</v>
      </c>
      <c r="H13" s="9"/>
      <c r="I13" s="9"/>
    </row>
    <row r="14" spans="1:9" x14ac:dyDescent="0.25">
      <c r="A14" s="11" t="s">
        <v>18</v>
      </c>
      <c r="B14" s="12" t="s">
        <v>71</v>
      </c>
      <c r="C14" s="12" t="s">
        <v>19</v>
      </c>
      <c r="D14" s="12" t="s">
        <v>7</v>
      </c>
      <c r="E14" s="13" t="s">
        <v>20</v>
      </c>
      <c r="F14" s="14">
        <v>499.75</v>
      </c>
      <c r="G14" s="12">
        <f t="shared" si="0"/>
        <v>3.5983059341267006E-2</v>
      </c>
      <c r="H14" s="9"/>
      <c r="I14" s="9"/>
    </row>
    <row r="15" spans="1:9" x14ac:dyDescent="0.25">
      <c r="A15" s="11" t="s">
        <v>51</v>
      </c>
      <c r="B15" s="12" t="s">
        <v>52</v>
      </c>
      <c r="C15" s="13" t="s">
        <v>53</v>
      </c>
      <c r="D15" s="12" t="s">
        <v>7</v>
      </c>
      <c r="E15" s="13" t="s">
        <v>54</v>
      </c>
      <c r="F15" s="14">
        <v>83.73</v>
      </c>
      <c r="G15" s="12">
        <f t="shared" si="0"/>
        <v>6.0287374860315893E-3</v>
      </c>
      <c r="H15" s="9"/>
      <c r="I15" s="9"/>
    </row>
    <row r="16" spans="1:9" x14ac:dyDescent="0.25">
      <c r="A16" s="11" t="s">
        <v>55</v>
      </c>
      <c r="B16" s="12" t="s">
        <v>56</v>
      </c>
      <c r="C16" s="13" t="s">
        <v>57</v>
      </c>
      <c r="D16" s="12" t="s">
        <v>7</v>
      </c>
      <c r="E16" s="13" t="s">
        <v>58</v>
      </c>
      <c r="F16" s="14">
        <v>1708.48</v>
      </c>
      <c r="G16" s="12">
        <f t="shared" si="0"/>
        <v>0.12301418153750447</v>
      </c>
      <c r="H16" s="9"/>
      <c r="I16" s="9"/>
    </row>
    <row r="17" spans="6:7" x14ac:dyDescent="0.25">
      <c r="F17" s="16">
        <f>SUM(F3:F16)</f>
        <v>13888.48</v>
      </c>
      <c r="G17" s="8">
        <f>SUM(G3:G16)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ESR Estatales 2021</vt:lpstr>
      <vt:lpstr>Subvencionados U. Estatales</vt:lpstr>
      <vt:lpstr>KM 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2021-08-12T19:44:15Z</cp:lastPrinted>
  <dcterms:created xsi:type="dcterms:W3CDTF">2017-03-28T16:09:36Z</dcterms:created>
  <dcterms:modified xsi:type="dcterms:W3CDTF">2021-08-12T19:44:35Z</dcterms:modified>
</cp:coreProperties>
</file>