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-my.sharepoint.com/personal/roxana_acuna_mineduc_cl/Documents/UDAC 2008/CD Basal/FI 2021/"/>
    </mc:Choice>
  </mc:AlternateContent>
  <xr:revisionPtr revIDLastSave="16" documentId="8_{0E06B751-CE45-4851-A94F-CB1A62B88239}" xr6:coauthVersionLast="47" xr6:coauthVersionMax="47" xr10:uidLastSave="{66BDFD71-71A1-4ABD-A7A9-551A00CF67F4}"/>
  <bookViews>
    <workbookView xWindow="-120" yWindow="-120" windowWidth="20730" windowHeight="11160" tabRatio="768" xr2:uid="{58240367-98E5-40ED-9E6A-5348AFFDA918}"/>
  </bookViews>
  <sheets>
    <sheet name="FI 2021 Distribución" sheetId="15" r:id="rId1"/>
    <sheet name="I.Acreditación Institucional" sheetId="2" r:id="rId2"/>
    <sheet name="II.Doctorados Acreditados" sheetId="3" r:id="rId3"/>
    <sheet name="III. Planta Académica" sheetId="14" r:id="rId4"/>
    <sheet name="IV. Publicaciones por acad." sheetId="9" r:id="rId5"/>
    <sheet name="V.Citas" sheetId="6" r:id="rId6"/>
    <sheet name="VI. Proyectos" sheetId="7" r:id="rId7"/>
    <sheet name="VII. Publicaciones" sheetId="16" r:id="rId8"/>
  </sheets>
  <definedNames>
    <definedName name="_xlnm.Print_Titles" localSheetId="0">'FI 2021 Distribución'!$A:$B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6" l="1"/>
  <c r="AG4" i="14"/>
  <c r="Q19" i="15" l="1"/>
  <c r="Q20" i="15"/>
  <c r="R20" i="15" s="1"/>
  <c r="Q23" i="15"/>
  <c r="Q24" i="15"/>
  <c r="R18" i="15" l="1"/>
  <c r="Q22" i="15"/>
  <c r="R22" i="15" s="1"/>
  <c r="Q18" i="15"/>
  <c r="R24" i="15"/>
  <c r="Q17" i="15"/>
  <c r="Q25" i="15" s="1"/>
  <c r="Q21" i="15"/>
  <c r="R21" i="15" s="1"/>
  <c r="P25" i="15"/>
  <c r="R23" i="15"/>
  <c r="R19" i="15"/>
  <c r="P5" i="16"/>
  <c r="J4" i="2"/>
  <c r="R17" i="15" l="1"/>
  <c r="R25" i="15" s="1"/>
  <c r="F12" i="9"/>
  <c r="J13" i="3"/>
  <c r="J5" i="3"/>
  <c r="E12" i="6" l="1"/>
  <c r="K14" i="15" l="1"/>
  <c r="H12" i="16" l="1"/>
  <c r="J12" i="16"/>
  <c r="H11" i="16"/>
  <c r="J11" i="16"/>
  <c r="H10" i="16"/>
  <c r="H9" i="16"/>
  <c r="J8" i="16"/>
  <c r="H8" i="16"/>
  <c r="H7" i="16"/>
  <c r="J7" i="16"/>
  <c r="G13" i="16"/>
  <c r="F13" i="16"/>
  <c r="D13" i="16"/>
  <c r="F11" i="6"/>
  <c r="F9" i="6"/>
  <c r="F7" i="6"/>
  <c r="F5" i="6"/>
  <c r="AK12" i="14"/>
  <c r="AA10" i="14"/>
  <c r="S8" i="14"/>
  <c r="J12" i="14"/>
  <c r="I11" i="2"/>
  <c r="H11" i="2"/>
  <c r="G11" i="2"/>
  <c r="I10" i="2"/>
  <c r="H10" i="2"/>
  <c r="G10" i="2"/>
  <c r="I8" i="2"/>
  <c r="H8" i="2"/>
  <c r="G8" i="2"/>
  <c r="I7" i="2"/>
  <c r="H7" i="2"/>
  <c r="G7" i="2"/>
  <c r="I6" i="2"/>
  <c r="H6" i="2"/>
  <c r="G6" i="2"/>
  <c r="I9" i="2"/>
  <c r="H9" i="2"/>
  <c r="G9" i="2"/>
  <c r="I5" i="2"/>
  <c r="H5" i="2"/>
  <c r="G5" i="2"/>
  <c r="I4" i="2"/>
  <c r="H4" i="2"/>
  <c r="G4" i="2"/>
  <c r="C12" i="15"/>
  <c r="S4" i="14" l="1"/>
  <c r="J10" i="2"/>
  <c r="S5" i="14"/>
  <c r="S6" i="14"/>
  <c r="F12" i="14"/>
  <c r="J5" i="2"/>
  <c r="J8" i="2"/>
  <c r="J9" i="2"/>
  <c r="S7" i="14"/>
  <c r="D12" i="9"/>
  <c r="J7" i="2"/>
  <c r="F4" i="6"/>
  <c r="F6" i="6"/>
  <c r="F8" i="6"/>
  <c r="F10" i="6"/>
  <c r="J6" i="2"/>
  <c r="J11" i="2"/>
  <c r="F13" i="3"/>
  <c r="J9" i="3"/>
  <c r="O12" i="14"/>
  <c r="S9" i="14"/>
  <c r="Z10" i="14"/>
  <c r="AB10" i="14" s="1"/>
  <c r="G12" i="14"/>
  <c r="K12" i="14"/>
  <c r="L12" i="14"/>
  <c r="I12" i="14"/>
  <c r="D12" i="14"/>
  <c r="H12" i="14"/>
  <c r="E12" i="14"/>
  <c r="M12" i="14"/>
  <c r="AA4" i="14"/>
  <c r="AA5" i="14"/>
  <c r="X7" i="14"/>
  <c r="AA8" i="14"/>
  <c r="X9" i="14"/>
  <c r="Z11" i="14"/>
  <c r="X6" i="14"/>
  <c r="W7" i="14"/>
  <c r="W9" i="14"/>
  <c r="W5" i="14"/>
  <c r="AA6" i="14"/>
  <c r="N12" i="14"/>
  <c r="W8" i="14"/>
  <c r="S10" i="14"/>
  <c r="T10" i="14"/>
  <c r="F10" i="9" s="1"/>
  <c r="S11" i="14"/>
  <c r="AA11" i="14"/>
  <c r="X5" i="14"/>
  <c r="W6" i="14"/>
  <c r="AA7" i="14"/>
  <c r="X8" i="14"/>
  <c r="AA9" i="14"/>
  <c r="I12" i="2"/>
  <c r="G15" i="15"/>
  <c r="F15" i="15"/>
  <c r="J15" i="15"/>
  <c r="D15" i="15"/>
  <c r="H15" i="15"/>
  <c r="H17" i="15" s="1"/>
  <c r="E15" i="15"/>
  <c r="I15" i="15"/>
  <c r="D12" i="7"/>
  <c r="E5" i="7" s="1"/>
  <c r="H12" i="2"/>
  <c r="G13" i="3"/>
  <c r="J6" i="3"/>
  <c r="J10" i="3"/>
  <c r="H13" i="3"/>
  <c r="J7" i="3"/>
  <c r="J11" i="3"/>
  <c r="E13" i="3"/>
  <c r="J8" i="3"/>
  <c r="J12" i="3"/>
  <c r="T11" i="14"/>
  <c r="F11" i="9" s="1"/>
  <c r="K7" i="16"/>
  <c r="L7" i="16" s="1"/>
  <c r="T4" i="14"/>
  <c r="Z4" i="14"/>
  <c r="T5" i="14"/>
  <c r="F5" i="9" s="1"/>
  <c r="Z5" i="14"/>
  <c r="T6" i="14"/>
  <c r="F6" i="9" s="1"/>
  <c r="Z6" i="14"/>
  <c r="T7" i="14"/>
  <c r="F7" i="9" s="1"/>
  <c r="Z7" i="14"/>
  <c r="AB7" i="14" s="1"/>
  <c r="T8" i="14"/>
  <c r="F8" i="9" s="1"/>
  <c r="Z8" i="14"/>
  <c r="AB8" i="14" s="1"/>
  <c r="T9" i="14"/>
  <c r="F9" i="9" s="1"/>
  <c r="Z9" i="14"/>
  <c r="D12" i="6"/>
  <c r="W4" i="14"/>
  <c r="K8" i="16"/>
  <c r="L8" i="16" s="1"/>
  <c r="X4" i="14"/>
  <c r="E13" i="16"/>
  <c r="H5" i="16"/>
  <c r="J5" i="16"/>
  <c r="H6" i="16"/>
  <c r="J6" i="16"/>
  <c r="J9" i="16"/>
  <c r="K9" i="16" s="1"/>
  <c r="L9" i="16" s="1"/>
  <c r="J10" i="16"/>
  <c r="K10" i="16" s="1"/>
  <c r="L10" i="16" s="1"/>
  <c r="K11" i="16"/>
  <c r="L11" i="16" s="1"/>
  <c r="K12" i="16"/>
  <c r="L12" i="16" s="1"/>
  <c r="G12" i="2"/>
  <c r="D13" i="3"/>
  <c r="F12" i="6" l="1"/>
  <c r="Y6" i="14"/>
  <c r="S12" i="14"/>
  <c r="AB9" i="14"/>
  <c r="AB5" i="14"/>
  <c r="G4" i="6"/>
  <c r="G7" i="6"/>
  <c r="H19" i="15" s="1"/>
  <c r="I13" i="3"/>
  <c r="G10" i="6"/>
  <c r="H23" i="15" s="1"/>
  <c r="G5" i="6"/>
  <c r="H18" i="15" s="1"/>
  <c r="G8" i="6"/>
  <c r="H20" i="15" s="1"/>
  <c r="G11" i="6"/>
  <c r="H24" i="15" s="1"/>
  <c r="G6" i="6"/>
  <c r="H22" i="15" s="1"/>
  <c r="X12" i="14"/>
  <c r="AB6" i="14"/>
  <c r="G9" i="6"/>
  <c r="H21" i="15" s="1"/>
  <c r="Y7" i="14"/>
  <c r="E8" i="7"/>
  <c r="I20" i="15" s="1"/>
  <c r="E4" i="7"/>
  <c r="E11" i="7"/>
  <c r="E7" i="7"/>
  <c r="I19" i="15" s="1"/>
  <c r="E10" i="7"/>
  <c r="I23" i="15" s="1"/>
  <c r="E9" i="7"/>
  <c r="I21" i="15" s="1"/>
  <c r="Y8" i="14"/>
  <c r="Y9" i="14"/>
  <c r="AA12" i="14"/>
  <c r="Y5" i="14"/>
  <c r="AB11" i="14"/>
  <c r="I18" i="15"/>
  <c r="I24" i="15"/>
  <c r="K15" i="15"/>
  <c r="J13" i="16"/>
  <c r="E6" i="7"/>
  <c r="I22" i="15" s="1"/>
  <c r="T12" i="14"/>
  <c r="H13" i="16"/>
  <c r="W12" i="14"/>
  <c r="Y4" i="14"/>
  <c r="K6" i="16"/>
  <c r="L6" i="16" s="1"/>
  <c r="AB4" i="14"/>
  <c r="AB12" i="14" s="1"/>
  <c r="Z12" i="14"/>
  <c r="J12" i="2"/>
  <c r="I6" i="16" l="1"/>
  <c r="K5" i="3"/>
  <c r="K4" i="2"/>
  <c r="D17" i="15"/>
  <c r="G12" i="6"/>
  <c r="E12" i="7"/>
  <c r="I17" i="15"/>
  <c r="I25" i="15" s="1"/>
  <c r="Y12" i="14"/>
  <c r="P6" i="16"/>
  <c r="H25" i="15"/>
  <c r="E12" i="9"/>
  <c r="F4" i="9"/>
  <c r="K13" i="16"/>
  <c r="L5" i="16"/>
  <c r="I12" i="16"/>
  <c r="I7" i="16"/>
  <c r="I8" i="16"/>
  <c r="I11" i="16"/>
  <c r="I10" i="16"/>
  <c r="I9" i="16"/>
  <c r="I5" i="16"/>
  <c r="K9" i="2"/>
  <c r="K6" i="2"/>
  <c r="K7" i="2"/>
  <c r="K11" i="2"/>
  <c r="K10" i="2"/>
  <c r="K8" i="2"/>
  <c r="K5" i="2"/>
  <c r="E17" i="15"/>
  <c r="K11" i="3"/>
  <c r="E23" i="15" s="1"/>
  <c r="K12" i="3"/>
  <c r="E24" i="15" s="1"/>
  <c r="K7" i="3"/>
  <c r="E22" i="15" s="1"/>
  <c r="K8" i="3"/>
  <c r="E19" i="15" s="1"/>
  <c r="K10" i="3"/>
  <c r="E21" i="15" s="1"/>
  <c r="K6" i="3"/>
  <c r="E18" i="15" s="1"/>
  <c r="K9" i="3"/>
  <c r="E20" i="15" s="1"/>
  <c r="D24" i="15" l="1"/>
  <c r="D20" i="15"/>
  <c r="D19" i="15"/>
  <c r="D22" i="15"/>
  <c r="D18" i="15"/>
  <c r="D23" i="15"/>
  <c r="D21" i="15"/>
  <c r="P9" i="16"/>
  <c r="P12" i="16"/>
  <c r="P11" i="16"/>
  <c r="P7" i="16"/>
  <c r="P10" i="16"/>
  <c r="P8" i="16"/>
  <c r="I13" i="16"/>
  <c r="L13" i="16"/>
  <c r="K13" i="3"/>
  <c r="E25" i="15"/>
  <c r="K12" i="2"/>
  <c r="D25" i="15" l="1"/>
  <c r="M5" i="16"/>
  <c r="M7" i="16"/>
  <c r="M12" i="16"/>
  <c r="M11" i="16"/>
  <c r="M8" i="16"/>
  <c r="M9" i="16"/>
  <c r="M10" i="16"/>
  <c r="M6" i="16"/>
  <c r="P13" i="16"/>
  <c r="G10" i="9"/>
  <c r="G23" i="15" s="1"/>
  <c r="G8" i="9"/>
  <c r="G20" i="15" s="1"/>
  <c r="G5" i="9"/>
  <c r="G18" i="15" s="1"/>
  <c r="G9" i="9"/>
  <c r="G21" i="15" s="1"/>
  <c r="G7" i="9"/>
  <c r="G19" i="15" s="1"/>
  <c r="G11" i="9"/>
  <c r="G24" i="15" s="1"/>
  <c r="G6" i="9"/>
  <c r="G22" i="15" s="1"/>
  <c r="Q5" i="16"/>
  <c r="G4" i="9"/>
  <c r="Q9" i="16" l="1"/>
  <c r="Q7" i="16"/>
  <c r="R7" i="16" s="1"/>
  <c r="Q8" i="16"/>
  <c r="J17" i="15"/>
  <c r="Q6" i="16"/>
  <c r="J18" i="15" s="1"/>
  <c r="Q11" i="16"/>
  <c r="R11" i="16" s="1"/>
  <c r="Q10" i="16"/>
  <c r="J21" i="15" s="1"/>
  <c r="Q12" i="16"/>
  <c r="R12" i="16" s="1"/>
  <c r="J20" i="15"/>
  <c r="J22" i="15"/>
  <c r="R5" i="16"/>
  <c r="G12" i="9"/>
  <c r="G17" i="15"/>
  <c r="M13" i="16"/>
  <c r="R6" i="16" l="1"/>
  <c r="J24" i="15"/>
  <c r="J19" i="15"/>
  <c r="J23" i="15"/>
  <c r="R8" i="16"/>
  <c r="R10" i="16"/>
  <c r="Q13" i="16"/>
  <c r="R9" i="16"/>
  <c r="G25" i="15"/>
  <c r="J25" i="15" l="1"/>
  <c r="R13" i="16"/>
  <c r="AD11" i="14" l="1"/>
  <c r="AD10" i="14"/>
  <c r="AD6" i="14"/>
  <c r="AC5" i="14"/>
  <c r="AC9" i="14"/>
  <c r="AC8" i="14"/>
  <c r="AC7" i="14"/>
  <c r="AD5" i="14"/>
  <c r="AC11" i="14"/>
  <c r="AC10" i="14"/>
  <c r="AD9" i="14"/>
  <c r="AD8" i="14"/>
  <c r="AD7" i="14"/>
  <c r="AC6" i="14"/>
  <c r="AE8" i="14" l="1"/>
  <c r="AE11" i="14"/>
  <c r="AG11" i="14" s="1"/>
  <c r="AH11" i="14" s="1"/>
  <c r="AE7" i="14"/>
  <c r="AE10" i="14"/>
  <c r="AG7" i="14"/>
  <c r="AH7" i="14" s="1"/>
  <c r="AE6" i="14"/>
  <c r="AG8" i="14"/>
  <c r="AH8" i="14" s="1"/>
  <c r="Q12" i="14"/>
  <c r="AD4" i="14"/>
  <c r="AE9" i="14"/>
  <c r="AE5" i="14"/>
  <c r="AG5" i="14" s="1"/>
  <c r="AH5" i="14" s="1"/>
  <c r="AC4" i="14"/>
  <c r="AC12" i="14" s="1"/>
  <c r="P12" i="14"/>
  <c r="AG9" i="14" l="1"/>
  <c r="AH9" i="14" s="1"/>
  <c r="AE4" i="14"/>
  <c r="AD12" i="14"/>
  <c r="AG6" i="14"/>
  <c r="AH6" i="14" s="1"/>
  <c r="AG10" i="14"/>
  <c r="AH10" i="14" s="1"/>
  <c r="AE12" i="14" l="1"/>
  <c r="AH4" i="14"/>
  <c r="AF5" i="14" l="1"/>
  <c r="AL5" i="14" s="1"/>
  <c r="AF11" i="14"/>
  <c r="AL11" i="14" s="1"/>
  <c r="AF7" i="14"/>
  <c r="AL7" i="14" s="1"/>
  <c r="AF8" i="14"/>
  <c r="AL8" i="14" s="1"/>
  <c r="AF6" i="14"/>
  <c r="AL6" i="14" s="1"/>
  <c r="AF9" i="14"/>
  <c r="AL9" i="14" s="1"/>
  <c r="AF10" i="14"/>
  <c r="AL10" i="14" s="1"/>
  <c r="AF4" i="14"/>
  <c r="AH12" i="14"/>
  <c r="AI4" i="14" s="1"/>
  <c r="AL4" i="14" l="1"/>
  <c r="AF12" i="14"/>
  <c r="AM4" i="14"/>
  <c r="AI5" i="14"/>
  <c r="AM5" i="14" s="1"/>
  <c r="AN5" i="14" s="1"/>
  <c r="F18" i="15" s="1"/>
  <c r="AI8" i="14"/>
  <c r="AM8" i="14" s="1"/>
  <c r="AN8" i="14" s="1"/>
  <c r="F20" i="15" s="1"/>
  <c r="AI11" i="14"/>
  <c r="AM11" i="14" s="1"/>
  <c r="AN11" i="14" s="1"/>
  <c r="F24" i="15" s="1"/>
  <c r="AI7" i="14"/>
  <c r="AM7" i="14" s="1"/>
  <c r="AN7" i="14" s="1"/>
  <c r="F19" i="15" s="1"/>
  <c r="AI6" i="14"/>
  <c r="AM6" i="14" s="1"/>
  <c r="AN6" i="14" s="1"/>
  <c r="F22" i="15" s="1"/>
  <c r="AI10" i="14"/>
  <c r="AM10" i="14" s="1"/>
  <c r="AN10" i="14" s="1"/>
  <c r="F23" i="15" s="1"/>
  <c r="AI9" i="14"/>
  <c r="AM9" i="14" s="1"/>
  <c r="AN9" i="14" s="1"/>
  <c r="F21" i="15" s="1"/>
  <c r="AM12" i="14" l="1"/>
  <c r="AI12" i="14"/>
  <c r="K23" i="15"/>
  <c r="L23" i="15" s="1"/>
  <c r="S23" i="15" s="1"/>
  <c r="K19" i="15"/>
  <c r="L19" i="15" s="1"/>
  <c r="S19" i="15" s="1"/>
  <c r="K21" i="15"/>
  <c r="L21" i="15" s="1"/>
  <c r="S21" i="15" s="1"/>
  <c r="K24" i="15"/>
  <c r="L24" i="15" s="1"/>
  <c r="S24" i="15" s="1"/>
  <c r="K20" i="15"/>
  <c r="L20" i="15" s="1"/>
  <c r="S20" i="15" s="1"/>
  <c r="K22" i="15"/>
  <c r="L22" i="15" s="1"/>
  <c r="S22" i="15" s="1"/>
  <c r="K18" i="15"/>
  <c r="L18" i="15" s="1"/>
  <c r="S18" i="15" s="1"/>
  <c r="AL12" i="14"/>
  <c r="AN4" i="14"/>
  <c r="T19" i="15" l="1"/>
  <c r="U19" i="15" s="1"/>
  <c r="T22" i="15"/>
  <c r="U22" i="15" s="1"/>
  <c r="T23" i="15"/>
  <c r="U23" i="15" s="1"/>
  <c r="T20" i="15"/>
  <c r="U20" i="15" s="1"/>
  <c r="T24" i="15"/>
  <c r="U24" i="15" s="1"/>
  <c r="T18" i="15"/>
  <c r="U18" i="15" s="1"/>
  <c r="T21" i="15"/>
  <c r="U21" i="15" s="1"/>
  <c r="F17" i="15"/>
  <c r="AN12" i="14"/>
  <c r="F25" i="15" l="1"/>
  <c r="K17" i="15"/>
  <c r="K25" i="15" l="1"/>
  <c r="L17" i="15"/>
  <c r="S17" i="15" s="1"/>
  <c r="T17" i="15" l="1"/>
  <c r="T25" i="15" s="1"/>
  <c r="L25" i="15"/>
  <c r="U17" i="15" l="1"/>
  <c r="U25" i="15" s="1"/>
  <c r="L26" i="15"/>
  <c r="S25" i="15"/>
  <c r="S26" i="15" s="1"/>
  <c r="S27" i="15" s="1"/>
  <c r="M17" i="15"/>
  <c r="M22" i="15"/>
  <c r="M18" i="15"/>
  <c r="M19" i="15"/>
  <c r="M24" i="15"/>
  <c r="M21" i="15"/>
  <c r="M23" i="15"/>
  <c r="M20" i="15"/>
  <c r="M25" i="15" l="1"/>
</calcChain>
</file>

<file path=xl/sharedStrings.xml><?xml version="1.0" encoding="utf-8"?>
<sst xmlns="http://schemas.openxmlformats.org/spreadsheetml/2006/main" count="422" uniqueCount="149">
  <si>
    <t>Codigo</t>
  </si>
  <si>
    <t>Nombre IES</t>
  </si>
  <si>
    <t>UDP</t>
  </si>
  <si>
    <t>U. DIEGO PORTALES</t>
  </si>
  <si>
    <t>UAH</t>
  </si>
  <si>
    <t>U. ALBERTO HURTADO</t>
  </si>
  <si>
    <t>UCS</t>
  </si>
  <si>
    <t>U. CATÓLICA CARDENAL RAUL SILVA HENRIQUEZ</t>
  </si>
  <si>
    <t>UAU</t>
  </si>
  <si>
    <t>U. AUTONOMA DE CHILE</t>
  </si>
  <si>
    <t>UFT</t>
  </si>
  <si>
    <t>U. FINIS TERRAE</t>
  </si>
  <si>
    <t>AHC</t>
  </si>
  <si>
    <t>U. ACADEMIA DE HUMANISMO CRISTIANO</t>
  </si>
  <si>
    <t>TOTAL</t>
  </si>
  <si>
    <t>Monto por Indicador</t>
  </si>
  <si>
    <t>Doctorados Acreditados</t>
  </si>
  <si>
    <t>Planta Académica</t>
  </si>
  <si>
    <t>Publicaciones</t>
  </si>
  <si>
    <t>Proyectos</t>
  </si>
  <si>
    <t>N°</t>
  </si>
  <si>
    <t>Citas por publicación</t>
  </si>
  <si>
    <t>IES</t>
  </si>
  <si>
    <t>N° áreas acreditadas</t>
  </si>
  <si>
    <t>Cod_IES</t>
  </si>
  <si>
    <t>Nº de Académicos JC* 2017 con grado de Doctor</t>
  </si>
  <si>
    <t>Nº total de Académicos JC* 2017</t>
  </si>
  <si>
    <t>Nº de Académicos JC* 2018 con grado de Doctor</t>
  </si>
  <si>
    <t>Nº total de Académicos JC* 2018</t>
  </si>
  <si>
    <t>Nº de Académicos JC* 2016 con grado de Doctor</t>
  </si>
  <si>
    <t>Nº total de Académicos JC* 2016</t>
  </si>
  <si>
    <t>Nº de Académicos JC* 2015 con grado de Doctor</t>
  </si>
  <si>
    <t>Nº total de Académicos JC* 2015</t>
  </si>
  <si>
    <t>Académicos JC con Doctor
 2016-2018</t>
  </si>
  <si>
    <t>Académicos JC
 2016-2018</t>
  </si>
  <si>
    <t>% Planta Académica
 2016-2018 por IES</t>
  </si>
  <si>
    <t>Publicaciones Scopus 2016</t>
  </si>
  <si>
    <t>Publicaciones Scopus 2017</t>
  </si>
  <si>
    <t>5 áreas</t>
  </si>
  <si>
    <t>Investigación</t>
  </si>
  <si>
    <t>Puntaje Años Acreditación Institucional</t>
  </si>
  <si>
    <t>% Planta Académica Total
Parte I</t>
  </si>
  <si>
    <t>% Planta Académica Total
Parte II</t>
  </si>
  <si>
    <t>% Publicaciones
Parte II</t>
  </si>
  <si>
    <t>Parte II</t>
  </si>
  <si>
    <t>Parte I</t>
  </si>
  <si>
    <t>% Planta academica</t>
  </si>
  <si>
    <t>% Publicaciones</t>
  </si>
  <si>
    <t>variación CORREGIDA (pasando a 0 si es  negativos)
tasa 2018
v/s
tasa 2017 
%</t>
  </si>
  <si>
    <t xml:space="preserve">% Años Doctorados Acreditados
</t>
  </si>
  <si>
    <t>N° Años Doctorados Acreditados 
2018</t>
  </si>
  <si>
    <t>a)</t>
  </si>
  <si>
    <t>b)</t>
  </si>
  <si>
    <t>c)</t>
  </si>
  <si>
    <t>d)</t>
  </si>
  <si>
    <t>e)</t>
  </si>
  <si>
    <t>f)</t>
  </si>
  <si>
    <t>g)</t>
  </si>
  <si>
    <t>I.</t>
  </si>
  <si>
    <t>II.</t>
  </si>
  <si>
    <t>num</t>
  </si>
  <si>
    <t>den</t>
  </si>
  <si>
    <t>num/den</t>
  </si>
  <si>
    <t>1p</t>
  </si>
  <si>
    <t>2p</t>
  </si>
  <si>
    <t>h)</t>
  </si>
  <si>
    <t>i)</t>
  </si>
  <si>
    <t>j)</t>
  </si>
  <si>
    <t>III.</t>
  </si>
  <si>
    <t>IV.</t>
  </si>
  <si>
    <t>V.</t>
  </si>
  <si>
    <t>VI.</t>
  </si>
  <si>
    <t>VII.</t>
  </si>
  <si>
    <t>N° Doctorados Acreditados 2 años</t>
  </si>
  <si>
    <t>N° Doctorados Acreditados 3 años</t>
  </si>
  <si>
    <t>N° Doctorados Acreditados 4 años</t>
  </si>
  <si>
    <t>N° Doctorados Acreditados 5 años</t>
  </si>
  <si>
    <t>Total N° Doctorados Acreditados</t>
  </si>
  <si>
    <t>e) (suma  b c d )</t>
  </si>
  <si>
    <t>% Acreditación Institucional</t>
  </si>
  <si>
    <t>suma</t>
  </si>
  <si>
    <t xml:space="preserve"> Publicaciones por académico</t>
  </si>
  <si>
    <t>Acreditación Institucional</t>
  </si>
  <si>
    <t>M$</t>
  </si>
  <si>
    <t>Corriente</t>
  </si>
  <si>
    <t>Capital</t>
  </si>
  <si>
    <t>N° Doctorados Acreditados 6 años</t>
  </si>
  <si>
    <t>Nº total de Académicos JC* 2019</t>
  </si>
  <si>
    <t>Nº de Académicos JC* 2019 con grado de Doctor</t>
  </si>
  <si>
    <t>Académicos JC con Doctor
 2017-2019</t>
  </si>
  <si>
    <t>Académicos JC
 2017-2019</t>
  </si>
  <si>
    <t>% Planta Académica
 2017-2019 por IES</t>
  </si>
  <si>
    <t>variación CORREGIDA (pasando a 0 si es  negativos)
% 2019
v/s
% 2018
%</t>
  </si>
  <si>
    <t>Nº total de Académicos JC* 2014</t>
  </si>
  <si>
    <t>Nº de Académicos JC* 2014 con grado de Doctor</t>
  </si>
  <si>
    <t>Nº total de Académicos JC* 2014-2018</t>
  </si>
  <si>
    <t>Publicaciones Scopus 2018</t>
  </si>
  <si>
    <t>Publicaciones Scopus  2016-2018</t>
  </si>
  <si>
    <t>U. BERNARDO O'HIGGINS</t>
  </si>
  <si>
    <t>UBO</t>
  </si>
  <si>
    <t>U. MAYOR</t>
  </si>
  <si>
    <t>UMA</t>
  </si>
  <si>
    <t>Nº total de Académicos JC* 2020</t>
  </si>
  <si>
    <t>Nº de Académicos JC* 2020 con grado de Doctor</t>
  </si>
  <si>
    <t>Nº total de Académicos JC* 2015-2019</t>
  </si>
  <si>
    <t>Académicos JC con Doctor
 2018-2020</t>
  </si>
  <si>
    <t>Académicos JC
 2018-2020</t>
  </si>
  <si>
    <t>% Planta Académica
 2018-2020 por IES</t>
  </si>
  <si>
    <t>variación
% 2019
v/s
% 2020
%</t>
  </si>
  <si>
    <t>Publicaciones Scopus 2015-2019</t>
  </si>
  <si>
    <t>Académicos JC 2015-2019</t>
  </si>
  <si>
    <t>Promedio Publicaciones Scopus por AJC 2015-2019</t>
  </si>
  <si>
    <t>% Publicaciones Scopus por AJC 2015-2019</t>
  </si>
  <si>
    <t>Publicaciones Scopus  2017-2019</t>
  </si>
  <si>
    <t>Publicaciones Scopus 2019</t>
  </si>
  <si>
    <t>% Publicaciones
2017-2019
Parte I</t>
  </si>
  <si>
    <t xml:space="preserve">Variación 
2017-2019
v/S
2016-2018
FRECUENCIAS
</t>
  </si>
  <si>
    <t>Proyectos 2020</t>
  </si>
  <si>
    <t>% Proyectos 2020</t>
  </si>
  <si>
    <t>Acreditación en Investigación 2020</t>
  </si>
  <si>
    <t>Años Acreditación 2020</t>
  </si>
  <si>
    <t>Acreditación al 31-12-2020</t>
  </si>
  <si>
    <t>Montos FI 2021</t>
  </si>
  <si>
    <t>Total Presupuesto 2021</t>
  </si>
  <si>
    <t>FI 2021 %</t>
  </si>
  <si>
    <t>Puntaje Ponderado Acreditación</t>
  </si>
  <si>
    <t>Citas SCOPUS 2015-2019</t>
  </si>
  <si>
    <t>Publicaciones SCOPUS 2015-2019</t>
  </si>
  <si>
    <t>Promedio SCOPUS citas por publicaciones 2015-2019</t>
  </si>
  <si>
    <t>% Citas Scopus 2015-2019</t>
  </si>
  <si>
    <t>SI</t>
  </si>
  <si>
    <t>NO</t>
  </si>
  <si>
    <t>Numeral de RES</t>
  </si>
  <si>
    <t>letra del numeral</t>
  </si>
  <si>
    <t>k)</t>
  </si>
  <si>
    <t>Total FI 
2021
M$</t>
  </si>
  <si>
    <t>Total FI 
2021
Redondeado M$</t>
  </si>
  <si>
    <t>Unidad de Análisis , DFI, SUBESUP</t>
  </si>
  <si>
    <t>Miles de pesos</t>
  </si>
  <si>
    <t>APORTE PARA FOMENTO DE INVESTIGACIÓN</t>
  </si>
  <si>
    <t>Ley de presupuestos año 2021</t>
  </si>
  <si>
    <t>Agosto de 2021</t>
  </si>
  <si>
    <t>Distribución de Recursos por Institución</t>
  </si>
  <si>
    <t>Anticipo</t>
  </si>
  <si>
    <t>Saldo</t>
  </si>
  <si>
    <t>Monto 
FI
2021
Transferencias Corrientes 
M$</t>
  </si>
  <si>
    <t>Monto 
FI
2021
Transferencias de Capital
M$</t>
  </si>
  <si>
    <t>Dec N°88-2021
Monto a Distribuir
 FI 2021
M$</t>
  </si>
  <si>
    <t>Dec N°119-2021
Monto a Distribuir
 FI 2021
M$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</si>
</sst>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  <numFmt numFmtId="168" formatCode="0.0%"/>
    <numFmt numFmtId="169" formatCode="_-* #,##0\ _€_-;\-* #,##0\ _€_-;_-* &quot;-&quot;??\ _€_-;_-@_-"/>
    <numFmt numFmtId="170" formatCode="_-* #,##0.0000_-;\-* #,##0.0000_-;_-* &quot;-&quot;??_-;_-@_-"/>
    <numFmt numFmtId="171" formatCode="0.0000000000000%"/>
    <numFmt numFmtId="172" formatCode="_-* #,##0.000000_-;\-* #,##0.000000_-;_-* &quot;-&quot;??_-;_-@_-"/>
    <numFmt numFmtId="173" formatCode="0.000%"/>
    <numFmt numFmtId="174" formatCode="_ * #,##0.0_ ;_ * \-#,##0.0_ ;_ * &quot;-&quot;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rgb="FF0000CC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trike/>
      <sz val="11"/>
      <color theme="0" tint="-0.499984740745262"/>
      <name val="Calibri"/>
      <family val="2"/>
      <scheme val="minor"/>
    </font>
    <font>
      <sz val="9"/>
      <color rgb="FF000000"/>
      <name val="Century Gothic"/>
      <family val="2"/>
    </font>
    <font>
      <sz val="9"/>
      <name val="Calibri "/>
    </font>
    <font>
      <sz val="9"/>
      <color theme="0" tint="-0.34998626667073579"/>
      <name val="Calibri "/>
    </font>
    <font>
      <sz val="9"/>
      <color theme="1"/>
      <name val="Calibri 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</cellStyleXfs>
  <cellXfs count="223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3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9" fontId="0" fillId="0" borderId="0" xfId="0" applyNumberFormat="1"/>
    <xf numFmtId="0" fontId="2" fillId="0" borderId="2" xfId="0" applyFont="1" applyBorder="1"/>
    <xf numFmtId="0" fontId="7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165" fontId="9" fillId="0" borderId="1" xfId="1" applyNumberFormat="1" applyFont="1" applyBorder="1"/>
    <xf numFmtId="0" fontId="10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11" fillId="0" borderId="0" xfId="0" applyFont="1"/>
    <xf numFmtId="9" fontId="0" fillId="0" borderId="0" xfId="2" applyFont="1"/>
    <xf numFmtId="165" fontId="8" fillId="0" borderId="1" xfId="1" applyNumberFormat="1" applyFont="1" applyBorder="1"/>
    <xf numFmtId="165" fontId="8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14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Fill="1"/>
    <xf numFmtId="0" fontId="6" fillId="3" borderId="2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169" fontId="4" fillId="0" borderId="8" xfId="0" applyNumberFormat="1" applyFont="1" applyBorder="1"/>
    <xf numFmtId="169" fontId="4" fillId="0" borderId="9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0" fontId="4" fillId="5" borderId="2" xfId="0" applyFont="1" applyFill="1" applyBorder="1"/>
    <xf numFmtId="165" fontId="9" fillId="0" borderId="8" xfId="1" applyNumberFormat="1" applyFont="1" applyBorder="1"/>
    <xf numFmtId="165" fontId="9" fillId="0" borderId="15" xfId="1" applyNumberFormat="1" applyFont="1" applyBorder="1"/>
    <xf numFmtId="0" fontId="9" fillId="0" borderId="1" xfId="0" applyFont="1" applyFill="1" applyBorder="1"/>
    <xf numFmtId="0" fontId="17" fillId="0" borderId="0" xfId="0" applyFont="1"/>
    <xf numFmtId="0" fontId="0" fillId="0" borderId="0" xfId="0" applyFill="1"/>
    <xf numFmtId="0" fontId="8" fillId="0" borderId="1" xfId="0" applyFont="1" applyFill="1" applyBorder="1" applyAlignment="1">
      <alignment horizontal="center"/>
    </xf>
    <xf numFmtId="9" fontId="0" fillId="0" borderId="0" xfId="2" applyFont="1" applyFill="1"/>
    <xf numFmtId="0" fontId="18" fillId="0" borderId="0" xfId="0" applyFont="1"/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9" fillId="4" borderId="1" xfId="0" applyFont="1" applyFill="1" applyBorder="1" applyAlignment="1">
      <alignment horizontal="center" vertical="center" wrapText="1"/>
    </xf>
    <xf numFmtId="9" fontId="10" fillId="4" borderId="1" xfId="2" applyFont="1" applyFill="1" applyBorder="1"/>
    <xf numFmtId="9" fontId="10" fillId="4" borderId="1" xfId="0" applyNumberFormat="1" applyFont="1" applyFill="1" applyBorder="1"/>
    <xf numFmtId="9" fontId="8" fillId="4" borderId="1" xfId="2" applyFont="1" applyFill="1" applyBorder="1" applyAlignment="1">
      <alignment horizontal="center"/>
    </xf>
    <xf numFmtId="9" fontId="16" fillId="4" borderId="1" xfId="0" applyNumberFormat="1" applyFont="1" applyFill="1" applyBorder="1" applyAlignment="1">
      <alignment horizontal="center"/>
    </xf>
    <xf numFmtId="9" fontId="0" fillId="0" borderId="0" xfId="0" applyNumberFormat="1"/>
    <xf numFmtId="0" fontId="20" fillId="0" borderId="0" xfId="0" applyFont="1"/>
    <xf numFmtId="15" fontId="0" fillId="0" borderId="0" xfId="0" applyNumberFormat="1" applyFill="1"/>
    <xf numFmtId="0" fontId="21" fillId="3" borderId="1" xfId="0" applyFont="1" applyFill="1" applyBorder="1" applyAlignment="1">
      <alignment horizontal="center" vertical="center" wrapText="1"/>
    </xf>
    <xf numFmtId="169" fontId="9" fillId="0" borderId="1" xfId="0" applyNumberFormat="1" applyFont="1" applyBorder="1"/>
    <xf numFmtId="0" fontId="9" fillId="5" borderId="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3" fontId="8" fillId="0" borderId="6" xfId="0" applyNumberFormat="1" applyFont="1" applyBorder="1"/>
    <xf numFmtId="3" fontId="8" fillId="0" borderId="1" xfId="0" applyNumberFormat="1" applyFont="1" applyBorder="1"/>
    <xf numFmtId="168" fontId="8" fillId="0" borderId="2" xfId="2" applyNumberFormat="1" applyFont="1" applyBorder="1"/>
    <xf numFmtId="9" fontId="9" fillId="0" borderId="27" xfId="2" applyFont="1" applyBorder="1"/>
    <xf numFmtId="0" fontId="14" fillId="0" borderId="0" xfId="0" applyFont="1"/>
    <xf numFmtId="0" fontId="22" fillId="5" borderId="4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3" fontId="23" fillId="0" borderId="6" xfId="0" applyNumberFormat="1" applyFont="1" applyBorder="1"/>
    <xf numFmtId="3" fontId="23" fillId="0" borderId="1" xfId="0" applyNumberFormat="1" applyFont="1" applyBorder="1"/>
    <xf numFmtId="168" fontId="23" fillId="0" borderId="1" xfId="2" applyNumberFormat="1" applyFont="1" applyBorder="1"/>
    <xf numFmtId="168" fontId="23" fillId="0" borderId="7" xfId="2" applyNumberFormat="1" applyFont="1" applyBorder="1"/>
    <xf numFmtId="165" fontId="22" fillId="0" borderId="8" xfId="1" applyNumberFormat="1" applyFont="1" applyBorder="1"/>
    <xf numFmtId="165" fontId="22" fillId="0" borderId="15" xfId="1" applyNumberFormat="1" applyFont="1" applyBorder="1"/>
    <xf numFmtId="9" fontId="22" fillId="0" borderId="9" xfId="2" applyFont="1" applyBorder="1"/>
    <xf numFmtId="0" fontId="24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/>
    <xf numFmtId="167" fontId="10" fillId="0" borderId="1" xfId="0" applyNumberFormat="1" applyFont="1" applyFill="1" applyBorder="1"/>
    <xf numFmtId="167" fontId="10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4" borderId="31" xfId="0" applyFont="1" applyFill="1" applyBorder="1"/>
    <xf numFmtId="0" fontId="9" fillId="0" borderId="1" xfId="0" applyFont="1" applyFill="1" applyBorder="1" applyAlignment="1">
      <alignment horizontal="center"/>
    </xf>
    <xf numFmtId="166" fontId="1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/>
    <xf numFmtId="0" fontId="5" fillId="0" borderId="33" xfId="0" applyFont="1" applyBorder="1" applyAlignment="1"/>
    <xf numFmtId="0" fontId="5" fillId="0" borderId="3" xfId="0" applyFont="1" applyBorder="1" applyAlignment="1"/>
    <xf numFmtId="0" fontId="2" fillId="0" borderId="6" xfId="0" applyFont="1" applyFill="1" applyBorder="1"/>
    <xf numFmtId="0" fontId="2" fillId="0" borderId="7" xfId="0" applyFont="1" applyFill="1" applyBorder="1"/>
    <xf numFmtId="3" fontId="0" fillId="0" borderId="0" xfId="0" applyNumberFormat="1"/>
    <xf numFmtId="3" fontId="25" fillId="0" borderId="0" xfId="0" applyNumberFormat="1" applyFont="1"/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0" applyFont="1"/>
    <xf numFmtId="9" fontId="28" fillId="0" borderId="0" xfId="0" applyNumberFormat="1" applyFont="1"/>
    <xf numFmtId="0" fontId="29" fillId="0" borderId="1" xfId="3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0" borderId="2" xfId="0" applyFont="1" applyBorder="1"/>
    <xf numFmtId="0" fontId="26" fillId="4" borderId="1" xfId="0" applyFont="1" applyFill="1" applyBorder="1"/>
    <xf numFmtId="173" fontId="26" fillId="0" borderId="1" xfId="2" applyNumberFormat="1" applyFont="1" applyBorder="1"/>
    <xf numFmtId="173" fontId="26" fillId="4" borderId="1" xfId="2" applyNumberFormat="1" applyFont="1" applyFill="1" applyBorder="1"/>
    <xf numFmtId="0" fontId="26" fillId="0" borderId="1" xfId="0" applyFont="1" applyBorder="1"/>
    <xf numFmtId="0" fontId="29" fillId="0" borderId="32" xfId="0" applyFont="1" applyBorder="1"/>
    <xf numFmtId="0" fontId="29" fillId="4" borderId="1" xfId="0" applyFont="1" applyFill="1" applyBorder="1"/>
    <xf numFmtId="173" fontId="26" fillId="0" borderId="1" xfId="0" applyNumberFormat="1" applyFont="1" applyBorder="1"/>
    <xf numFmtId="173" fontId="26" fillId="4" borderId="1" xfId="0" applyNumberFormat="1" applyFont="1" applyFill="1" applyBorder="1"/>
    <xf numFmtId="0" fontId="28" fillId="0" borderId="21" xfId="0" applyFont="1" applyBorder="1"/>
    <xf numFmtId="0" fontId="26" fillId="0" borderId="21" xfId="0" applyFont="1" applyBorder="1"/>
    <xf numFmtId="0" fontId="26" fillId="0" borderId="0" xfId="0" applyFont="1" applyBorder="1"/>
    <xf numFmtId="0" fontId="26" fillId="0" borderId="22" xfId="0" applyFont="1" applyBorder="1"/>
    <xf numFmtId="0" fontId="28" fillId="0" borderId="0" xfId="0" applyFont="1" applyBorder="1"/>
    <xf numFmtId="0" fontId="28" fillId="0" borderId="22" xfId="0" applyFont="1" applyBorder="1"/>
    <xf numFmtId="0" fontId="28" fillId="0" borderId="23" xfId="0" applyFont="1" applyBorder="1"/>
    <xf numFmtId="0" fontId="28" fillId="0" borderId="24" xfId="0" applyFont="1" applyBorder="1"/>
    <xf numFmtId="0" fontId="28" fillId="0" borderId="25" xfId="0" applyFont="1" applyBorder="1"/>
    <xf numFmtId="0" fontId="9" fillId="0" borderId="34" xfId="0" applyFont="1" applyFill="1" applyBorder="1" applyAlignment="1">
      <alignment horizontal="center" vertical="center" wrapText="1"/>
    </xf>
    <xf numFmtId="0" fontId="0" fillId="0" borderId="0" xfId="0" applyBorder="1"/>
    <xf numFmtId="0" fontId="9" fillId="2" borderId="28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0" fillId="0" borderId="1" xfId="0" applyFont="1" applyBorder="1"/>
    <xf numFmtId="168" fontId="8" fillId="2" borderId="29" xfId="2" applyNumberFormat="1" applyFont="1" applyFill="1" applyBorder="1"/>
    <xf numFmtId="9" fontId="10" fillId="0" borderId="3" xfId="2" applyFont="1" applyBorder="1"/>
    <xf numFmtId="9" fontId="10" fillId="0" borderId="1" xfId="2" applyFont="1" applyBorder="1"/>
    <xf numFmtId="168" fontId="10" fillId="2" borderId="1" xfId="2" applyNumberFormat="1" applyFont="1" applyFill="1" applyBorder="1"/>
    <xf numFmtId="0" fontId="10" fillId="4" borderId="1" xfId="0" applyFont="1" applyFill="1" applyBorder="1" applyAlignment="1">
      <alignment horizontal="right"/>
    </xf>
    <xf numFmtId="9" fontId="9" fillId="2" borderId="30" xfId="2" applyFont="1" applyFill="1" applyBorder="1"/>
    <xf numFmtId="9" fontId="10" fillId="0" borderId="3" xfId="0" applyNumberFormat="1" applyFont="1" applyBorder="1"/>
    <xf numFmtId="9" fontId="16" fillId="0" borderId="1" xfId="0" applyNumberFormat="1" applyFont="1" applyBorder="1"/>
    <xf numFmtId="168" fontId="16" fillId="2" borderId="1" xfId="0" applyNumberFormat="1" applyFont="1" applyFill="1" applyBorder="1"/>
    <xf numFmtId="2" fontId="8" fillId="0" borderId="1" xfId="2" applyNumberFormat="1" applyFont="1" applyBorder="1"/>
    <xf numFmtId="10" fontId="8" fillId="4" borderId="1" xfId="2" applyNumberFormat="1" applyFont="1" applyFill="1" applyBorder="1"/>
    <xf numFmtId="0" fontId="9" fillId="4" borderId="1" xfId="0" applyFont="1" applyFill="1" applyBorder="1"/>
    <xf numFmtId="10" fontId="9" fillId="4" borderId="1" xfId="2" applyNumberFormat="1" applyFont="1" applyFill="1" applyBorder="1"/>
    <xf numFmtId="167" fontId="8" fillId="0" borderId="1" xfId="0" applyNumberFormat="1" applyFont="1" applyBorder="1"/>
    <xf numFmtId="9" fontId="8" fillId="4" borderId="1" xfId="2" applyFont="1" applyFill="1" applyBorder="1"/>
    <xf numFmtId="9" fontId="9" fillId="4" borderId="1" xfId="2" applyFont="1" applyFill="1" applyBorder="1"/>
    <xf numFmtId="1" fontId="16" fillId="0" borderId="1" xfId="0" applyNumberFormat="1" applyFont="1" applyFill="1" applyBorder="1"/>
    <xf numFmtId="168" fontId="8" fillId="4" borderId="1" xfId="2" applyNumberFormat="1" applyFont="1" applyFill="1" applyBorder="1"/>
    <xf numFmtId="0" fontId="16" fillId="0" borderId="1" xfId="0" applyFont="1" applyFill="1" applyBorder="1"/>
    <xf numFmtId="0" fontId="29" fillId="0" borderId="1" xfId="0" applyFont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/>
    </xf>
    <xf numFmtId="165" fontId="26" fillId="0" borderId="20" xfId="1" applyNumberFormat="1" applyFont="1" applyBorder="1"/>
    <xf numFmtId="165" fontId="26" fillId="0" borderId="7" xfId="1" applyNumberFormat="1" applyFont="1" applyBorder="1"/>
    <xf numFmtId="165" fontId="26" fillId="0" borderId="17" xfId="1" applyNumberFormat="1" applyFont="1" applyBorder="1"/>
    <xf numFmtId="165" fontId="26" fillId="0" borderId="3" xfId="1" applyNumberFormat="1" applyFont="1" applyBorder="1"/>
    <xf numFmtId="172" fontId="26" fillId="0" borderId="1" xfId="2" applyNumberFormat="1" applyFont="1" applyBorder="1"/>
    <xf numFmtId="170" fontId="26" fillId="0" borderId="1" xfId="2" applyNumberFormat="1" applyFont="1" applyBorder="1"/>
    <xf numFmtId="165" fontId="29" fillId="0" borderId="20" xfId="0" applyNumberFormat="1" applyFont="1" applyBorder="1"/>
    <xf numFmtId="165" fontId="29" fillId="0" borderId="8" xfId="0" applyNumberFormat="1" applyFont="1" applyBorder="1"/>
    <xf numFmtId="165" fontId="29" fillId="0" borderId="9" xfId="0" applyNumberFormat="1" applyFont="1" applyBorder="1"/>
    <xf numFmtId="165" fontId="29" fillId="0" borderId="18" xfId="0" applyNumberFormat="1" applyFont="1" applyBorder="1"/>
    <xf numFmtId="165" fontId="29" fillId="0" borderId="3" xfId="0" applyNumberFormat="1" applyFont="1" applyBorder="1"/>
    <xf numFmtId="168" fontId="29" fillId="4" borderId="1" xfId="0" applyNumberFormat="1" applyFont="1" applyFill="1" applyBorder="1"/>
    <xf numFmtId="165" fontId="29" fillId="0" borderId="1" xfId="0" applyNumberFormat="1" applyFont="1" applyBorder="1"/>
    <xf numFmtId="170" fontId="29" fillId="0" borderId="1" xfId="0" applyNumberFormat="1" applyFont="1" applyBorder="1"/>
    <xf numFmtId="168" fontId="26" fillId="0" borderId="1" xfId="0" applyNumberFormat="1" applyFont="1" applyBorder="1"/>
    <xf numFmtId="173" fontId="26" fillId="4" borderId="0" xfId="0" applyNumberFormat="1" applyFont="1" applyFill="1"/>
    <xf numFmtId="9" fontId="28" fillId="4" borderId="1" xfId="2" applyFont="1" applyFill="1" applyBorder="1"/>
    <xf numFmtId="171" fontId="26" fillId="0" borderId="0" xfId="0" applyNumberFormat="1" applyFont="1"/>
    <xf numFmtId="168" fontId="10" fillId="0" borderId="1" xfId="2" applyNumberFormat="1" applyFont="1" applyBorder="1"/>
    <xf numFmtId="168" fontId="10" fillId="0" borderId="1" xfId="0" applyNumberFormat="1" applyFont="1" applyBorder="1"/>
    <xf numFmtId="41" fontId="18" fillId="0" borderId="0" xfId="0" applyNumberFormat="1" applyFont="1"/>
    <xf numFmtId="0" fontId="30" fillId="0" borderId="0" xfId="0" applyFont="1"/>
    <xf numFmtId="0" fontId="13" fillId="0" borderId="0" xfId="0" applyFont="1"/>
    <xf numFmtId="0" fontId="31" fillId="0" borderId="0" xfId="0" applyFont="1" applyBorder="1" applyAlignment="1">
      <alignment horizontal="center"/>
    </xf>
    <xf numFmtId="9" fontId="13" fillId="4" borderId="1" xfId="2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18" fillId="0" borderId="0" xfId="0" applyNumberFormat="1" applyFont="1" applyFill="1"/>
    <xf numFmtId="0" fontId="8" fillId="0" borderId="0" xfId="0" applyFont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168" fontId="10" fillId="0" borderId="0" xfId="2" applyNumberFormat="1" applyFont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18" fillId="0" borderId="0" xfId="0" applyFont="1" applyFill="1" applyBorder="1" applyAlignment="1">
      <alignment horizontal="right"/>
    </xf>
    <xf numFmtId="168" fontId="8" fillId="0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6" fontId="9" fillId="6" borderId="1" xfId="0" applyNumberFormat="1" applyFont="1" applyFill="1" applyBorder="1"/>
    <xf numFmtId="166" fontId="9" fillId="6" borderId="1" xfId="1" applyNumberFormat="1" applyFont="1" applyFill="1" applyBorder="1"/>
    <xf numFmtId="0" fontId="16" fillId="0" borderId="0" xfId="0" applyFont="1"/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/>
    <xf numFmtId="10" fontId="9" fillId="6" borderId="1" xfId="2" applyNumberFormat="1" applyFont="1" applyFill="1" applyBorder="1"/>
    <xf numFmtId="9" fontId="9" fillId="6" borderId="1" xfId="2" applyFont="1" applyFill="1" applyBorder="1"/>
    <xf numFmtId="0" fontId="9" fillId="6" borderId="1" xfId="0" applyFont="1" applyFill="1" applyBorder="1" applyAlignment="1">
      <alignment horizontal="center" vertical="center"/>
    </xf>
    <xf numFmtId="0" fontId="9" fillId="6" borderId="1" xfId="3" applyFont="1" applyFill="1" applyBorder="1" applyAlignment="1">
      <alignment horizontal="center" vertical="center" wrapText="1"/>
    </xf>
    <xf numFmtId="174" fontId="8" fillId="0" borderId="1" xfId="0" applyNumberFormat="1" applyFont="1" applyBorder="1"/>
    <xf numFmtId="174" fontId="9" fillId="0" borderId="1" xfId="0" applyNumberFormat="1" applyFont="1" applyBorder="1"/>
    <xf numFmtId="166" fontId="8" fillId="0" borderId="1" xfId="0" applyNumberFormat="1" applyFont="1" applyBorder="1"/>
    <xf numFmtId="9" fontId="5" fillId="0" borderId="1" xfId="0" applyNumberFormat="1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 wrapText="1"/>
    </xf>
    <xf numFmtId="166" fontId="9" fillId="8" borderId="1" xfId="0" applyNumberFormat="1" applyFont="1" applyFill="1" applyBorder="1"/>
    <xf numFmtId="0" fontId="9" fillId="7" borderId="1" xfId="0" applyFont="1" applyFill="1" applyBorder="1" applyAlignment="1">
      <alignment horizontal="center" vertical="center" wrapText="1"/>
    </xf>
    <xf numFmtId="174" fontId="9" fillId="7" borderId="1" xfId="0" applyNumberFormat="1" applyFont="1" applyFill="1" applyBorder="1"/>
    <xf numFmtId="174" fontId="18" fillId="0" borderId="0" xfId="0" applyNumberFormat="1" applyFont="1"/>
    <xf numFmtId="0" fontId="9" fillId="7" borderId="2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/>
    </xf>
    <xf numFmtId="0" fontId="9" fillId="6" borderId="1" xfId="0" applyFont="1" applyFill="1" applyBorder="1" applyAlignment="1">
      <alignment horizontal="center"/>
    </xf>
    <xf numFmtId="41" fontId="9" fillId="6" borderId="1" xfId="5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 vertical="center"/>
    </xf>
    <xf numFmtId="0" fontId="9" fillId="8" borderId="3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</cellXfs>
  <cellStyles count="6">
    <cellStyle name="Millares" xfId="1" builtinId="3"/>
    <cellStyle name="Millares [0]" xfId="5" builtinId="6"/>
    <cellStyle name="Normal" xfId="0" builtinId="0"/>
    <cellStyle name="Normal 2" xfId="3" xr:uid="{992A81EA-7E29-4FDE-B6DC-D666B04B75B4}"/>
    <cellStyle name="Normal 4" xfId="4" xr:uid="{0D7C20CC-1107-4CB5-A2A2-413B8D4866A7}"/>
    <cellStyle name="Porcentaje" xfId="2" builtinId="5"/>
  </cellStyles>
  <dxfs count="0"/>
  <tableStyles count="0" defaultTableStyle="TableStyleMedium2" defaultPivotStyle="PivotStyleLight16"/>
  <colors>
    <mruColors>
      <color rgb="FF9FFFDF"/>
      <color rgb="FF66FFCC"/>
      <color rgb="FF0000CC"/>
      <color rgb="FFFFDF85"/>
      <color rgb="FFFFCCCC"/>
      <color rgb="FFFFE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42334</xdr:rowOff>
    </xdr:from>
    <xdr:to>
      <xdr:col>1</xdr:col>
      <xdr:colOff>873085</xdr:colOff>
      <xdr:row>0</xdr:row>
      <xdr:rowOff>1100463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id="{9E5B6A7D-28ED-469E-B20E-D2242687CB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42334"/>
          <a:ext cx="1021252" cy="10581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21166</xdr:colOff>
      <xdr:row>0</xdr:row>
      <xdr:rowOff>74083</xdr:rowOff>
    </xdr:from>
    <xdr:to>
      <xdr:col>20</xdr:col>
      <xdr:colOff>576361</xdr:colOff>
      <xdr:row>0</xdr:row>
      <xdr:rowOff>496818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1F3801-D69C-49BA-938A-D280334FC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19916" y="74083"/>
          <a:ext cx="1433612" cy="422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9811C-5016-4ED2-BAA3-0B620A4853EC}">
  <dimension ref="A1:U27"/>
  <sheetViews>
    <sheetView tabSelected="1" zoomScale="90" zoomScaleNormal="90" workbookViewId="0">
      <selection activeCell="S16" sqref="S16"/>
    </sheetView>
  </sheetViews>
  <sheetFormatPr baseColWidth="10" defaultColWidth="11.42578125" defaultRowHeight="12.75"/>
  <cols>
    <col min="1" max="1" width="3.140625" style="13" customWidth="1"/>
    <col min="2" max="2" width="37.28515625" style="13" customWidth="1"/>
    <col min="3" max="3" width="10.85546875" style="13" customWidth="1"/>
    <col min="4" max="10" width="12" style="13" customWidth="1"/>
    <col min="11" max="11" width="11.42578125" style="13" bestFit="1" customWidth="1"/>
    <col min="12" max="12" width="12.42578125" style="13" customWidth="1"/>
    <col min="13" max="13" width="8.42578125" style="13" customWidth="1"/>
    <col min="14" max="14" width="3.140625" style="13" customWidth="1"/>
    <col min="15" max="15" width="7.5703125" style="13" customWidth="1"/>
    <col min="16" max="16" width="14.7109375" style="13" customWidth="1"/>
    <col min="17" max="18" width="13.140625" style="13" customWidth="1"/>
    <col min="19" max="19" width="14.5703125" style="13" customWidth="1"/>
    <col min="20" max="21" width="13.140625" style="13" customWidth="1"/>
    <col min="22" max="16384" width="11.42578125" style="13"/>
  </cols>
  <sheetData>
    <row r="1" spans="1:21" ht="102" customHeight="1"/>
    <row r="2" spans="1:21" ht="17.25">
      <c r="B2" s="15" t="s">
        <v>139</v>
      </c>
    </row>
    <row r="3" spans="1:21" ht="17.25">
      <c r="B3" s="15" t="s">
        <v>142</v>
      </c>
    </row>
    <row r="4" spans="1:21" ht="17.25">
      <c r="B4" s="15" t="s">
        <v>140</v>
      </c>
    </row>
    <row r="5" spans="1:21" ht="15">
      <c r="B5" s="196" t="s">
        <v>138</v>
      </c>
    </row>
    <row r="6" spans="1:21">
      <c r="B6" s="48" t="s">
        <v>137</v>
      </c>
    </row>
    <row r="7" spans="1:21">
      <c r="B7" s="185" t="s">
        <v>141</v>
      </c>
    </row>
    <row r="9" spans="1:21">
      <c r="B9" s="197" t="s">
        <v>122</v>
      </c>
      <c r="C9" s="216" t="s">
        <v>83</v>
      </c>
      <c r="D9" s="216"/>
    </row>
    <row r="10" spans="1:21">
      <c r="B10" s="10" t="s">
        <v>84</v>
      </c>
      <c r="C10" s="215">
        <v>8168144</v>
      </c>
      <c r="D10" s="215"/>
    </row>
    <row r="11" spans="1:21">
      <c r="B11" s="10" t="s">
        <v>85</v>
      </c>
      <c r="C11" s="215">
        <v>0</v>
      </c>
      <c r="D11" s="215"/>
    </row>
    <row r="12" spans="1:21">
      <c r="B12" s="198" t="s">
        <v>123</v>
      </c>
      <c r="C12" s="217">
        <f>SUM(C10:D11)</f>
        <v>8168144</v>
      </c>
      <c r="D12" s="217"/>
      <c r="I12" s="28"/>
      <c r="J12" s="28"/>
    </row>
    <row r="14" spans="1:21" s="186" customFormat="1" ht="25.5" customHeight="1">
      <c r="B14" s="187"/>
      <c r="C14" s="188"/>
      <c r="D14" s="192">
        <v>0.2</v>
      </c>
      <c r="E14" s="192">
        <v>0.2</v>
      </c>
      <c r="F14" s="192">
        <v>0.1</v>
      </c>
      <c r="G14" s="192">
        <v>0.1</v>
      </c>
      <c r="H14" s="192">
        <v>0.15</v>
      </c>
      <c r="I14" s="192">
        <v>0.1</v>
      </c>
      <c r="J14" s="192">
        <v>0.15</v>
      </c>
      <c r="K14" s="189">
        <f>SUM(D14:J14)</f>
        <v>1</v>
      </c>
    </row>
    <row r="15" spans="1:21" ht="25.5">
      <c r="A15" s="57"/>
      <c r="B15" s="57"/>
      <c r="C15" s="14" t="s">
        <v>15</v>
      </c>
      <c r="D15" s="86">
        <f t="shared" ref="D15:J15" si="0">$C$12*D14</f>
        <v>1633628.8</v>
      </c>
      <c r="E15" s="86">
        <f t="shared" si="0"/>
        <v>1633628.8</v>
      </c>
      <c r="F15" s="86">
        <f t="shared" si="0"/>
        <v>816814.4</v>
      </c>
      <c r="G15" s="86">
        <f t="shared" si="0"/>
        <v>816814.4</v>
      </c>
      <c r="H15" s="86">
        <f t="shared" si="0"/>
        <v>1225221.5999999999</v>
      </c>
      <c r="I15" s="86">
        <f t="shared" si="0"/>
        <v>816814.4</v>
      </c>
      <c r="J15" s="86">
        <f t="shared" si="0"/>
        <v>1225221.5999999999</v>
      </c>
      <c r="K15" s="87">
        <f>SUM(D15:J15)</f>
        <v>8168144</v>
      </c>
      <c r="L15" s="57"/>
      <c r="M15" s="57"/>
      <c r="P15" s="218" t="s">
        <v>143</v>
      </c>
      <c r="Q15" s="219"/>
      <c r="R15" s="220"/>
      <c r="S15" s="212" t="s">
        <v>144</v>
      </c>
      <c r="T15" s="213"/>
      <c r="U15" s="214"/>
    </row>
    <row r="16" spans="1:21" ht="76.5">
      <c r="A16" s="201" t="s">
        <v>20</v>
      </c>
      <c r="B16" s="202" t="s">
        <v>1</v>
      </c>
      <c r="C16" s="201" t="s">
        <v>0</v>
      </c>
      <c r="D16" s="193" t="s">
        <v>82</v>
      </c>
      <c r="E16" s="193" t="s">
        <v>16</v>
      </c>
      <c r="F16" s="193" t="s">
        <v>17</v>
      </c>
      <c r="G16" s="193" t="s">
        <v>81</v>
      </c>
      <c r="H16" s="193" t="s">
        <v>21</v>
      </c>
      <c r="I16" s="193" t="s">
        <v>19</v>
      </c>
      <c r="J16" s="193" t="s">
        <v>18</v>
      </c>
      <c r="K16" s="193" t="s">
        <v>135</v>
      </c>
      <c r="L16" s="193" t="s">
        <v>136</v>
      </c>
      <c r="M16" s="193" t="s">
        <v>124</v>
      </c>
      <c r="O16" s="19" t="s">
        <v>0</v>
      </c>
      <c r="P16" s="207" t="s">
        <v>147</v>
      </c>
      <c r="Q16" s="207" t="s">
        <v>145</v>
      </c>
      <c r="R16" s="207" t="s">
        <v>146</v>
      </c>
      <c r="S16" s="209" t="s">
        <v>148</v>
      </c>
      <c r="T16" s="209" t="s">
        <v>145</v>
      </c>
      <c r="U16" s="209" t="s">
        <v>146</v>
      </c>
    </row>
    <row r="17" spans="1:21">
      <c r="A17" s="10">
        <v>1</v>
      </c>
      <c r="B17" s="20" t="s">
        <v>3</v>
      </c>
      <c r="C17" s="10" t="s">
        <v>2</v>
      </c>
      <c r="D17" s="17">
        <f>VLOOKUP(C17,'I.Acreditación Institucional'!$C$4:$K$11,9,0)*$D$15</f>
        <v>518362.98461538448</v>
      </c>
      <c r="E17" s="17">
        <f>VLOOKUP(C17,'II.Doctorados Acreditados'!$C$5:$K$12,9,0)*$E$15</f>
        <v>796892.09756097558</v>
      </c>
      <c r="F17" s="17">
        <f>VLOOKUP(C17,'III. Planta Académica'!$AK$4:$AN$11,4,0)*$F$15</f>
        <v>101730.45369919445</v>
      </c>
      <c r="G17" s="17">
        <f>VLOOKUP(C17,'IV. Publicaciones por acad.'!$C$4:$G$11,5,0)*$G$15</f>
        <v>183610.12015342092</v>
      </c>
      <c r="H17" s="18">
        <f>VLOOKUP(C17,V.Citas!$C$4:$G$12,5,0)*$H$15</f>
        <v>393633.08597275929</v>
      </c>
      <c r="I17" s="17">
        <f>VLOOKUP(C17,'VI. Proyectos'!$C$4:$E$11,3,0)*$I$15</f>
        <v>203341.98143459918</v>
      </c>
      <c r="J17" s="17">
        <f>(VLOOKUP(C17,'VII. Publicaciones'!$O$5:$R$13,2,0)*$J$15)+(VLOOKUP(C17,'VII. Publicaciones'!$O$5:$R$13,3,0)*$J$15)</f>
        <v>210976.85209983081</v>
      </c>
      <c r="K17" s="88">
        <f>SUM(D17:J17)</f>
        <v>2408547.5755361645</v>
      </c>
      <c r="L17" s="194">
        <f t="shared" ref="L17:L22" si="1">ROUND(K17,0)</f>
        <v>2408548</v>
      </c>
      <c r="M17" s="199">
        <f t="shared" ref="M17:M22" si="2">L17/$L$25</f>
        <v>0.29487090335331995</v>
      </c>
      <c r="O17" s="10" t="s">
        <v>2</v>
      </c>
      <c r="P17" s="208">
        <v>637700</v>
      </c>
      <c r="Q17" s="205">
        <f>+P17</f>
        <v>637700</v>
      </c>
      <c r="R17" s="205">
        <f>+P17-Q17</f>
        <v>0</v>
      </c>
      <c r="S17" s="210">
        <f>+L17-P17</f>
        <v>1770848</v>
      </c>
      <c r="T17" s="203">
        <f>+S17</f>
        <v>1770848</v>
      </c>
      <c r="U17" s="203">
        <f>+S17-T17</f>
        <v>0</v>
      </c>
    </row>
    <row r="18" spans="1:21">
      <c r="A18" s="10">
        <v>2</v>
      </c>
      <c r="B18" s="20" t="s">
        <v>5</v>
      </c>
      <c r="C18" s="10" t="s">
        <v>4</v>
      </c>
      <c r="D18" s="17">
        <f>VLOOKUP(C18,'I.Acreditación Institucional'!$C$4:$K$11,9,0)*$D$15</f>
        <v>502655.01538461522</v>
      </c>
      <c r="E18" s="17">
        <f>VLOOKUP(C18,'II.Doctorados Acreditados'!$C$5:$K$12,9,0)*$E$15</f>
        <v>717202.88780487806</v>
      </c>
      <c r="F18" s="17">
        <f>VLOOKUP(C18,'III. Planta Académica'!$AK$4:$AN$11,4,0)*$F$15</f>
        <v>150248.73531028116</v>
      </c>
      <c r="G18" s="17">
        <f>VLOOKUP(C18,'IV. Publicaciones por acad.'!$C$4:$G$11,5,0)*$G$15</f>
        <v>124370.80827046161</v>
      </c>
      <c r="H18" s="18">
        <f>VLOOKUP(C18,V.Citas!$C$4:$G$12,5,0)*$H$15</f>
        <v>69092.84717388959</v>
      </c>
      <c r="I18" s="17">
        <f>VLOOKUP(C18,'VI. Proyectos'!$C$4:$E$11,3,0)*$I$15</f>
        <v>199895.5071729958</v>
      </c>
      <c r="J18" s="17">
        <f>(VLOOKUP(C18,'VII. Publicaciones'!$O$5:$R$13,2,0)*$J$15)+(VLOOKUP(C18,'VII. Publicaciones'!$O$5:$R$13,3,0)*$J$15)</f>
        <v>96332.297911355068</v>
      </c>
      <c r="K18" s="88">
        <f t="shared" ref="K18:K24" si="3">SUM(D18:J18)</f>
        <v>1859798.0990284765</v>
      </c>
      <c r="L18" s="194">
        <f t="shared" si="1"/>
        <v>1859798</v>
      </c>
      <c r="M18" s="199">
        <f t="shared" si="2"/>
        <v>0.22768917883915857</v>
      </c>
      <c r="O18" s="10" t="s">
        <v>4</v>
      </c>
      <c r="P18" s="208">
        <v>491542</v>
      </c>
      <c r="Q18" s="205">
        <f t="shared" ref="Q18:Q24" si="4">+P18</f>
        <v>491542</v>
      </c>
      <c r="R18" s="205">
        <f t="shared" ref="R18:R24" si="5">+P18-Q18</f>
        <v>0</v>
      </c>
      <c r="S18" s="210">
        <f t="shared" ref="S18:S25" si="6">+L18-P18</f>
        <v>1368256</v>
      </c>
      <c r="T18" s="203">
        <f t="shared" ref="T18:T24" si="7">+S18</f>
        <v>1368256</v>
      </c>
      <c r="U18" s="203">
        <f t="shared" ref="U18:U24" si="8">+S18-T18</f>
        <v>0</v>
      </c>
    </row>
    <row r="19" spans="1:21">
      <c r="A19" s="10">
        <v>3</v>
      </c>
      <c r="B19" s="20" t="s">
        <v>9</v>
      </c>
      <c r="C19" s="10" t="s">
        <v>8</v>
      </c>
      <c r="D19" s="17">
        <f>VLOOKUP(C19,'I.Acreditación Institucional'!$C$4:$K$11,9,0)*$D$15</f>
        <v>282743.4461538461</v>
      </c>
      <c r="E19" s="17">
        <f>VLOOKUP(C19,'II.Doctorados Acreditados'!$C$5:$K$12,9,0)*$E$15</f>
        <v>0</v>
      </c>
      <c r="F19" s="17">
        <f>VLOOKUP(C19,'III. Planta Académica'!$AK$4:$AN$11,4,0)*$F$15</f>
        <v>84570.576827169774</v>
      </c>
      <c r="G19" s="17">
        <f>VLOOKUP(C19,'IV. Publicaciones por acad.'!$C$4:$G$11,5,0)*$G$15</f>
        <v>140861.75288468838</v>
      </c>
      <c r="H19" s="18">
        <f>VLOOKUP(C19,V.Citas!$C$4:$G$12,5,0)*$H$15</f>
        <v>308964.69928617415</v>
      </c>
      <c r="I19" s="17">
        <f>VLOOKUP(C19,'VI. Proyectos'!$C$4:$E$11,3,0)*$I$15</f>
        <v>148198.39324894515</v>
      </c>
      <c r="J19" s="17">
        <f>(VLOOKUP(C19,'VII. Publicaciones'!$O$5:$R$13,2,0)*$J$15)+(VLOOKUP(C19,'VII. Publicaciones'!$O$5:$R$13,3,0)*$J$15)</f>
        <v>301708.61698965821</v>
      </c>
      <c r="K19" s="88">
        <f t="shared" si="3"/>
        <v>1267047.4853904815</v>
      </c>
      <c r="L19" s="194">
        <f t="shared" si="1"/>
        <v>1267047</v>
      </c>
      <c r="M19" s="199">
        <f t="shared" si="2"/>
        <v>0.15512055125374871</v>
      </c>
      <c r="O19" s="10" t="s">
        <v>8</v>
      </c>
      <c r="P19" s="208">
        <v>394307</v>
      </c>
      <c r="Q19" s="205">
        <f t="shared" si="4"/>
        <v>394307</v>
      </c>
      <c r="R19" s="205">
        <f t="shared" si="5"/>
        <v>0</v>
      </c>
      <c r="S19" s="210">
        <f t="shared" si="6"/>
        <v>872740</v>
      </c>
      <c r="T19" s="203">
        <f t="shared" si="7"/>
        <v>872740</v>
      </c>
      <c r="U19" s="203">
        <f t="shared" si="8"/>
        <v>0</v>
      </c>
    </row>
    <row r="20" spans="1:21">
      <c r="A20" s="10">
        <v>4</v>
      </c>
      <c r="B20" s="20" t="s">
        <v>11</v>
      </c>
      <c r="C20" s="10" t="s">
        <v>10</v>
      </c>
      <c r="D20" s="17">
        <f>VLOOKUP(C20,'I.Acreditación Institucional'!$C$4:$K$11,9,0)*$D$15</f>
        <v>62831.876923076918</v>
      </c>
      <c r="E20" s="17">
        <f>VLOOKUP(C20,'II.Doctorados Acreditados'!$C$5:$K$12,9,0)*$E$15</f>
        <v>0</v>
      </c>
      <c r="F20" s="17">
        <f>VLOOKUP(C20,'III. Planta Académica'!$AK$4:$AN$11,4,0)*$F$15</f>
        <v>51273.445131897781</v>
      </c>
      <c r="G20" s="17">
        <f>VLOOKUP(C20,'IV. Publicaciones por acad.'!$C$4:$G$11,5,0)*$G$15</f>
        <v>109301.25368490709</v>
      </c>
      <c r="H20" s="18">
        <f>VLOOKUP(C20,V.Citas!$C$4:$G$12,5,0)*$H$15</f>
        <v>116840.48600239643</v>
      </c>
      <c r="I20" s="17">
        <f>VLOOKUP(C20,'VI. Proyectos'!$C$4:$E$11,3,0)*$I$15</f>
        <v>13785.897046413502</v>
      </c>
      <c r="J20" s="17">
        <f>(VLOOKUP(C20,'VII. Publicaciones'!$O$5:$R$13,2,0)*$J$15)+(VLOOKUP(C20,'VII. Publicaciones'!$O$5:$R$13,3,0)*$J$15)</f>
        <v>68669.490595133189</v>
      </c>
      <c r="K20" s="88">
        <f t="shared" si="3"/>
        <v>422702.44938382495</v>
      </c>
      <c r="L20" s="194">
        <f t="shared" si="1"/>
        <v>422702</v>
      </c>
      <c r="M20" s="199">
        <f t="shared" si="2"/>
        <v>5.1750067089904386E-2</v>
      </c>
      <c r="O20" s="10" t="s">
        <v>10</v>
      </c>
      <c r="P20" s="208">
        <v>155519</v>
      </c>
      <c r="Q20" s="205">
        <f t="shared" si="4"/>
        <v>155519</v>
      </c>
      <c r="R20" s="205">
        <f t="shared" si="5"/>
        <v>0</v>
      </c>
      <c r="S20" s="210">
        <f t="shared" si="6"/>
        <v>267183</v>
      </c>
      <c r="T20" s="203">
        <f t="shared" si="7"/>
        <v>267183</v>
      </c>
      <c r="U20" s="203">
        <f t="shared" si="8"/>
        <v>0</v>
      </c>
    </row>
    <row r="21" spans="1:21">
      <c r="A21" s="10">
        <v>5</v>
      </c>
      <c r="B21" s="20" t="s">
        <v>13</v>
      </c>
      <c r="C21" s="10" t="s">
        <v>12</v>
      </c>
      <c r="D21" s="17">
        <f>VLOOKUP(C21,'I.Acreditación Institucional'!$C$4:$K$11,9,0)*$D$15</f>
        <v>62831.876923076918</v>
      </c>
      <c r="E21" s="17">
        <f>VLOOKUP(C21,'II.Doctorados Acreditados'!$C$5:$K$12,9,0)*$E$15</f>
        <v>0</v>
      </c>
      <c r="F21" s="17">
        <f>VLOOKUP(C21,'III. Planta Académica'!$AK$4:$AN$11,4,0)*$F$15</f>
        <v>111841.47954970431</v>
      </c>
      <c r="G21" s="17">
        <f>VLOOKUP(C21,'IV. Publicaciones por acad.'!$C$4:$G$11,5,0)*$G$15</f>
        <v>81388.170133021791</v>
      </c>
      <c r="H21" s="18">
        <f>VLOOKUP(C21,V.Citas!$C$4:$G$12,5,0)*$H$15</f>
        <v>35385.075387734723</v>
      </c>
      <c r="I21" s="17">
        <f>VLOOKUP(C21,'VI. Proyectos'!$C$4:$E$11,3,0)*$I$15</f>
        <v>51697.113924050638</v>
      </c>
      <c r="J21" s="17">
        <f>(VLOOKUP(C21,'VII. Publicaciones'!$O$5:$R$13,2,0)*$J$15)+(VLOOKUP(C21,'VII. Publicaciones'!$O$5:$R$13,3,0)*$J$15)</f>
        <v>24605.880231163559</v>
      </c>
      <c r="K21" s="88">
        <f t="shared" si="3"/>
        <v>367749.59614875197</v>
      </c>
      <c r="L21" s="194">
        <f t="shared" si="1"/>
        <v>367750</v>
      </c>
      <c r="M21" s="199">
        <f t="shared" si="2"/>
        <v>4.5022467772360526E-2</v>
      </c>
      <c r="O21" s="10" t="s">
        <v>12</v>
      </c>
      <c r="P21" s="208">
        <v>143346</v>
      </c>
      <c r="Q21" s="205">
        <f t="shared" si="4"/>
        <v>143346</v>
      </c>
      <c r="R21" s="205">
        <f t="shared" si="5"/>
        <v>0</v>
      </c>
      <c r="S21" s="210">
        <f t="shared" si="6"/>
        <v>224404</v>
      </c>
      <c r="T21" s="203">
        <f t="shared" si="7"/>
        <v>224404</v>
      </c>
      <c r="U21" s="203">
        <f t="shared" si="8"/>
        <v>0</v>
      </c>
    </row>
    <row r="22" spans="1:21">
      <c r="A22" s="10">
        <v>6</v>
      </c>
      <c r="B22" s="20" t="s">
        <v>7</v>
      </c>
      <c r="C22" s="10" t="s">
        <v>6</v>
      </c>
      <c r="D22" s="17">
        <f>VLOOKUP(C22,'I.Acreditación Institucional'!$C$4:$K$11,9,0)*$D$15</f>
        <v>62831.876923076918</v>
      </c>
      <c r="E22" s="17">
        <f>VLOOKUP(C22,'II.Doctorados Acreditados'!$C$5:$K$12,9,0)*$E$15</f>
        <v>0</v>
      </c>
      <c r="F22" s="17">
        <f>VLOOKUP(C22,'III. Planta Académica'!$AK$4:$AN$11,4,0)*$F$15</f>
        <v>67160.104746171623</v>
      </c>
      <c r="G22" s="17">
        <f>VLOOKUP(C22,'IV. Publicaciones por acad.'!$C$4:$G$11,5,0)*$G$15</f>
        <v>27942.042677354522</v>
      </c>
      <c r="H22" s="18">
        <f>VLOOKUP(C22,V.Citas!$C$4:$G$12,5,0)*$H$15</f>
        <v>38540.966089245405</v>
      </c>
      <c r="I22" s="17">
        <f>VLOOKUP(C22,'VI. Proyectos'!$C$4:$E$11,3,0)*$I$15</f>
        <v>17232.371308016878</v>
      </c>
      <c r="J22" s="17">
        <f>(VLOOKUP(C22,'VII. Publicaciones'!$O$5:$R$13,2,0)*$J$15)+(VLOOKUP(C22,'VII. Publicaciones'!$O$5:$R$13,3,0)*$J$15)</f>
        <v>170383.10444875853</v>
      </c>
      <c r="K22" s="88">
        <f t="shared" si="3"/>
        <v>384090.46619262389</v>
      </c>
      <c r="L22" s="194">
        <f t="shared" si="1"/>
        <v>384090</v>
      </c>
      <c r="M22" s="199">
        <f t="shared" si="2"/>
        <v>4.7022922220763985E-2</v>
      </c>
      <c r="O22" s="10" t="s">
        <v>6</v>
      </c>
      <c r="P22" s="208">
        <v>128539</v>
      </c>
      <c r="Q22" s="205">
        <f t="shared" si="4"/>
        <v>128539</v>
      </c>
      <c r="R22" s="205">
        <f t="shared" si="5"/>
        <v>0</v>
      </c>
      <c r="S22" s="210">
        <f t="shared" si="6"/>
        <v>255551</v>
      </c>
      <c r="T22" s="203">
        <f t="shared" si="7"/>
        <v>255551</v>
      </c>
      <c r="U22" s="203">
        <f t="shared" si="8"/>
        <v>0</v>
      </c>
    </row>
    <row r="23" spans="1:21">
      <c r="A23" s="10">
        <v>7</v>
      </c>
      <c r="B23" s="20" t="s">
        <v>98</v>
      </c>
      <c r="C23" s="10" t="s">
        <v>99</v>
      </c>
      <c r="D23" s="17">
        <f>VLOOKUP(C23,'I.Acreditación Institucional'!$C$4:$K$11,9,0)*$D$15</f>
        <v>62831.876923076918</v>
      </c>
      <c r="E23" s="17">
        <f>VLOOKUP(C23,'II.Doctorados Acreditados'!$C$5:$K$12,9,0)*$E$15</f>
        <v>0</v>
      </c>
      <c r="F23" s="17">
        <f>VLOOKUP(C23,'III. Planta Académica'!$AK$4:$AN$11,4,0)*$F$15</f>
        <v>101362.21274965844</v>
      </c>
      <c r="G23" s="17">
        <f>VLOOKUP(C23,'IV. Publicaciones por acad.'!$C$4:$G$11,5,0)*$G$15</f>
        <v>95236.828174979892</v>
      </c>
      <c r="H23" s="18">
        <f>VLOOKUP(C23,V.Citas!$C$4:$G$12,5,0)*$H$15</f>
        <v>126379.01008823936</v>
      </c>
      <c r="I23" s="17">
        <f>VLOOKUP(C23,'VI. Proyectos'!$C$4:$E$11,3,0)*$I$15</f>
        <v>20678.845569620255</v>
      </c>
      <c r="J23" s="17">
        <f>(VLOOKUP(C23,'VII. Publicaciones'!$O$5:$R$13,2,0)*$J$15)+(VLOOKUP(C23,'VII. Publicaciones'!$O$5:$R$13,3,0)*$J$15)</f>
        <v>111517.86970418719</v>
      </c>
      <c r="K23" s="88">
        <f t="shared" si="3"/>
        <v>518006.64320976211</v>
      </c>
      <c r="L23" s="194">
        <f>ROUND(K23,0)</f>
        <v>518007</v>
      </c>
      <c r="M23" s="199">
        <f>L23/$L$25</f>
        <v>6.3417956392541566E-2</v>
      </c>
      <c r="O23" s="10" t="s">
        <v>99</v>
      </c>
      <c r="P23" s="208">
        <v>186907</v>
      </c>
      <c r="Q23" s="205">
        <f t="shared" si="4"/>
        <v>186907</v>
      </c>
      <c r="R23" s="205">
        <f t="shared" si="5"/>
        <v>0</v>
      </c>
      <c r="S23" s="210">
        <f t="shared" si="6"/>
        <v>331100</v>
      </c>
      <c r="T23" s="203">
        <f t="shared" si="7"/>
        <v>331100</v>
      </c>
      <c r="U23" s="203">
        <f t="shared" si="8"/>
        <v>0</v>
      </c>
    </row>
    <row r="24" spans="1:21">
      <c r="A24" s="10">
        <v>8</v>
      </c>
      <c r="B24" s="20" t="s">
        <v>100</v>
      </c>
      <c r="C24" s="10" t="s">
        <v>101</v>
      </c>
      <c r="D24" s="17">
        <f>VLOOKUP(C24,'I.Acreditación Institucional'!$C$4:$K$11,9,0)*$D$15</f>
        <v>78539.846153846142</v>
      </c>
      <c r="E24" s="17">
        <f>VLOOKUP(C24,'II.Doctorados Acreditados'!$C$5:$K$12,9,0)*$E$15</f>
        <v>119533.81463414634</v>
      </c>
      <c r="F24" s="17">
        <f>VLOOKUP(C24,'III. Planta Académica'!$AK$4:$AN$11,4,0)*$F$15</f>
        <v>148627.3919859225</v>
      </c>
      <c r="G24" s="17">
        <f>VLOOKUP(C24,'IV. Publicaciones por acad.'!$C$4:$G$11,5,0)*$G$15</f>
        <v>54103.424021165898</v>
      </c>
      <c r="H24" s="18">
        <f>VLOOKUP(C24,V.Citas!$C$4:$G$12,5,0)*$H$15</f>
        <v>136385.42999956105</v>
      </c>
      <c r="I24" s="17">
        <f>VLOOKUP(C24,'VI. Proyectos'!$C$4:$E$11,3,0)*$I$15</f>
        <v>161984.29029535866</v>
      </c>
      <c r="J24" s="17">
        <f>(VLOOKUP(C24,'VII. Publicaciones'!$O$5:$R$13,2,0)*$J$15)+(VLOOKUP(C24,'VII. Publicaciones'!$O$5:$R$13,3,0)*$J$15)</f>
        <v>241027.48801991332</v>
      </c>
      <c r="K24" s="88">
        <f t="shared" si="3"/>
        <v>940201.68510991381</v>
      </c>
      <c r="L24" s="194">
        <f>ROUND(K24,0)</f>
        <v>940202</v>
      </c>
      <c r="M24" s="199">
        <f>L24/$L$25</f>
        <v>0.11510595307820234</v>
      </c>
      <c r="O24" s="10" t="s">
        <v>101</v>
      </c>
      <c r="P24" s="208">
        <v>312583</v>
      </c>
      <c r="Q24" s="205">
        <f t="shared" si="4"/>
        <v>312583</v>
      </c>
      <c r="R24" s="205">
        <f t="shared" si="5"/>
        <v>0</v>
      </c>
      <c r="S24" s="210">
        <f t="shared" si="6"/>
        <v>627619</v>
      </c>
      <c r="T24" s="203">
        <f t="shared" si="7"/>
        <v>627619</v>
      </c>
      <c r="U24" s="203">
        <f t="shared" si="8"/>
        <v>0</v>
      </c>
    </row>
    <row r="25" spans="1:21">
      <c r="C25" s="21" t="s">
        <v>14</v>
      </c>
      <c r="D25" s="11">
        <f t="shared" ref="D25:M25" si="9">SUM(D17:D24)</f>
        <v>1633628.7999999993</v>
      </c>
      <c r="E25" s="11">
        <f t="shared" si="9"/>
        <v>1633628.8</v>
      </c>
      <c r="F25" s="11">
        <f t="shared" si="9"/>
        <v>816814.4</v>
      </c>
      <c r="G25" s="11">
        <f t="shared" si="9"/>
        <v>816814.40000000014</v>
      </c>
      <c r="H25" s="11">
        <f t="shared" si="9"/>
        <v>1225221.6000000001</v>
      </c>
      <c r="I25" s="11">
        <f t="shared" si="9"/>
        <v>816814.39999999991</v>
      </c>
      <c r="J25" s="11">
        <f t="shared" si="9"/>
        <v>1225221.5999999999</v>
      </c>
      <c r="K25" s="11">
        <f t="shared" si="9"/>
        <v>8168143.9999999981</v>
      </c>
      <c r="L25" s="195">
        <f t="shared" si="9"/>
        <v>8168144</v>
      </c>
      <c r="M25" s="200">
        <f t="shared" si="9"/>
        <v>1</v>
      </c>
      <c r="O25" s="21" t="s">
        <v>14</v>
      </c>
      <c r="P25" s="208">
        <f>SUM(P17:P24)</f>
        <v>2450443</v>
      </c>
      <c r="Q25" s="88">
        <f t="shared" ref="Q25" si="10">SUM(Q17:Q24)</f>
        <v>2450443</v>
      </c>
      <c r="R25" s="88">
        <f>SUM(R17:R24)</f>
        <v>0</v>
      </c>
      <c r="S25" s="210">
        <f t="shared" si="6"/>
        <v>5717701</v>
      </c>
      <c r="T25" s="204">
        <f>SUM(T17:T24)</f>
        <v>5717701</v>
      </c>
      <c r="U25" s="204">
        <f>SUM(U17:U24)</f>
        <v>0</v>
      </c>
    </row>
    <row r="26" spans="1:21" s="48" customFormat="1" ht="12">
      <c r="B26" s="190" t="s">
        <v>132</v>
      </c>
      <c r="D26" s="48" t="s">
        <v>58</v>
      </c>
      <c r="E26" s="48" t="s">
        <v>59</v>
      </c>
      <c r="F26" s="48" t="s">
        <v>68</v>
      </c>
      <c r="G26" s="48" t="s">
        <v>69</v>
      </c>
      <c r="H26" s="48" t="s">
        <v>70</v>
      </c>
      <c r="I26" s="48" t="s">
        <v>71</v>
      </c>
      <c r="J26" s="48" t="s">
        <v>72</v>
      </c>
      <c r="L26" s="179">
        <f>+L25-C12</f>
        <v>0</v>
      </c>
      <c r="S26" s="211">
        <f>+S25+P25</f>
        <v>8168144</v>
      </c>
    </row>
    <row r="27" spans="1:21" s="48" customFormat="1" ht="12">
      <c r="A27" s="180"/>
      <c r="B27" s="191" t="s">
        <v>133</v>
      </c>
      <c r="C27" s="180"/>
      <c r="D27" s="180" t="s">
        <v>65</v>
      </c>
      <c r="E27" s="180" t="s">
        <v>56</v>
      </c>
      <c r="F27" s="180" t="s">
        <v>80</v>
      </c>
      <c r="G27" s="180" t="s">
        <v>54</v>
      </c>
      <c r="H27" s="180" t="s">
        <v>54</v>
      </c>
      <c r="I27" s="180" t="s">
        <v>54</v>
      </c>
      <c r="J27" s="180" t="s">
        <v>80</v>
      </c>
      <c r="K27" s="180"/>
      <c r="L27" s="180"/>
      <c r="M27" s="180"/>
      <c r="S27" s="179">
        <f>+S26-C12</f>
        <v>0</v>
      </c>
    </row>
  </sheetData>
  <mergeCells count="6">
    <mergeCell ref="S15:U15"/>
    <mergeCell ref="C11:D11"/>
    <mergeCell ref="C9:D9"/>
    <mergeCell ref="C12:D12"/>
    <mergeCell ref="C10:D10"/>
    <mergeCell ref="P15:R15"/>
  </mergeCells>
  <phoneticPr fontId="19" type="noConversion"/>
  <pageMargins left="0.31496062992125984" right="0.31496062992125984" top="0.74803149606299213" bottom="0.74803149606299213" header="0.31496062992125984" footer="0.31496062992125984"/>
  <pageSetup paperSize="14" scale="80" orientation="landscape" r:id="rId1"/>
  <headerFooter>
    <oddFooter>&amp;C&amp;F&amp;R&amp;A</oddFooter>
  </headerFooter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59F0-F738-4FBF-862F-E4692F81F592}">
  <sheetPr>
    <pageSetUpPr fitToPage="1"/>
  </sheetPr>
  <dimension ref="A1:M16"/>
  <sheetViews>
    <sheetView topLeftCell="D1" workbookViewId="0">
      <selection activeCell="K5" sqref="K5"/>
    </sheetView>
  </sheetViews>
  <sheetFormatPr baseColWidth="10" defaultRowHeight="15"/>
  <cols>
    <col min="1" max="1" width="2.85546875" bestFit="1" customWidth="1"/>
    <col min="2" max="2" width="37.5703125" bestFit="1" customWidth="1"/>
    <col min="4" max="4" width="12" customWidth="1"/>
    <col min="5" max="6" width="10.42578125" customWidth="1"/>
    <col min="7" max="9" width="11.42578125" customWidth="1"/>
    <col min="10" max="10" width="14.7109375" bestFit="1" customWidth="1"/>
    <col min="11" max="11" width="10.85546875" customWidth="1"/>
  </cols>
  <sheetData>
    <row r="1" spans="1:13">
      <c r="C1" s="22">
        <v>1</v>
      </c>
      <c r="D1" s="22">
        <v>2</v>
      </c>
      <c r="E1" s="22">
        <v>3</v>
      </c>
      <c r="F1" s="22">
        <v>4</v>
      </c>
      <c r="G1" s="22">
        <v>5</v>
      </c>
      <c r="H1" s="22">
        <v>6</v>
      </c>
      <c r="I1" s="22">
        <v>7</v>
      </c>
      <c r="J1" s="22">
        <v>8</v>
      </c>
      <c r="K1" s="22">
        <v>9</v>
      </c>
    </row>
    <row r="2" spans="1:13" ht="15.75">
      <c r="D2" s="221" t="s">
        <v>121</v>
      </c>
      <c r="E2" s="221"/>
      <c r="F2" s="221"/>
      <c r="G2" s="206">
        <v>0.4</v>
      </c>
      <c r="H2" s="206">
        <v>0.4</v>
      </c>
      <c r="I2" s="206">
        <v>0.2</v>
      </c>
      <c r="J2" s="89"/>
      <c r="K2" s="90"/>
      <c r="L2" s="94"/>
      <c r="M2" s="124"/>
    </row>
    <row r="3" spans="1:13" ht="51">
      <c r="A3" s="19" t="s">
        <v>20</v>
      </c>
      <c r="B3" s="4" t="s">
        <v>1</v>
      </c>
      <c r="C3" s="49" t="s">
        <v>0</v>
      </c>
      <c r="D3" s="14" t="s">
        <v>119</v>
      </c>
      <c r="E3" s="14" t="s">
        <v>23</v>
      </c>
      <c r="F3" s="14" t="s">
        <v>120</v>
      </c>
      <c r="G3" s="23" t="s">
        <v>39</v>
      </c>
      <c r="H3" s="23" t="s">
        <v>38</v>
      </c>
      <c r="I3" s="23" t="s">
        <v>40</v>
      </c>
      <c r="J3" s="14" t="s">
        <v>125</v>
      </c>
      <c r="K3" s="51" t="s">
        <v>79</v>
      </c>
      <c r="L3" s="123"/>
      <c r="M3" s="124"/>
    </row>
    <row r="4" spans="1:13">
      <c r="A4" s="10">
        <v>1</v>
      </c>
      <c r="B4" s="20" t="s">
        <v>3</v>
      </c>
      <c r="C4" s="50" t="s">
        <v>2</v>
      </c>
      <c r="D4" s="79" t="s">
        <v>130</v>
      </c>
      <c r="E4" s="79">
        <v>5</v>
      </c>
      <c r="F4" s="79">
        <v>5</v>
      </c>
      <c r="G4" s="80">
        <f>IF(D4="SI",100,0)</f>
        <v>100</v>
      </c>
      <c r="H4" s="80">
        <f>IF(E4=5,100,0)</f>
        <v>100</v>
      </c>
      <c r="I4" s="81">
        <f>F4*100/7</f>
        <v>71.428571428571431</v>
      </c>
      <c r="J4" s="82">
        <f>G4*$G$2+H4*$H$2+I4*$I$2</f>
        <v>94.285714285714292</v>
      </c>
      <c r="K4" s="52">
        <f t="shared" ref="K4:K11" si="0">+J4/$J$12</f>
        <v>0.31730769230769224</v>
      </c>
      <c r="L4" s="93"/>
    </row>
    <row r="5" spans="1:13">
      <c r="A5" s="10">
        <v>2</v>
      </c>
      <c r="B5" s="20" t="s">
        <v>5</v>
      </c>
      <c r="C5" s="50" t="s">
        <v>4</v>
      </c>
      <c r="D5" s="79" t="s">
        <v>130</v>
      </c>
      <c r="E5" s="79">
        <v>5</v>
      </c>
      <c r="F5" s="79">
        <v>4</v>
      </c>
      <c r="G5" s="80">
        <f t="shared" ref="G5:G11" si="1">IF(D5="SI",100,0)</f>
        <v>100</v>
      </c>
      <c r="H5" s="80">
        <f t="shared" ref="H5:H11" si="2">IF(E5=5,100,0)</f>
        <v>100</v>
      </c>
      <c r="I5" s="81">
        <f t="shared" ref="I5:I11" si="3">F5*100/7</f>
        <v>57.142857142857146</v>
      </c>
      <c r="J5" s="82">
        <f t="shared" ref="J5:J11" si="4">G5*$G$2+H5*$H$2+I5*$I$2</f>
        <v>91.428571428571431</v>
      </c>
      <c r="K5" s="52">
        <f t="shared" si="0"/>
        <v>0.3076923076923076</v>
      </c>
      <c r="L5" s="93"/>
    </row>
    <row r="6" spans="1:13">
      <c r="A6" s="10">
        <v>4</v>
      </c>
      <c r="B6" s="20" t="s">
        <v>9</v>
      </c>
      <c r="C6" s="50" t="s">
        <v>8</v>
      </c>
      <c r="D6" s="79" t="s">
        <v>130</v>
      </c>
      <c r="E6" s="79">
        <v>4</v>
      </c>
      <c r="F6" s="79">
        <v>4</v>
      </c>
      <c r="G6" s="80">
        <f>IF(D6="SI",100,0)</f>
        <v>100</v>
      </c>
      <c r="H6" s="80">
        <f>IF(E6=5,100,0)</f>
        <v>0</v>
      </c>
      <c r="I6" s="81">
        <f>F6*100/7</f>
        <v>57.142857142857146</v>
      </c>
      <c r="J6" s="82">
        <f>G6*$G$2+H6*$H$2+I6*$I$2</f>
        <v>51.428571428571431</v>
      </c>
      <c r="K6" s="52">
        <f t="shared" si="0"/>
        <v>0.17307692307692304</v>
      </c>
      <c r="L6" s="93"/>
    </row>
    <row r="7" spans="1:13">
      <c r="A7" s="10">
        <v>5</v>
      </c>
      <c r="B7" s="20" t="s">
        <v>11</v>
      </c>
      <c r="C7" s="50" t="s">
        <v>10</v>
      </c>
      <c r="D7" s="79" t="s">
        <v>131</v>
      </c>
      <c r="E7" s="79">
        <v>3</v>
      </c>
      <c r="F7" s="79">
        <v>4</v>
      </c>
      <c r="G7" s="80">
        <f>IF(D7="SI",100,0)</f>
        <v>0</v>
      </c>
      <c r="H7" s="80">
        <f>IF(E7=5,100,0)</f>
        <v>0</v>
      </c>
      <c r="I7" s="81">
        <f>F7*100/7</f>
        <v>57.142857142857146</v>
      </c>
      <c r="J7" s="82">
        <f>G7*$G$2+H7*$H$2+I7*$I$2</f>
        <v>11.428571428571431</v>
      </c>
      <c r="K7" s="52">
        <f t="shared" si="0"/>
        <v>3.8461538461538457E-2</v>
      </c>
      <c r="L7" s="93"/>
    </row>
    <row r="8" spans="1:13">
      <c r="A8" s="10">
        <v>6</v>
      </c>
      <c r="B8" s="20" t="s">
        <v>13</v>
      </c>
      <c r="C8" s="50" t="s">
        <v>12</v>
      </c>
      <c r="D8" s="79" t="s">
        <v>131</v>
      </c>
      <c r="E8" s="79">
        <v>3</v>
      </c>
      <c r="F8" s="79">
        <v>4</v>
      </c>
      <c r="G8" s="80">
        <f>IF(D8="SI",100,0)</f>
        <v>0</v>
      </c>
      <c r="H8" s="80">
        <f>IF(E8=5,100,0)</f>
        <v>0</v>
      </c>
      <c r="I8" s="81">
        <f>F8*100/7</f>
        <v>57.142857142857146</v>
      </c>
      <c r="J8" s="82">
        <f>G8*$G$2+H8*$H$2+I8*$I$2</f>
        <v>11.428571428571431</v>
      </c>
      <c r="K8" s="52">
        <f t="shared" si="0"/>
        <v>3.8461538461538457E-2</v>
      </c>
      <c r="L8" s="93"/>
    </row>
    <row r="9" spans="1:13">
      <c r="A9" s="10">
        <v>3</v>
      </c>
      <c r="B9" s="20" t="s">
        <v>7</v>
      </c>
      <c r="C9" s="50" t="s">
        <v>6</v>
      </c>
      <c r="D9" s="79" t="s">
        <v>131</v>
      </c>
      <c r="E9" s="79">
        <v>2</v>
      </c>
      <c r="F9" s="79">
        <v>4</v>
      </c>
      <c r="G9" s="80">
        <f t="shared" si="1"/>
        <v>0</v>
      </c>
      <c r="H9" s="80">
        <f t="shared" si="2"/>
        <v>0</v>
      </c>
      <c r="I9" s="81">
        <f t="shared" si="3"/>
        <v>57.142857142857146</v>
      </c>
      <c r="J9" s="82">
        <f t="shared" si="4"/>
        <v>11.428571428571431</v>
      </c>
      <c r="K9" s="52">
        <f t="shared" si="0"/>
        <v>3.8461538461538457E-2</v>
      </c>
      <c r="L9" s="93"/>
    </row>
    <row r="10" spans="1:13">
      <c r="A10" s="10">
        <v>7</v>
      </c>
      <c r="B10" s="20" t="s">
        <v>98</v>
      </c>
      <c r="C10" s="50" t="s">
        <v>99</v>
      </c>
      <c r="D10" s="79" t="s">
        <v>131</v>
      </c>
      <c r="E10" s="79">
        <v>3</v>
      </c>
      <c r="F10" s="79">
        <v>4</v>
      </c>
      <c r="G10" s="80">
        <f t="shared" si="1"/>
        <v>0</v>
      </c>
      <c r="H10" s="80">
        <f t="shared" si="2"/>
        <v>0</v>
      </c>
      <c r="I10" s="81">
        <f t="shared" si="3"/>
        <v>57.142857142857146</v>
      </c>
      <c r="J10" s="82">
        <f t="shared" si="4"/>
        <v>11.428571428571431</v>
      </c>
      <c r="K10" s="52">
        <f t="shared" si="0"/>
        <v>3.8461538461538457E-2</v>
      </c>
      <c r="L10" s="93"/>
    </row>
    <row r="11" spans="1:13">
      <c r="A11" s="10">
        <v>8</v>
      </c>
      <c r="B11" s="20" t="s">
        <v>100</v>
      </c>
      <c r="C11" s="50" t="s">
        <v>101</v>
      </c>
      <c r="D11" s="79" t="s">
        <v>131</v>
      </c>
      <c r="E11" s="79">
        <v>3</v>
      </c>
      <c r="F11" s="79">
        <v>5</v>
      </c>
      <c r="G11" s="80">
        <f t="shared" si="1"/>
        <v>0</v>
      </c>
      <c r="H11" s="80">
        <f t="shared" si="2"/>
        <v>0</v>
      </c>
      <c r="I11" s="81">
        <f t="shared" si="3"/>
        <v>71.428571428571431</v>
      </c>
      <c r="J11" s="82">
        <f t="shared" si="4"/>
        <v>14.285714285714286</v>
      </c>
      <c r="K11" s="52">
        <f t="shared" si="0"/>
        <v>4.8076923076923066E-2</v>
      </c>
      <c r="L11" s="93"/>
    </row>
    <row r="12" spans="1:13">
      <c r="A12" s="13"/>
      <c r="B12" s="13"/>
      <c r="C12" s="84" t="s">
        <v>14</v>
      </c>
      <c r="D12" s="21"/>
      <c r="E12" s="21"/>
      <c r="F12" s="21"/>
      <c r="G12" s="81">
        <f>SUM(G4:G11)</f>
        <v>300</v>
      </c>
      <c r="H12" s="80">
        <f>SUM(H4:H11)</f>
        <v>200</v>
      </c>
      <c r="I12" s="81">
        <f>SUM(I4:I11)</f>
        <v>485.71428571428578</v>
      </c>
      <c r="J12" s="82">
        <f>SUM(J4:J11)</f>
        <v>297.14285714285722</v>
      </c>
      <c r="K12" s="53">
        <f>SUM(K4:K11)</f>
        <v>0.99999999999999956</v>
      </c>
    </row>
    <row r="14" spans="1:13">
      <c r="D14" t="s">
        <v>51</v>
      </c>
      <c r="E14" t="s">
        <v>51</v>
      </c>
      <c r="F14" t="s">
        <v>51</v>
      </c>
      <c r="G14" t="s">
        <v>52</v>
      </c>
      <c r="H14" t="s">
        <v>53</v>
      </c>
      <c r="I14" t="s">
        <v>54</v>
      </c>
      <c r="J14" t="s">
        <v>78</v>
      </c>
      <c r="K14" t="s">
        <v>57</v>
      </c>
    </row>
    <row r="15" spans="1:13">
      <c r="J15" t="s">
        <v>56</v>
      </c>
    </row>
    <row r="16" spans="1:13" ht="15.75">
      <c r="M16" s="94"/>
    </row>
  </sheetData>
  <mergeCells count="1">
    <mergeCell ref="D2:F2"/>
  </mergeCells>
  <phoneticPr fontId="19" type="noConversion"/>
  <pageMargins left="0.70866141732283472" right="0.70866141732283472" top="0.74803149606299213" bottom="0.74803149606299213" header="0.31496062992125984" footer="0.31496062992125984"/>
  <pageSetup paperSize="14" scale="94" orientation="landscape" verticalDpi="0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FFA8-87F9-49E4-ADD6-7341A1B9CFD1}">
  <dimension ref="A1:M16"/>
  <sheetViews>
    <sheetView topLeftCell="C1" zoomScaleNormal="100" workbookViewId="0">
      <selection activeCell="K5" sqref="K5"/>
    </sheetView>
  </sheetViews>
  <sheetFormatPr baseColWidth="10" defaultRowHeight="15"/>
  <cols>
    <col min="1" max="1" width="2.85546875" bestFit="1" customWidth="1"/>
    <col min="2" max="2" width="37.5703125" bestFit="1" customWidth="1"/>
    <col min="4" max="4" width="10.42578125" customWidth="1"/>
    <col min="5" max="5" width="10.85546875" customWidth="1"/>
    <col min="6" max="6" width="10.5703125" customWidth="1"/>
    <col min="7" max="8" width="10.42578125" customWidth="1"/>
    <col min="9" max="9" width="10" customWidth="1"/>
  </cols>
  <sheetData>
    <row r="1" spans="1:13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/>
    </row>
    <row r="2" spans="1:13"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>
      <c r="B3" s="58"/>
      <c r="D3" s="184">
        <v>2</v>
      </c>
      <c r="E3" s="184">
        <v>3</v>
      </c>
      <c r="F3" s="184">
        <v>4</v>
      </c>
      <c r="G3" s="184">
        <v>5</v>
      </c>
      <c r="H3" s="184">
        <v>6</v>
      </c>
    </row>
    <row r="4" spans="1:13" ht="51">
      <c r="A4" s="19" t="s">
        <v>20</v>
      </c>
      <c r="B4" s="4" t="s">
        <v>1</v>
      </c>
      <c r="C4" s="49" t="s">
        <v>0</v>
      </c>
      <c r="D4" s="23" t="s">
        <v>73</v>
      </c>
      <c r="E4" s="23" t="s">
        <v>74</v>
      </c>
      <c r="F4" s="23" t="s">
        <v>75</v>
      </c>
      <c r="G4" s="23" t="s">
        <v>76</v>
      </c>
      <c r="H4" s="23" t="s">
        <v>86</v>
      </c>
      <c r="I4" s="23" t="s">
        <v>77</v>
      </c>
      <c r="J4" s="23" t="s">
        <v>50</v>
      </c>
      <c r="K4" s="51" t="s">
        <v>49</v>
      </c>
      <c r="M4" s="45"/>
    </row>
    <row r="5" spans="1:13">
      <c r="A5" s="10">
        <v>1</v>
      </c>
      <c r="B5" s="20" t="s">
        <v>3</v>
      </c>
      <c r="C5" s="50" t="s">
        <v>2</v>
      </c>
      <c r="D5" s="10">
        <v>1</v>
      </c>
      <c r="E5" s="10">
        <v>3</v>
      </c>
      <c r="F5" s="10">
        <v>1</v>
      </c>
      <c r="G5" s="10">
        <v>1</v>
      </c>
      <c r="H5" s="10">
        <v>0</v>
      </c>
      <c r="I5" s="10">
        <v>6</v>
      </c>
      <c r="J5" s="46">
        <f>IFERROR((D5*$D$3+E5*$E$3+F5*$F$3+G5*$G$3+H5*$H$3),0)</f>
        <v>20</v>
      </c>
      <c r="K5" s="54">
        <f>J5/$J$13</f>
        <v>0.48780487804878048</v>
      </c>
      <c r="L5" s="16"/>
      <c r="M5" s="47"/>
    </row>
    <row r="6" spans="1:13">
      <c r="A6" s="10">
        <v>2</v>
      </c>
      <c r="B6" s="20" t="s">
        <v>5</v>
      </c>
      <c r="C6" s="50" t="s">
        <v>4</v>
      </c>
      <c r="D6" s="10">
        <v>0</v>
      </c>
      <c r="E6" s="10">
        <v>1</v>
      </c>
      <c r="F6" s="10">
        <v>1</v>
      </c>
      <c r="G6" s="10">
        <v>1</v>
      </c>
      <c r="H6" s="10">
        <v>1</v>
      </c>
      <c r="I6" s="10">
        <v>4</v>
      </c>
      <c r="J6" s="46">
        <f t="shared" ref="J6:J12" si="0">IFERROR((D6*$D$3+E6*$E$3+F6*$F$3+G6*$G$3+H6*$H$3),0)</f>
        <v>18</v>
      </c>
      <c r="K6" s="54">
        <f t="shared" ref="K6:K12" si="1">J6/$J$13</f>
        <v>0.43902439024390244</v>
      </c>
      <c r="L6" s="16"/>
      <c r="M6" s="47"/>
    </row>
    <row r="7" spans="1:13">
      <c r="A7" s="10">
        <v>3</v>
      </c>
      <c r="B7" s="20" t="s">
        <v>7</v>
      </c>
      <c r="C7" s="50" t="s">
        <v>6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46">
        <f t="shared" si="0"/>
        <v>0</v>
      </c>
      <c r="K7" s="54">
        <f t="shared" si="1"/>
        <v>0</v>
      </c>
      <c r="L7" s="16"/>
      <c r="M7" s="47"/>
    </row>
    <row r="8" spans="1:13">
      <c r="A8" s="10">
        <v>4</v>
      </c>
      <c r="B8" s="20" t="s">
        <v>9</v>
      </c>
      <c r="C8" s="50" t="s">
        <v>8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46">
        <f t="shared" si="0"/>
        <v>0</v>
      </c>
      <c r="K8" s="54">
        <f t="shared" si="1"/>
        <v>0</v>
      </c>
      <c r="L8" s="16"/>
      <c r="M8" s="47"/>
    </row>
    <row r="9" spans="1:13">
      <c r="A9" s="10">
        <v>5</v>
      </c>
      <c r="B9" s="20" t="s">
        <v>11</v>
      </c>
      <c r="C9" s="50" t="s">
        <v>10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46">
        <f t="shared" si="0"/>
        <v>0</v>
      </c>
      <c r="K9" s="54">
        <f t="shared" si="1"/>
        <v>0</v>
      </c>
      <c r="L9" s="16"/>
      <c r="M9" s="47"/>
    </row>
    <row r="10" spans="1:13">
      <c r="A10" s="10">
        <v>6</v>
      </c>
      <c r="B10" s="20" t="s">
        <v>13</v>
      </c>
      <c r="C10" s="50" t="s">
        <v>12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46">
        <f t="shared" si="0"/>
        <v>0</v>
      </c>
      <c r="K10" s="54">
        <f t="shared" si="1"/>
        <v>0</v>
      </c>
      <c r="L10" s="16"/>
      <c r="M10" s="47"/>
    </row>
    <row r="11" spans="1:13">
      <c r="A11" s="10">
        <v>7</v>
      </c>
      <c r="B11" s="20" t="s">
        <v>98</v>
      </c>
      <c r="C11" s="50" t="s">
        <v>99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46">
        <f t="shared" si="0"/>
        <v>0</v>
      </c>
      <c r="K11" s="54">
        <f t="shared" si="1"/>
        <v>0</v>
      </c>
      <c r="L11" s="16"/>
      <c r="M11" s="47"/>
    </row>
    <row r="12" spans="1:13">
      <c r="A12" s="10">
        <v>8</v>
      </c>
      <c r="B12" s="20" t="s">
        <v>100</v>
      </c>
      <c r="C12" s="50" t="s">
        <v>101</v>
      </c>
      <c r="D12" s="10">
        <v>0</v>
      </c>
      <c r="E12" s="10">
        <v>1</v>
      </c>
      <c r="F12" s="10">
        <v>0</v>
      </c>
      <c r="G12" s="10">
        <v>0</v>
      </c>
      <c r="H12" s="10">
        <v>0</v>
      </c>
      <c r="I12" s="10">
        <v>1</v>
      </c>
      <c r="J12" s="46">
        <f t="shared" si="0"/>
        <v>3</v>
      </c>
      <c r="K12" s="54">
        <f t="shared" si="1"/>
        <v>7.3170731707317069E-2</v>
      </c>
      <c r="L12" s="16"/>
      <c r="M12" s="47"/>
    </row>
    <row r="13" spans="1:13">
      <c r="A13" s="13"/>
      <c r="B13" s="13"/>
      <c r="C13" s="84" t="s">
        <v>14</v>
      </c>
      <c r="D13" s="43">
        <f>SUM(D5:D12)</f>
        <v>1</v>
      </c>
      <c r="E13" s="43">
        <f t="shared" ref="E13:J13" si="2">SUM(E5:E12)</f>
        <v>5</v>
      </c>
      <c r="F13" s="43">
        <f t="shared" si="2"/>
        <v>2</v>
      </c>
      <c r="G13" s="43">
        <f t="shared" si="2"/>
        <v>2</v>
      </c>
      <c r="H13" s="43">
        <f t="shared" si="2"/>
        <v>1</v>
      </c>
      <c r="I13" s="43">
        <f t="shared" si="2"/>
        <v>11</v>
      </c>
      <c r="J13" s="85">
        <f t="shared" si="2"/>
        <v>41</v>
      </c>
      <c r="K13" s="55">
        <f>SUM(K5:K12)</f>
        <v>0.99999999999999989</v>
      </c>
      <c r="L13" s="16"/>
      <c r="M13" s="47"/>
    </row>
    <row r="14" spans="1:13">
      <c r="J14" s="12"/>
      <c r="K14" s="12"/>
      <c r="M14" s="45"/>
    </row>
    <row r="15" spans="1:13">
      <c r="D15" t="s">
        <v>51</v>
      </c>
      <c r="E15" t="s">
        <v>51</v>
      </c>
      <c r="F15" t="s">
        <v>51</v>
      </c>
      <c r="G15" t="s">
        <v>51</v>
      </c>
      <c r="H15" t="s">
        <v>51</v>
      </c>
      <c r="J15" s="12" t="s">
        <v>53</v>
      </c>
      <c r="K15" s="12" t="s">
        <v>55</v>
      </c>
      <c r="M15" s="45"/>
    </row>
    <row r="16" spans="1:13">
      <c r="D16" t="s">
        <v>52</v>
      </c>
      <c r="E16" t="s">
        <v>52</v>
      </c>
      <c r="F16" t="s">
        <v>52</v>
      </c>
      <c r="G16" t="s">
        <v>52</v>
      </c>
      <c r="H16" t="s">
        <v>52</v>
      </c>
      <c r="J16" s="12" t="s">
        <v>54</v>
      </c>
      <c r="K16" s="44"/>
      <c r="M16" s="45"/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0F74C-FE09-414F-8679-BC0851566780}">
  <sheetPr>
    <pageSetUpPr fitToPage="1"/>
  </sheetPr>
  <dimension ref="A1:AO16"/>
  <sheetViews>
    <sheetView topLeftCell="AE1" zoomScaleNormal="100" workbookViewId="0">
      <selection activeCell="AN4" sqref="AN4"/>
    </sheetView>
  </sheetViews>
  <sheetFormatPr baseColWidth="10" defaultRowHeight="15"/>
  <cols>
    <col min="1" max="1" width="2.85546875" bestFit="1" customWidth="1"/>
    <col min="2" max="2" width="32" customWidth="1"/>
    <col min="3" max="3" width="8.5703125" customWidth="1"/>
    <col min="4" max="17" width="8.28515625" customWidth="1"/>
    <col min="18" max="18" width="4" customWidth="1"/>
    <col min="19" max="20" width="10.85546875" customWidth="1"/>
    <col min="21" max="21" width="4" customWidth="1"/>
    <col min="23" max="25" width="10.7109375" style="68" hidden="1" customWidth="1"/>
    <col min="26" max="28" width="10.7109375" style="68" customWidth="1"/>
    <col min="29" max="29" width="10.7109375" customWidth="1"/>
    <col min="33" max="33" width="9.28515625" bestFit="1" customWidth="1"/>
    <col min="34" max="34" width="12.5703125" customWidth="1"/>
    <col min="36" max="36" width="2" customWidth="1"/>
    <col min="37" max="37" width="6.5703125" bestFit="1" customWidth="1"/>
  </cols>
  <sheetData>
    <row r="1" spans="1:41">
      <c r="V1" s="24"/>
      <c r="W1" s="22"/>
      <c r="X1" s="22"/>
      <c r="Y1" s="22"/>
      <c r="Z1" s="22"/>
      <c r="AA1" s="22"/>
      <c r="AB1" s="22"/>
      <c r="AC1" s="24"/>
      <c r="AD1" s="24"/>
      <c r="AE1" s="24"/>
      <c r="AF1" s="24"/>
      <c r="AG1" s="24"/>
      <c r="AH1" s="24"/>
      <c r="AI1" s="24"/>
      <c r="AJ1" s="24"/>
      <c r="AK1" s="24">
        <v>1</v>
      </c>
      <c r="AL1" s="24">
        <v>2</v>
      </c>
      <c r="AM1" s="24">
        <v>3</v>
      </c>
      <c r="AN1" s="24">
        <v>4</v>
      </c>
    </row>
    <row r="2" spans="1:41" s="181" customFormat="1" ht="15.75" thickBot="1">
      <c r="C2" s="24">
        <v>1</v>
      </c>
      <c r="D2" s="24">
        <v>2</v>
      </c>
      <c r="E2" s="24">
        <v>3</v>
      </c>
      <c r="F2" s="24">
        <v>4</v>
      </c>
      <c r="G2" s="24">
        <v>5</v>
      </c>
      <c r="H2" s="24">
        <v>6</v>
      </c>
      <c r="I2" s="24">
        <v>7</v>
      </c>
      <c r="J2" s="24">
        <v>8</v>
      </c>
      <c r="K2" s="24">
        <v>9</v>
      </c>
      <c r="L2" s="24">
        <v>10</v>
      </c>
      <c r="M2" s="24">
        <v>11</v>
      </c>
      <c r="N2" s="24">
        <v>12</v>
      </c>
      <c r="O2" s="24">
        <v>13</v>
      </c>
      <c r="P2" s="24">
        <v>14</v>
      </c>
      <c r="Q2" s="24">
        <v>15</v>
      </c>
      <c r="R2" s="24">
        <v>16</v>
      </c>
      <c r="S2" s="24">
        <v>17</v>
      </c>
      <c r="T2" s="24">
        <v>18</v>
      </c>
      <c r="AC2" s="222"/>
      <c r="AD2" s="222"/>
      <c r="AE2" s="222"/>
      <c r="AF2" s="222"/>
      <c r="AG2" s="222"/>
      <c r="AH2" s="222"/>
      <c r="AI2" s="222"/>
      <c r="AJ2" s="182"/>
      <c r="AL2" s="183">
        <v>0.7</v>
      </c>
      <c r="AM2" s="183">
        <v>0.3</v>
      </c>
    </row>
    <row r="3" spans="1:41" ht="102.75" thickBot="1">
      <c r="A3" s="9" t="s">
        <v>20</v>
      </c>
      <c r="B3" s="9" t="s">
        <v>22</v>
      </c>
      <c r="C3" s="29" t="s">
        <v>24</v>
      </c>
      <c r="D3" s="36" t="s">
        <v>94</v>
      </c>
      <c r="E3" s="37" t="s">
        <v>93</v>
      </c>
      <c r="F3" s="36" t="s">
        <v>31</v>
      </c>
      <c r="G3" s="37" t="s">
        <v>32</v>
      </c>
      <c r="H3" s="36" t="s">
        <v>29</v>
      </c>
      <c r="I3" s="37" t="s">
        <v>30</v>
      </c>
      <c r="J3" s="36" t="s">
        <v>25</v>
      </c>
      <c r="K3" s="37" t="s">
        <v>26</v>
      </c>
      <c r="L3" s="36" t="s">
        <v>27</v>
      </c>
      <c r="M3" s="37" t="s">
        <v>28</v>
      </c>
      <c r="N3" s="36" t="s">
        <v>88</v>
      </c>
      <c r="O3" s="37" t="s">
        <v>87</v>
      </c>
      <c r="P3" s="36" t="s">
        <v>103</v>
      </c>
      <c r="Q3" s="37" t="s">
        <v>102</v>
      </c>
      <c r="S3" s="59" t="s">
        <v>95</v>
      </c>
      <c r="T3" s="59" t="s">
        <v>104</v>
      </c>
      <c r="V3" s="38" t="s">
        <v>0</v>
      </c>
      <c r="W3" s="69" t="s">
        <v>33</v>
      </c>
      <c r="X3" s="70" t="s">
        <v>34</v>
      </c>
      <c r="Y3" s="70" t="s">
        <v>35</v>
      </c>
      <c r="Z3" s="61" t="s">
        <v>89</v>
      </c>
      <c r="AA3" s="62" t="s">
        <v>90</v>
      </c>
      <c r="AB3" s="63" t="s">
        <v>91</v>
      </c>
      <c r="AC3" s="61" t="s">
        <v>105</v>
      </c>
      <c r="AD3" s="62" t="s">
        <v>106</v>
      </c>
      <c r="AE3" s="63" t="s">
        <v>107</v>
      </c>
      <c r="AF3" s="125" t="s">
        <v>41</v>
      </c>
      <c r="AG3" s="126" t="s">
        <v>108</v>
      </c>
      <c r="AH3" s="127" t="s">
        <v>92</v>
      </c>
      <c r="AI3" s="83" t="s">
        <v>42</v>
      </c>
      <c r="AJ3" s="128"/>
      <c r="AK3" s="49" t="s">
        <v>0</v>
      </c>
      <c r="AL3" s="129" t="s">
        <v>45</v>
      </c>
      <c r="AM3" s="129" t="s">
        <v>44</v>
      </c>
      <c r="AN3" s="51" t="s">
        <v>46</v>
      </c>
    </row>
    <row r="4" spans="1:41">
      <c r="A4" s="1">
        <v>1</v>
      </c>
      <c r="B4" s="8" t="s">
        <v>3</v>
      </c>
      <c r="C4" s="7" t="s">
        <v>2</v>
      </c>
      <c r="D4" s="34">
        <v>133</v>
      </c>
      <c r="E4" s="35">
        <v>309</v>
      </c>
      <c r="F4" s="34">
        <v>148</v>
      </c>
      <c r="G4" s="35">
        <v>327</v>
      </c>
      <c r="H4" s="34">
        <v>152</v>
      </c>
      <c r="I4" s="35">
        <v>317</v>
      </c>
      <c r="J4" s="34">
        <v>160</v>
      </c>
      <c r="K4" s="35">
        <v>381</v>
      </c>
      <c r="L4" s="34">
        <v>155</v>
      </c>
      <c r="M4" s="35">
        <v>326</v>
      </c>
      <c r="N4" s="34">
        <v>156</v>
      </c>
      <c r="O4" s="35">
        <v>309</v>
      </c>
      <c r="P4" s="34">
        <v>167</v>
      </c>
      <c r="Q4" s="35">
        <v>342</v>
      </c>
      <c r="S4" s="10">
        <f>SUM(E4,G4,I4,K4,M4)</f>
        <v>1660</v>
      </c>
      <c r="T4" s="10">
        <f>SUM(G4,I4,K4,M4,O4)</f>
        <v>1660</v>
      </c>
      <c r="V4" s="39" t="s">
        <v>2</v>
      </c>
      <c r="W4" s="71">
        <f t="shared" ref="W4:X9" si="0">SUM(H4,J4,L4)</f>
        <v>467</v>
      </c>
      <c r="X4" s="72">
        <f t="shared" si="0"/>
        <v>1024</v>
      </c>
      <c r="Y4" s="73">
        <f t="shared" ref="Y4:Y9" si="1">W4/X4</f>
        <v>0.4560546875</v>
      </c>
      <c r="Z4" s="64">
        <f>SUM(J4,L4,N4)</f>
        <v>471</v>
      </c>
      <c r="AA4" s="65">
        <f>SUM(K4,M4,O4)</f>
        <v>1016</v>
      </c>
      <c r="AB4" s="66">
        <f t="shared" ref="AB4:AB11" si="2">Z4/AA4</f>
        <v>0.46358267716535434</v>
      </c>
      <c r="AC4" s="64">
        <f>SUM(L4,N4,P4)</f>
        <v>478</v>
      </c>
      <c r="AD4" s="65">
        <f>SUM(M4,O4,Q4)</f>
        <v>977</v>
      </c>
      <c r="AE4" s="66">
        <f t="shared" ref="AE4:AE11" si="3">AC4/AD4</f>
        <v>0.48925281473899696</v>
      </c>
      <c r="AF4" s="130">
        <f>AE4/$AE$12</f>
        <v>0.15868320599018179</v>
      </c>
      <c r="AG4" s="131">
        <f>+AE4/AB4-1</f>
        <v>5.5373375318091167E-2</v>
      </c>
      <c r="AH4" s="132">
        <f>IF(AG4&lt;0,0,AG4)</f>
        <v>5.5373375318091167E-2</v>
      </c>
      <c r="AI4" s="133">
        <f>+AH4/$AH$12</f>
        <v>4.4890427639913175E-2</v>
      </c>
      <c r="AJ4" s="128"/>
      <c r="AK4" s="134" t="s">
        <v>2</v>
      </c>
      <c r="AL4" s="177">
        <f t="shared" ref="AL4:AL11" si="4">AF4*$AL$2</f>
        <v>0.11107824419312724</v>
      </c>
      <c r="AM4" s="177">
        <f t="shared" ref="AM4:AM11" si="5">AI4*$AM$2</f>
        <v>1.3467128291973952E-2</v>
      </c>
      <c r="AN4" s="52">
        <f t="shared" ref="AN4:AN11" si="6">SUM(AL4:AM4)</f>
        <v>0.1245453724851012</v>
      </c>
      <c r="AO4" s="56"/>
    </row>
    <row r="5" spans="1:41">
      <c r="A5" s="1">
        <v>2</v>
      </c>
      <c r="B5" s="8" t="s">
        <v>5</v>
      </c>
      <c r="C5" s="7" t="s">
        <v>4</v>
      </c>
      <c r="D5" s="30">
        <v>79</v>
      </c>
      <c r="E5" s="31">
        <v>136</v>
      </c>
      <c r="F5" s="30">
        <v>89</v>
      </c>
      <c r="G5" s="31">
        <v>136</v>
      </c>
      <c r="H5" s="30">
        <v>91</v>
      </c>
      <c r="I5" s="31">
        <v>134</v>
      </c>
      <c r="J5" s="30">
        <v>102</v>
      </c>
      <c r="K5" s="31">
        <v>152</v>
      </c>
      <c r="L5" s="34">
        <v>128</v>
      </c>
      <c r="M5" s="35">
        <v>167</v>
      </c>
      <c r="N5" s="30">
        <v>130</v>
      </c>
      <c r="O5" s="31">
        <v>172</v>
      </c>
      <c r="P5" s="34">
        <v>151</v>
      </c>
      <c r="Q5" s="35">
        <v>196</v>
      </c>
      <c r="S5" s="10">
        <f t="shared" ref="S5:S11" si="7">SUM(E5,G5,I5,K5,M5)</f>
        <v>725</v>
      </c>
      <c r="T5" s="10">
        <f t="shared" ref="T5:T11" si="8">SUM(G5,I5,K5,M5,O5)</f>
        <v>761</v>
      </c>
      <c r="V5" s="39" t="s">
        <v>4</v>
      </c>
      <c r="W5" s="71">
        <f t="shared" si="0"/>
        <v>321</v>
      </c>
      <c r="X5" s="72">
        <f t="shared" si="0"/>
        <v>453</v>
      </c>
      <c r="Y5" s="74">
        <f t="shared" si="1"/>
        <v>0.70860927152317876</v>
      </c>
      <c r="Z5" s="64">
        <f t="shared" ref="Z5:Z11" si="9">SUM(J5,L5,N5)</f>
        <v>360</v>
      </c>
      <c r="AA5" s="65">
        <f t="shared" ref="AA5:AA11" si="10">SUM(K5,M5,O5)</f>
        <v>491</v>
      </c>
      <c r="AB5" s="66">
        <f t="shared" si="2"/>
        <v>0.73319755600814662</v>
      </c>
      <c r="AC5" s="64">
        <f t="shared" ref="AC5:AC11" si="11">SUM(L5,N5,P5)</f>
        <v>409</v>
      </c>
      <c r="AD5" s="65">
        <f t="shared" ref="AD5:AD11" si="12">SUM(M5,O5,Q5)</f>
        <v>535</v>
      </c>
      <c r="AE5" s="66">
        <f t="shared" si="3"/>
        <v>0.76448598130841117</v>
      </c>
      <c r="AF5" s="130">
        <f t="shared" ref="AF5:AF11" si="13">AE5/$AE$12</f>
        <v>0.24795173945659368</v>
      </c>
      <c r="AG5" s="131">
        <f t="shared" ref="AG5:AG11" si="14">+AE5/AB5-1</f>
        <v>4.2673935617860703E-2</v>
      </c>
      <c r="AH5" s="132">
        <f t="shared" ref="AH5:AH11" si="15">IF(AG5&lt;0,0,AG5)</f>
        <v>4.2673935617860703E-2</v>
      </c>
      <c r="AI5" s="133">
        <f t="shared" ref="AI5:AI11" si="16">+AH5/$AH$12</f>
        <v>3.4595167947763197E-2</v>
      </c>
      <c r="AJ5" s="128"/>
      <c r="AK5" s="134" t="s">
        <v>4</v>
      </c>
      <c r="AL5" s="177">
        <f t="shared" si="4"/>
        <v>0.17356621761961558</v>
      </c>
      <c r="AM5" s="177">
        <f t="shared" si="5"/>
        <v>1.037855038432896E-2</v>
      </c>
      <c r="AN5" s="52">
        <f t="shared" si="6"/>
        <v>0.18394476800394455</v>
      </c>
      <c r="AO5" s="56"/>
    </row>
    <row r="6" spans="1:41">
      <c r="A6" s="1">
        <v>3</v>
      </c>
      <c r="B6" s="8" t="s">
        <v>7</v>
      </c>
      <c r="C6" s="7" t="s">
        <v>6</v>
      </c>
      <c r="D6" s="30">
        <v>27</v>
      </c>
      <c r="E6" s="31">
        <v>107</v>
      </c>
      <c r="F6" s="30">
        <v>29</v>
      </c>
      <c r="G6" s="31">
        <v>114</v>
      </c>
      <c r="H6" s="30">
        <v>33</v>
      </c>
      <c r="I6" s="31">
        <v>125</v>
      </c>
      <c r="J6" s="30">
        <v>44</v>
      </c>
      <c r="K6" s="31">
        <v>132</v>
      </c>
      <c r="L6" s="34">
        <v>42</v>
      </c>
      <c r="M6" s="35">
        <v>141</v>
      </c>
      <c r="N6" s="30">
        <v>43</v>
      </c>
      <c r="O6" s="31">
        <v>131</v>
      </c>
      <c r="P6" s="34">
        <v>46</v>
      </c>
      <c r="Q6" s="35">
        <v>126</v>
      </c>
      <c r="S6" s="10">
        <f t="shared" si="7"/>
        <v>619</v>
      </c>
      <c r="T6" s="10">
        <f t="shared" si="8"/>
        <v>643</v>
      </c>
      <c r="V6" s="39" t="s">
        <v>6</v>
      </c>
      <c r="W6" s="71">
        <f t="shared" si="0"/>
        <v>119</v>
      </c>
      <c r="X6" s="72">
        <f t="shared" si="0"/>
        <v>398</v>
      </c>
      <c r="Y6" s="74">
        <f t="shared" si="1"/>
        <v>0.29899497487437188</v>
      </c>
      <c r="Z6" s="64">
        <f t="shared" si="9"/>
        <v>129</v>
      </c>
      <c r="AA6" s="65">
        <f t="shared" si="10"/>
        <v>404</v>
      </c>
      <c r="AB6" s="66">
        <f t="shared" si="2"/>
        <v>0.31930693069306931</v>
      </c>
      <c r="AC6" s="64">
        <f t="shared" si="11"/>
        <v>131</v>
      </c>
      <c r="AD6" s="65">
        <f t="shared" si="12"/>
        <v>398</v>
      </c>
      <c r="AE6" s="66">
        <f t="shared" si="3"/>
        <v>0.32914572864321606</v>
      </c>
      <c r="AF6" s="130">
        <f t="shared" si="13"/>
        <v>0.10675441793205249</v>
      </c>
      <c r="AG6" s="131">
        <f t="shared" si="14"/>
        <v>3.0812979626816173E-2</v>
      </c>
      <c r="AH6" s="132">
        <f t="shared" si="15"/>
        <v>3.0812979626816173E-2</v>
      </c>
      <c r="AI6" s="133">
        <f t="shared" si="16"/>
        <v>2.4979655373397459E-2</v>
      </c>
      <c r="AJ6" s="128"/>
      <c r="AK6" s="134" t="s">
        <v>6</v>
      </c>
      <c r="AL6" s="177">
        <f t="shared" si="4"/>
        <v>7.4728092552436745E-2</v>
      </c>
      <c r="AM6" s="177">
        <f t="shared" si="5"/>
        <v>7.4938966120192373E-3</v>
      </c>
      <c r="AN6" s="52">
        <f t="shared" si="6"/>
        <v>8.2221989164455986E-2</v>
      </c>
      <c r="AO6" s="56"/>
    </row>
    <row r="7" spans="1:41">
      <c r="A7" s="1">
        <v>4</v>
      </c>
      <c r="B7" s="8" t="s">
        <v>9</v>
      </c>
      <c r="C7" s="7" t="s">
        <v>8</v>
      </c>
      <c r="D7" s="30">
        <v>93</v>
      </c>
      <c r="E7" s="31">
        <v>444</v>
      </c>
      <c r="F7" s="30">
        <v>77</v>
      </c>
      <c r="G7" s="31">
        <v>459</v>
      </c>
      <c r="H7" s="30">
        <v>82</v>
      </c>
      <c r="I7" s="31">
        <v>435</v>
      </c>
      <c r="J7" s="30">
        <v>84</v>
      </c>
      <c r="K7" s="31">
        <v>453</v>
      </c>
      <c r="L7" s="34">
        <v>128</v>
      </c>
      <c r="M7" s="35">
        <v>569</v>
      </c>
      <c r="N7" s="30">
        <v>186</v>
      </c>
      <c r="O7" s="31">
        <v>668</v>
      </c>
      <c r="P7" s="34">
        <v>212</v>
      </c>
      <c r="Q7" s="35">
        <v>674</v>
      </c>
      <c r="S7" s="10">
        <f t="shared" si="7"/>
        <v>2360</v>
      </c>
      <c r="T7" s="10">
        <f t="shared" si="8"/>
        <v>2584</v>
      </c>
      <c r="V7" s="39" t="s">
        <v>8</v>
      </c>
      <c r="W7" s="71">
        <f t="shared" si="0"/>
        <v>294</v>
      </c>
      <c r="X7" s="72">
        <f t="shared" si="0"/>
        <v>1457</v>
      </c>
      <c r="Y7" s="74">
        <f t="shared" si="1"/>
        <v>0.20178448867536034</v>
      </c>
      <c r="Z7" s="64">
        <f t="shared" si="9"/>
        <v>398</v>
      </c>
      <c r="AA7" s="65">
        <f t="shared" si="10"/>
        <v>1690</v>
      </c>
      <c r="AB7" s="66">
        <f t="shared" si="2"/>
        <v>0.23550295857988165</v>
      </c>
      <c r="AC7" s="64">
        <f t="shared" si="11"/>
        <v>526</v>
      </c>
      <c r="AD7" s="65">
        <f t="shared" si="12"/>
        <v>1911</v>
      </c>
      <c r="AE7" s="66">
        <f t="shared" si="3"/>
        <v>0.27524856096284667</v>
      </c>
      <c r="AF7" s="130">
        <f t="shared" si="13"/>
        <v>8.9273526450878313E-2</v>
      </c>
      <c r="AG7" s="131">
        <f t="shared" si="14"/>
        <v>0.16876901514374598</v>
      </c>
      <c r="AH7" s="132">
        <f t="shared" si="15"/>
        <v>0.16876901514374598</v>
      </c>
      <c r="AI7" s="133">
        <f t="shared" si="16"/>
        <v>0.13681870065981927</v>
      </c>
      <c r="AJ7" s="128"/>
      <c r="AK7" s="134" t="s">
        <v>8</v>
      </c>
      <c r="AL7" s="177">
        <f t="shared" si="4"/>
        <v>6.2491468515614816E-2</v>
      </c>
      <c r="AM7" s="177">
        <f t="shared" si="5"/>
        <v>4.1045610197945781E-2</v>
      </c>
      <c r="AN7" s="52">
        <f t="shared" si="6"/>
        <v>0.1035370787135606</v>
      </c>
      <c r="AO7" s="56"/>
    </row>
    <row r="8" spans="1:41">
      <c r="A8" s="1">
        <v>5</v>
      </c>
      <c r="B8" s="8" t="s">
        <v>11</v>
      </c>
      <c r="C8" s="7" t="s">
        <v>10</v>
      </c>
      <c r="D8" s="30">
        <v>9</v>
      </c>
      <c r="E8" s="31">
        <v>65</v>
      </c>
      <c r="F8" s="30">
        <v>20</v>
      </c>
      <c r="G8" s="31">
        <v>106</v>
      </c>
      <c r="H8" s="30">
        <v>17</v>
      </c>
      <c r="I8" s="31">
        <v>111</v>
      </c>
      <c r="J8" s="30">
        <v>22</v>
      </c>
      <c r="K8" s="31">
        <v>105</v>
      </c>
      <c r="L8" s="34">
        <v>28</v>
      </c>
      <c r="M8" s="35">
        <v>122</v>
      </c>
      <c r="N8" s="30">
        <v>41</v>
      </c>
      <c r="O8" s="31">
        <v>146</v>
      </c>
      <c r="P8" s="34">
        <v>38</v>
      </c>
      <c r="Q8" s="35">
        <v>160</v>
      </c>
      <c r="S8" s="10">
        <f t="shared" si="7"/>
        <v>509</v>
      </c>
      <c r="T8" s="10">
        <f t="shared" si="8"/>
        <v>590</v>
      </c>
      <c r="V8" s="39" t="s">
        <v>10</v>
      </c>
      <c r="W8" s="71">
        <f t="shared" si="0"/>
        <v>67</v>
      </c>
      <c r="X8" s="72">
        <f t="shared" si="0"/>
        <v>338</v>
      </c>
      <c r="Y8" s="74">
        <f t="shared" si="1"/>
        <v>0.19822485207100593</v>
      </c>
      <c r="Z8" s="64">
        <f t="shared" si="9"/>
        <v>91</v>
      </c>
      <c r="AA8" s="65">
        <f t="shared" si="10"/>
        <v>373</v>
      </c>
      <c r="AB8" s="66">
        <f t="shared" si="2"/>
        <v>0.24396782841823056</v>
      </c>
      <c r="AC8" s="64">
        <f t="shared" si="11"/>
        <v>107</v>
      </c>
      <c r="AD8" s="65">
        <f t="shared" si="12"/>
        <v>428</v>
      </c>
      <c r="AE8" s="66">
        <f t="shared" si="3"/>
        <v>0.25</v>
      </c>
      <c r="AF8" s="130">
        <f t="shared" si="13"/>
        <v>8.1084462475108574E-2</v>
      </c>
      <c r="AG8" s="131">
        <f t="shared" si="14"/>
        <v>2.4725274725274637E-2</v>
      </c>
      <c r="AH8" s="132">
        <f t="shared" si="15"/>
        <v>2.4725274725274637E-2</v>
      </c>
      <c r="AI8" s="133">
        <f t="shared" si="16"/>
        <v>2.0044437413395098E-2</v>
      </c>
      <c r="AJ8" s="128"/>
      <c r="AK8" s="134" t="s">
        <v>10</v>
      </c>
      <c r="AL8" s="177">
        <f t="shared" si="4"/>
        <v>5.6759123732575995E-2</v>
      </c>
      <c r="AM8" s="177">
        <f t="shared" si="5"/>
        <v>6.0133312240185288E-3</v>
      </c>
      <c r="AN8" s="52">
        <f t="shared" si="6"/>
        <v>6.2772454956594517E-2</v>
      </c>
      <c r="AO8" s="56"/>
    </row>
    <row r="9" spans="1:41">
      <c r="A9" s="1">
        <v>6</v>
      </c>
      <c r="B9" s="8" t="s">
        <v>13</v>
      </c>
      <c r="C9" s="7" t="s">
        <v>12</v>
      </c>
      <c r="D9" s="30">
        <v>10</v>
      </c>
      <c r="E9" s="31">
        <v>47</v>
      </c>
      <c r="F9" s="30">
        <v>14</v>
      </c>
      <c r="G9" s="31">
        <v>46</v>
      </c>
      <c r="H9" s="30">
        <v>10</v>
      </c>
      <c r="I9" s="31">
        <v>39</v>
      </c>
      <c r="J9" s="30">
        <v>9</v>
      </c>
      <c r="K9" s="31">
        <v>53</v>
      </c>
      <c r="L9" s="34">
        <v>21</v>
      </c>
      <c r="M9" s="35">
        <v>52</v>
      </c>
      <c r="N9" s="91">
        <v>34</v>
      </c>
      <c r="O9" s="92">
        <v>82</v>
      </c>
      <c r="P9" s="34">
        <v>35</v>
      </c>
      <c r="Q9" s="35">
        <v>88</v>
      </c>
      <c r="S9" s="10">
        <f t="shared" si="7"/>
        <v>237</v>
      </c>
      <c r="T9" s="10">
        <f t="shared" si="8"/>
        <v>272</v>
      </c>
      <c r="V9" s="39" t="s">
        <v>12</v>
      </c>
      <c r="W9" s="71">
        <f t="shared" si="0"/>
        <v>40</v>
      </c>
      <c r="X9" s="72">
        <f t="shared" si="0"/>
        <v>144</v>
      </c>
      <c r="Y9" s="74">
        <f t="shared" si="1"/>
        <v>0.27777777777777779</v>
      </c>
      <c r="Z9" s="64">
        <f t="shared" si="9"/>
        <v>64</v>
      </c>
      <c r="AA9" s="65">
        <f t="shared" si="10"/>
        <v>187</v>
      </c>
      <c r="AB9" s="66">
        <f t="shared" si="2"/>
        <v>0.34224598930481281</v>
      </c>
      <c r="AC9" s="64">
        <f t="shared" si="11"/>
        <v>90</v>
      </c>
      <c r="AD9" s="65">
        <f t="shared" si="12"/>
        <v>222</v>
      </c>
      <c r="AE9" s="66">
        <f t="shared" si="3"/>
        <v>0.40540540540540543</v>
      </c>
      <c r="AF9" s="130">
        <f t="shared" si="13"/>
        <v>0.13148831752720311</v>
      </c>
      <c r="AG9" s="131">
        <f t="shared" si="14"/>
        <v>0.18454391891891908</v>
      </c>
      <c r="AH9" s="132">
        <f t="shared" si="15"/>
        <v>0.18454391891891908</v>
      </c>
      <c r="AI9" s="133">
        <f t="shared" si="16"/>
        <v>0.14960719643740358</v>
      </c>
      <c r="AJ9" s="128"/>
      <c r="AK9" s="134" t="s">
        <v>12</v>
      </c>
      <c r="AL9" s="177">
        <f t="shared" si="4"/>
        <v>9.2041822269042173E-2</v>
      </c>
      <c r="AM9" s="177">
        <f t="shared" si="5"/>
        <v>4.4882158931221071E-2</v>
      </c>
      <c r="AN9" s="52">
        <f t="shared" si="6"/>
        <v>0.13692398120026325</v>
      </c>
      <c r="AO9" s="56"/>
    </row>
    <row r="10" spans="1:41">
      <c r="A10" s="1">
        <v>7</v>
      </c>
      <c r="B10" s="8" t="s">
        <v>98</v>
      </c>
      <c r="C10" s="7" t="s">
        <v>99</v>
      </c>
      <c r="D10" s="30">
        <v>12</v>
      </c>
      <c r="E10" s="31">
        <v>96</v>
      </c>
      <c r="F10" s="30">
        <v>18</v>
      </c>
      <c r="G10" s="31">
        <v>110</v>
      </c>
      <c r="H10" s="30">
        <v>21</v>
      </c>
      <c r="I10" s="31">
        <v>153</v>
      </c>
      <c r="J10" s="30">
        <v>31</v>
      </c>
      <c r="K10" s="31">
        <v>203</v>
      </c>
      <c r="L10" s="34">
        <v>42</v>
      </c>
      <c r="M10" s="35">
        <v>222</v>
      </c>
      <c r="N10" s="30">
        <v>49</v>
      </c>
      <c r="O10" s="31">
        <v>230</v>
      </c>
      <c r="P10" s="34">
        <v>65</v>
      </c>
      <c r="Q10" s="35">
        <v>199</v>
      </c>
      <c r="S10" s="10">
        <f t="shared" si="7"/>
        <v>784</v>
      </c>
      <c r="T10" s="10">
        <f t="shared" si="8"/>
        <v>918</v>
      </c>
      <c r="V10" s="39" t="s">
        <v>99</v>
      </c>
      <c r="W10" s="71"/>
      <c r="X10" s="72"/>
      <c r="Y10" s="74"/>
      <c r="Z10" s="64">
        <f t="shared" si="9"/>
        <v>122</v>
      </c>
      <c r="AA10" s="65">
        <f t="shared" si="10"/>
        <v>655</v>
      </c>
      <c r="AB10" s="66">
        <f t="shared" si="2"/>
        <v>0.18625954198473282</v>
      </c>
      <c r="AC10" s="64">
        <f t="shared" si="11"/>
        <v>156</v>
      </c>
      <c r="AD10" s="65">
        <f t="shared" si="12"/>
        <v>651</v>
      </c>
      <c r="AE10" s="66">
        <f t="shared" si="3"/>
        <v>0.23963133640552994</v>
      </c>
      <c r="AF10" s="130">
        <f t="shared" si="13"/>
        <v>7.7721512418537253E-2</v>
      </c>
      <c r="AG10" s="131">
        <f t="shared" si="14"/>
        <v>0.28654528971821414</v>
      </c>
      <c r="AH10" s="132">
        <f t="shared" si="15"/>
        <v>0.28654528971821414</v>
      </c>
      <c r="AI10" s="133">
        <f t="shared" si="16"/>
        <v>0.23229829353477935</v>
      </c>
      <c r="AJ10" s="128"/>
      <c r="AK10" s="134" t="s">
        <v>99</v>
      </c>
      <c r="AL10" s="177">
        <f t="shared" si="4"/>
        <v>5.4405058692976072E-2</v>
      </c>
      <c r="AM10" s="177">
        <f t="shared" si="5"/>
        <v>6.9689488060433805E-2</v>
      </c>
      <c r="AN10" s="52">
        <f t="shared" si="6"/>
        <v>0.12409454675340988</v>
      </c>
      <c r="AO10" s="56"/>
    </row>
    <row r="11" spans="1:41">
      <c r="A11" s="1">
        <v>8</v>
      </c>
      <c r="B11" s="8" t="s">
        <v>100</v>
      </c>
      <c r="C11" s="7" t="s">
        <v>101</v>
      </c>
      <c r="D11" s="30">
        <v>38</v>
      </c>
      <c r="E11" s="31">
        <v>374</v>
      </c>
      <c r="F11" s="30">
        <v>31</v>
      </c>
      <c r="G11" s="31">
        <v>360</v>
      </c>
      <c r="H11" s="30">
        <v>31</v>
      </c>
      <c r="I11" s="31">
        <v>478</v>
      </c>
      <c r="J11" s="30">
        <v>42</v>
      </c>
      <c r="K11" s="31">
        <v>660</v>
      </c>
      <c r="L11" s="34">
        <v>174</v>
      </c>
      <c r="M11" s="35">
        <v>549</v>
      </c>
      <c r="N11" s="30">
        <v>194</v>
      </c>
      <c r="O11" s="31">
        <v>580</v>
      </c>
      <c r="P11" s="34">
        <v>199</v>
      </c>
      <c r="Q11" s="35">
        <v>589</v>
      </c>
      <c r="S11" s="10">
        <f t="shared" si="7"/>
        <v>2421</v>
      </c>
      <c r="T11" s="10">
        <f t="shared" si="8"/>
        <v>2627</v>
      </c>
      <c r="V11" s="39" t="s">
        <v>101</v>
      </c>
      <c r="W11" s="71"/>
      <c r="X11" s="72"/>
      <c r="Y11" s="74"/>
      <c r="Z11" s="64">
        <f t="shared" si="9"/>
        <v>410</v>
      </c>
      <c r="AA11" s="65">
        <f t="shared" si="10"/>
        <v>1789</v>
      </c>
      <c r="AB11" s="66">
        <f t="shared" si="2"/>
        <v>0.22917831190609278</v>
      </c>
      <c r="AC11" s="64">
        <f t="shared" si="11"/>
        <v>567</v>
      </c>
      <c r="AD11" s="65">
        <f t="shared" si="12"/>
        <v>1718</v>
      </c>
      <c r="AE11" s="66">
        <f t="shared" si="3"/>
        <v>0.33003492433061699</v>
      </c>
      <c r="AF11" s="130">
        <f t="shared" si="13"/>
        <v>0.10704281774944485</v>
      </c>
      <c r="AG11" s="131">
        <f t="shared" si="14"/>
        <v>0.44007921860359467</v>
      </c>
      <c r="AH11" s="132">
        <f t="shared" si="15"/>
        <v>0.44007921860359467</v>
      </c>
      <c r="AI11" s="133">
        <f t="shared" si="16"/>
        <v>0.35676612099352883</v>
      </c>
      <c r="AJ11" s="128"/>
      <c r="AK11" s="134" t="s">
        <v>101</v>
      </c>
      <c r="AL11" s="177">
        <f t="shared" si="4"/>
        <v>7.4929972424611385E-2</v>
      </c>
      <c r="AM11" s="177">
        <f t="shared" si="5"/>
        <v>0.10702983629805865</v>
      </c>
      <c r="AN11" s="52">
        <f t="shared" si="6"/>
        <v>0.18195980872267004</v>
      </c>
      <c r="AO11" s="56"/>
    </row>
    <row r="12" spans="1:41" ht="15.75" thickBot="1">
      <c r="A12" s="2"/>
      <c r="C12" s="6"/>
      <c r="D12" s="32">
        <f t="shared" ref="D12:Q12" si="17">SUM(D4:D11)</f>
        <v>401</v>
      </c>
      <c r="E12" s="33">
        <f t="shared" si="17"/>
        <v>1578</v>
      </c>
      <c r="F12" s="32">
        <f t="shared" si="17"/>
        <v>426</v>
      </c>
      <c r="G12" s="33">
        <f t="shared" si="17"/>
        <v>1658</v>
      </c>
      <c r="H12" s="32">
        <f t="shared" si="17"/>
        <v>437</v>
      </c>
      <c r="I12" s="33">
        <f t="shared" si="17"/>
        <v>1792</v>
      </c>
      <c r="J12" s="32">
        <f t="shared" si="17"/>
        <v>494</v>
      </c>
      <c r="K12" s="33">
        <f t="shared" si="17"/>
        <v>2139</v>
      </c>
      <c r="L12" s="32">
        <f t="shared" si="17"/>
        <v>718</v>
      </c>
      <c r="M12" s="33">
        <f t="shared" si="17"/>
        <v>2148</v>
      </c>
      <c r="N12" s="32">
        <f t="shared" si="17"/>
        <v>833</v>
      </c>
      <c r="O12" s="33">
        <f t="shared" si="17"/>
        <v>2318</v>
      </c>
      <c r="P12" s="32">
        <f t="shared" si="17"/>
        <v>913</v>
      </c>
      <c r="Q12" s="33">
        <f t="shared" si="17"/>
        <v>2374</v>
      </c>
      <c r="S12" s="60">
        <f>SUM(S4:S11)</f>
        <v>9315</v>
      </c>
      <c r="T12" s="60">
        <f>SUM(T4:T11)</f>
        <v>10055</v>
      </c>
      <c r="V12" s="40" t="s">
        <v>14</v>
      </c>
      <c r="W12" s="75">
        <f t="shared" ref="W12:AF12" si="18">SUM(W4:W11)</f>
        <v>1308</v>
      </c>
      <c r="X12" s="76">
        <f t="shared" si="18"/>
        <v>3814</v>
      </c>
      <c r="Y12" s="77">
        <f t="shared" si="18"/>
        <v>2.1414460524216947</v>
      </c>
      <c r="Z12" s="41">
        <f t="shared" si="18"/>
        <v>2045</v>
      </c>
      <c r="AA12" s="42">
        <f t="shared" si="18"/>
        <v>6605</v>
      </c>
      <c r="AB12" s="67">
        <f t="shared" si="18"/>
        <v>2.7532417940603207</v>
      </c>
      <c r="AC12" s="41">
        <f t="shared" si="18"/>
        <v>2464</v>
      </c>
      <c r="AD12" s="42">
        <f t="shared" si="18"/>
        <v>6840</v>
      </c>
      <c r="AE12" s="67">
        <f t="shared" si="18"/>
        <v>3.083204751795023</v>
      </c>
      <c r="AF12" s="135">
        <f t="shared" si="18"/>
        <v>1.0000000000000002</v>
      </c>
      <c r="AG12" s="136"/>
      <c r="AH12" s="137">
        <f>SUM(AH4:AH11)</f>
        <v>1.2335230076725165</v>
      </c>
      <c r="AI12" s="138">
        <f>SUM(AI4:AI11)</f>
        <v>1</v>
      </c>
      <c r="AJ12" s="128"/>
      <c r="AK12" s="134" t="str">
        <f>+V12</f>
        <v>TOTAL</v>
      </c>
      <c r="AL12" s="178">
        <f>SUM(AL4:AL11)</f>
        <v>0.70000000000000007</v>
      </c>
      <c r="AM12" s="178">
        <f>SUM(AM4:AM11)</f>
        <v>0.29999999999999993</v>
      </c>
      <c r="AN12" s="53">
        <f>SUM(AN4:AN11)</f>
        <v>1</v>
      </c>
      <c r="AO12" s="56"/>
    </row>
    <row r="13" spans="1:41">
      <c r="Z13" s="12" t="s">
        <v>64</v>
      </c>
      <c r="AA13" s="12" t="s">
        <v>64</v>
      </c>
      <c r="AB13" s="12" t="s">
        <v>64</v>
      </c>
      <c r="AC13" t="s">
        <v>63</v>
      </c>
      <c r="AD13" t="s">
        <v>63</v>
      </c>
      <c r="AE13" t="s">
        <v>63</v>
      </c>
      <c r="AF13" t="s">
        <v>63</v>
      </c>
      <c r="AJ13" s="26"/>
      <c r="AL13" t="s">
        <v>63</v>
      </c>
      <c r="AM13" t="s">
        <v>64</v>
      </c>
    </row>
    <row r="14" spans="1:41">
      <c r="Z14" s="12" t="s">
        <v>55</v>
      </c>
      <c r="AA14" s="12" t="s">
        <v>55</v>
      </c>
      <c r="AB14" s="12" t="s">
        <v>55</v>
      </c>
      <c r="AC14" t="s">
        <v>51</v>
      </c>
      <c r="AD14" t="s">
        <v>51</v>
      </c>
      <c r="AE14" t="s">
        <v>51</v>
      </c>
      <c r="AF14" t="s">
        <v>53</v>
      </c>
      <c r="AG14" t="s">
        <v>56</v>
      </c>
      <c r="AH14" t="s">
        <v>57</v>
      </c>
      <c r="AI14" t="s">
        <v>66</v>
      </c>
      <c r="AJ14" s="26"/>
      <c r="AL14" t="s">
        <v>54</v>
      </c>
      <c r="AM14" t="s">
        <v>67</v>
      </c>
    </row>
    <row r="15" spans="1:41">
      <c r="AC15" t="s">
        <v>60</v>
      </c>
      <c r="AD15" t="s">
        <v>61</v>
      </c>
      <c r="AE15" t="s">
        <v>62</v>
      </c>
      <c r="AH15" t="s">
        <v>65</v>
      </c>
      <c r="AJ15" s="26"/>
    </row>
    <row r="16" spans="1:41">
      <c r="Y16" s="78"/>
      <c r="Z16" s="78"/>
      <c r="AA16" s="78"/>
      <c r="AB16" s="78"/>
      <c r="AE16" t="s">
        <v>52</v>
      </c>
    </row>
  </sheetData>
  <mergeCells count="1">
    <mergeCell ref="AC2:AI2"/>
  </mergeCells>
  <phoneticPr fontId="19" type="noConversion"/>
  <pageMargins left="0.70866141732283472" right="0.70866141732283472" top="0.74803149606299213" bottom="0.74803149606299213" header="0.31496062992125984" footer="0.31496062992125984"/>
  <pageSetup paperSize="14" scale="41" orientation="landscape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5FFC9-1CEB-4393-B9D1-EF860FAEEDA7}">
  <sheetPr>
    <pageSetUpPr fitToPage="1"/>
  </sheetPr>
  <dimension ref="A2:G16"/>
  <sheetViews>
    <sheetView topLeftCell="C1" workbookViewId="0">
      <selection activeCell="G4" sqref="G4"/>
    </sheetView>
  </sheetViews>
  <sheetFormatPr baseColWidth="10" defaultRowHeight="15"/>
  <cols>
    <col min="1" max="1" width="2.85546875" bestFit="1" customWidth="1"/>
    <col min="2" max="2" width="37.5703125" bestFit="1" customWidth="1"/>
    <col min="3" max="3" width="11.5703125" customWidth="1"/>
    <col min="7" max="7" width="11.42578125" customWidth="1"/>
  </cols>
  <sheetData>
    <row r="2" spans="1:7">
      <c r="C2" s="24">
        <v>1</v>
      </c>
      <c r="D2" s="24">
        <v>2</v>
      </c>
      <c r="E2" s="24">
        <v>3</v>
      </c>
      <c r="F2" s="24">
        <v>4</v>
      </c>
      <c r="G2" s="24">
        <v>5</v>
      </c>
    </row>
    <row r="3" spans="1:7" ht="63.75">
      <c r="A3" s="19" t="s">
        <v>20</v>
      </c>
      <c r="B3" s="4" t="s">
        <v>1</v>
      </c>
      <c r="C3" s="49" t="s">
        <v>0</v>
      </c>
      <c r="D3" s="14" t="s">
        <v>109</v>
      </c>
      <c r="E3" s="14" t="s">
        <v>110</v>
      </c>
      <c r="F3" s="14" t="s">
        <v>111</v>
      </c>
      <c r="G3" s="51" t="s">
        <v>112</v>
      </c>
    </row>
    <row r="4" spans="1:7">
      <c r="A4" s="10">
        <v>1</v>
      </c>
      <c r="B4" s="20" t="s">
        <v>3</v>
      </c>
      <c r="C4" s="50" t="s">
        <v>2</v>
      </c>
      <c r="D4" s="17">
        <v>1900</v>
      </c>
      <c r="E4" s="17">
        <v>1660</v>
      </c>
      <c r="F4" s="139">
        <f t="shared" ref="F4:F11" si="0">D4/E4</f>
        <v>1.1445783132530121</v>
      </c>
      <c r="G4" s="140">
        <f>F4/$F$12</f>
        <v>0.22478805485483719</v>
      </c>
    </row>
    <row r="5" spans="1:7">
      <c r="A5" s="10">
        <v>2</v>
      </c>
      <c r="B5" s="20" t="s">
        <v>5</v>
      </c>
      <c r="C5" s="50" t="s">
        <v>4</v>
      </c>
      <c r="D5" s="17">
        <v>590</v>
      </c>
      <c r="E5" s="17">
        <v>761</v>
      </c>
      <c r="F5" s="139">
        <f t="shared" si="0"/>
        <v>0.7752956636005256</v>
      </c>
      <c r="G5" s="140">
        <f t="shared" ref="G5:G11" si="1">F5/$F$12</f>
        <v>0.15226324152764889</v>
      </c>
    </row>
    <row r="6" spans="1:7">
      <c r="A6" s="10">
        <v>3</v>
      </c>
      <c r="B6" s="20" t="s">
        <v>7</v>
      </c>
      <c r="C6" s="50" t="s">
        <v>6</v>
      </c>
      <c r="D6" s="17">
        <v>112</v>
      </c>
      <c r="E6" s="17">
        <v>643</v>
      </c>
      <c r="F6" s="139">
        <f t="shared" si="0"/>
        <v>0.17418351477449456</v>
      </c>
      <c r="G6" s="140">
        <f t="shared" si="1"/>
        <v>3.420855787722954E-2</v>
      </c>
    </row>
    <row r="7" spans="1:7">
      <c r="A7" s="10">
        <v>4</v>
      </c>
      <c r="B7" s="20" t="s">
        <v>9</v>
      </c>
      <c r="C7" s="50" t="s">
        <v>8</v>
      </c>
      <c r="D7" s="17">
        <v>2269</v>
      </c>
      <c r="E7" s="17">
        <v>2584</v>
      </c>
      <c r="F7" s="139">
        <f t="shared" si="0"/>
        <v>0.87809597523219818</v>
      </c>
      <c r="G7" s="140">
        <f t="shared" si="1"/>
        <v>0.17245258272220515</v>
      </c>
    </row>
    <row r="8" spans="1:7">
      <c r="A8" s="10">
        <v>5</v>
      </c>
      <c r="B8" s="20" t="s">
        <v>11</v>
      </c>
      <c r="C8" s="50" t="s">
        <v>10</v>
      </c>
      <c r="D8" s="17">
        <v>402</v>
      </c>
      <c r="E8" s="17">
        <v>590</v>
      </c>
      <c r="F8" s="139">
        <f t="shared" si="0"/>
        <v>0.68135593220338986</v>
      </c>
      <c r="G8" s="140">
        <f t="shared" si="1"/>
        <v>0.13381406312732377</v>
      </c>
    </row>
    <row r="9" spans="1:7">
      <c r="A9" s="10">
        <v>6</v>
      </c>
      <c r="B9" s="20" t="s">
        <v>13</v>
      </c>
      <c r="C9" s="50" t="s">
        <v>12</v>
      </c>
      <c r="D9" s="17">
        <v>138</v>
      </c>
      <c r="E9" s="17">
        <v>272</v>
      </c>
      <c r="F9" s="139">
        <f t="shared" si="0"/>
        <v>0.50735294117647056</v>
      </c>
      <c r="G9" s="140">
        <f t="shared" si="1"/>
        <v>9.9640958990220782E-2</v>
      </c>
    </row>
    <row r="10" spans="1:7">
      <c r="A10" s="10">
        <v>7</v>
      </c>
      <c r="B10" s="20" t="s">
        <v>98</v>
      </c>
      <c r="C10" s="50" t="s">
        <v>99</v>
      </c>
      <c r="D10" s="17">
        <v>545</v>
      </c>
      <c r="E10" s="17">
        <v>918</v>
      </c>
      <c r="F10" s="139">
        <f t="shared" si="0"/>
        <v>0.59368191721132901</v>
      </c>
      <c r="G10" s="140">
        <f t="shared" si="1"/>
        <v>0.1165954324201188</v>
      </c>
    </row>
    <row r="11" spans="1:7">
      <c r="A11" s="10">
        <v>8</v>
      </c>
      <c r="B11" s="20" t="s">
        <v>100</v>
      </c>
      <c r="C11" s="50" t="s">
        <v>101</v>
      </c>
      <c r="D11" s="17">
        <v>886</v>
      </c>
      <c r="E11" s="17">
        <v>2627</v>
      </c>
      <c r="F11" s="139">
        <f t="shared" si="0"/>
        <v>0.33726684430909781</v>
      </c>
      <c r="G11" s="140">
        <f t="shared" si="1"/>
        <v>6.6237108480415988E-2</v>
      </c>
    </row>
    <row r="12" spans="1:7">
      <c r="A12" s="13"/>
      <c r="B12" s="13"/>
      <c r="C12" s="141" t="s">
        <v>14</v>
      </c>
      <c r="D12" s="11">
        <f>SUM(D4:D11)</f>
        <v>6842</v>
      </c>
      <c r="E12" s="11">
        <f>SUM(E4:E11)</f>
        <v>10055</v>
      </c>
      <c r="F12" s="11">
        <f>SUM(F4:F11)</f>
        <v>5.0918111017605172</v>
      </c>
      <c r="G12" s="142">
        <f>SUM(G4:G11)</f>
        <v>1.0000000000000002</v>
      </c>
    </row>
    <row r="13" spans="1:7">
      <c r="A13" s="12"/>
      <c r="B13" s="12"/>
      <c r="C13" s="12"/>
      <c r="D13" s="12"/>
      <c r="E13" s="12"/>
      <c r="F13" s="12"/>
      <c r="G13" s="12"/>
    </row>
    <row r="14" spans="1:7">
      <c r="D14" t="s">
        <v>51</v>
      </c>
      <c r="E14" t="s">
        <v>51</v>
      </c>
      <c r="F14" t="s">
        <v>51</v>
      </c>
      <c r="G14" t="s">
        <v>53</v>
      </c>
    </row>
    <row r="15" spans="1:7">
      <c r="D15" t="s">
        <v>60</v>
      </c>
      <c r="E15" t="s">
        <v>61</v>
      </c>
      <c r="F15" t="s">
        <v>62</v>
      </c>
    </row>
    <row r="16" spans="1:7">
      <c r="F16" t="s">
        <v>52</v>
      </c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8267-F1BD-44F2-9D94-D99A6D18B8AC}">
  <sheetPr>
    <pageSetUpPr fitToPage="1"/>
  </sheetPr>
  <dimension ref="A1:G16"/>
  <sheetViews>
    <sheetView workbookViewId="0">
      <selection activeCell="B13" sqref="B13"/>
    </sheetView>
  </sheetViews>
  <sheetFormatPr baseColWidth="10" defaultRowHeight="15"/>
  <cols>
    <col min="1" max="1" width="2.85546875" bestFit="1" customWidth="1"/>
    <col min="2" max="2" width="37.5703125" bestFit="1" customWidth="1"/>
  </cols>
  <sheetData>
    <row r="1" spans="1:7">
      <c r="C1" s="25">
        <v>1</v>
      </c>
      <c r="D1" s="25">
        <v>2</v>
      </c>
      <c r="E1" s="25">
        <v>3</v>
      </c>
      <c r="F1" s="25">
        <v>4</v>
      </c>
      <c r="G1" s="25">
        <v>5</v>
      </c>
    </row>
    <row r="3" spans="1:7" ht="63.75">
      <c r="A3" s="5" t="s">
        <v>20</v>
      </c>
      <c r="B3" s="4" t="s">
        <v>1</v>
      </c>
      <c r="C3" s="49" t="s">
        <v>0</v>
      </c>
      <c r="D3" s="23" t="s">
        <v>126</v>
      </c>
      <c r="E3" s="23" t="s">
        <v>127</v>
      </c>
      <c r="F3" s="23" t="s">
        <v>128</v>
      </c>
      <c r="G3" s="51" t="s">
        <v>129</v>
      </c>
    </row>
    <row r="4" spans="1:7">
      <c r="A4" s="1">
        <v>1</v>
      </c>
      <c r="B4" s="3" t="s">
        <v>3</v>
      </c>
      <c r="C4" s="50" t="s">
        <v>2</v>
      </c>
      <c r="D4" s="17">
        <v>27722</v>
      </c>
      <c r="E4" s="17">
        <v>1900</v>
      </c>
      <c r="F4" s="143">
        <f t="shared" ref="F4:F11" si="0">D4/E4</f>
        <v>14.590526315789473</v>
      </c>
      <c r="G4" s="144">
        <f t="shared" ref="G4:G11" si="1">F4/$F$12</f>
        <v>0.32127501341207121</v>
      </c>
    </row>
    <row r="5" spans="1:7">
      <c r="A5" s="1">
        <v>2</v>
      </c>
      <c r="B5" s="3" t="s">
        <v>5</v>
      </c>
      <c r="C5" s="50" t="s">
        <v>4</v>
      </c>
      <c r="D5" s="17">
        <v>1511</v>
      </c>
      <c r="E5" s="17">
        <v>590</v>
      </c>
      <c r="F5" s="143">
        <f t="shared" si="0"/>
        <v>2.5610169491525423</v>
      </c>
      <c r="G5" s="144">
        <f t="shared" si="1"/>
        <v>5.6392123003617955E-2</v>
      </c>
    </row>
    <row r="6" spans="1:7">
      <c r="A6" s="1">
        <v>3</v>
      </c>
      <c r="B6" s="3" t="s">
        <v>7</v>
      </c>
      <c r="C6" s="50" t="s">
        <v>6</v>
      </c>
      <c r="D6" s="17">
        <v>160</v>
      </c>
      <c r="E6" s="17">
        <v>112</v>
      </c>
      <c r="F6" s="143">
        <f t="shared" si="0"/>
        <v>1.4285714285714286</v>
      </c>
      <c r="G6" s="144">
        <f t="shared" si="1"/>
        <v>3.1456322749489077E-2</v>
      </c>
    </row>
    <row r="7" spans="1:7">
      <c r="A7" s="1">
        <v>4</v>
      </c>
      <c r="B7" s="3" t="s">
        <v>9</v>
      </c>
      <c r="C7" s="50" t="s">
        <v>8</v>
      </c>
      <c r="D7" s="17">
        <v>25985</v>
      </c>
      <c r="E7" s="17">
        <v>2269</v>
      </c>
      <c r="F7" s="143">
        <f t="shared" si="0"/>
        <v>11.452181577787572</v>
      </c>
      <c r="G7" s="144">
        <f t="shared" si="1"/>
        <v>0.25217046392764719</v>
      </c>
    </row>
    <row r="8" spans="1:7">
      <c r="A8" s="1">
        <v>5</v>
      </c>
      <c r="B8" s="3" t="s">
        <v>11</v>
      </c>
      <c r="C8" s="50" t="s">
        <v>10</v>
      </c>
      <c r="D8" s="17">
        <v>1741</v>
      </c>
      <c r="E8" s="17">
        <v>402</v>
      </c>
      <c r="F8" s="143">
        <f t="shared" si="0"/>
        <v>4.3308457711442783</v>
      </c>
      <c r="G8" s="144">
        <f t="shared" si="1"/>
        <v>9.5362737648762019E-2</v>
      </c>
    </row>
    <row r="9" spans="1:7">
      <c r="A9" s="1">
        <v>6</v>
      </c>
      <c r="B9" s="3" t="s">
        <v>13</v>
      </c>
      <c r="C9" s="50" t="s">
        <v>12</v>
      </c>
      <c r="D9" s="17">
        <v>181</v>
      </c>
      <c r="E9" s="17">
        <v>138</v>
      </c>
      <c r="F9" s="143">
        <f t="shared" si="0"/>
        <v>1.3115942028985508</v>
      </c>
      <c r="G9" s="144">
        <f t="shared" si="1"/>
        <v>2.8880551393914971E-2</v>
      </c>
    </row>
    <row r="10" spans="1:7">
      <c r="A10" s="1">
        <v>7</v>
      </c>
      <c r="B10" s="3" t="s">
        <v>98</v>
      </c>
      <c r="C10" s="50" t="s">
        <v>99</v>
      </c>
      <c r="D10" s="17">
        <v>2553</v>
      </c>
      <c r="E10" s="17">
        <v>545</v>
      </c>
      <c r="F10" s="143">
        <f t="shared" si="0"/>
        <v>4.6844036697247704</v>
      </c>
      <c r="G10" s="144">
        <f t="shared" si="1"/>
        <v>0.10314787960662739</v>
      </c>
    </row>
    <row r="11" spans="1:7">
      <c r="A11" s="1">
        <v>8</v>
      </c>
      <c r="B11" s="3" t="s">
        <v>100</v>
      </c>
      <c r="C11" s="50" t="s">
        <v>101</v>
      </c>
      <c r="D11" s="17">
        <v>4479</v>
      </c>
      <c r="E11" s="17">
        <v>886</v>
      </c>
      <c r="F11" s="143">
        <f t="shared" si="0"/>
        <v>5.0553047404063207</v>
      </c>
      <c r="G11" s="144">
        <f t="shared" si="1"/>
        <v>0.11131490825787031</v>
      </c>
    </row>
    <row r="12" spans="1:7">
      <c r="A12" s="2"/>
      <c r="B12" s="2"/>
      <c r="C12" s="84" t="s">
        <v>14</v>
      </c>
      <c r="D12" s="11">
        <f>SUM(D4:D11)</f>
        <v>64332</v>
      </c>
      <c r="E12" s="11">
        <f>SUM(E4:E11)</f>
        <v>6842</v>
      </c>
      <c r="F12" s="11">
        <f>SUM(F4:F11)</f>
        <v>45.414444655474931</v>
      </c>
      <c r="G12" s="145">
        <f>SUM(G4:G11)</f>
        <v>1.0000000000000002</v>
      </c>
    </row>
    <row r="14" spans="1:7">
      <c r="D14" t="s">
        <v>51</v>
      </c>
      <c r="E14" t="s">
        <v>51</v>
      </c>
      <c r="F14" t="s">
        <v>51</v>
      </c>
      <c r="G14" t="s">
        <v>53</v>
      </c>
    </row>
    <row r="15" spans="1:7">
      <c r="D15" t="s">
        <v>60</v>
      </c>
      <c r="E15" t="s">
        <v>61</v>
      </c>
      <c r="F15" t="s">
        <v>62</v>
      </c>
    </row>
    <row r="16" spans="1:7">
      <c r="F16" t="s">
        <v>52</v>
      </c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77872-8CF4-4A12-AB93-F30A9B9A9866}">
  <sheetPr>
    <pageSetUpPr fitToPage="1"/>
  </sheetPr>
  <dimension ref="A1:H15"/>
  <sheetViews>
    <sheetView zoomScaleNormal="100" workbookViewId="0">
      <selection activeCell="H13" sqref="H13"/>
    </sheetView>
  </sheetViews>
  <sheetFormatPr baseColWidth="10" defaultRowHeight="15"/>
  <cols>
    <col min="1" max="1" width="2.85546875" bestFit="1" customWidth="1"/>
    <col min="2" max="2" width="37.5703125" bestFit="1" customWidth="1"/>
  </cols>
  <sheetData>
    <row r="1" spans="1:8">
      <c r="F1" s="24"/>
      <c r="G1" s="24"/>
      <c r="H1" s="24"/>
    </row>
    <row r="2" spans="1:8">
      <c r="C2" s="27">
        <v>1</v>
      </c>
      <c r="D2" s="27">
        <v>2</v>
      </c>
      <c r="E2" s="27">
        <v>3</v>
      </c>
      <c r="F2" s="24"/>
      <c r="G2" s="24"/>
      <c r="H2" s="24"/>
    </row>
    <row r="3" spans="1:8" ht="25.5">
      <c r="A3" s="5" t="s">
        <v>20</v>
      </c>
      <c r="B3" s="4" t="s">
        <v>1</v>
      </c>
      <c r="C3" s="49" t="s">
        <v>0</v>
      </c>
      <c r="D3" s="23" t="s">
        <v>117</v>
      </c>
      <c r="E3" s="51" t="s">
        <v>118</v>
      </c>
      <c r="F3" s="24"/>
    </row>
    <row r="4" spans="1:8">
      <c r="A4" s="1">
        <v>1</v>
      </c>
      <c r="B4" s="3" t="s">
        <v>3</v>
      </c>
      <c r="C4" s="50" t="s">
        <v>2</v>
      </c>
      <c r="D4" s="146">
        <v>59</v>
      </c>
      <c r="E4" s="147">
        <f>+D4/$D$12</f>
        <v>0.24894514767932491</v>
      </c>
      <c r="F4" s="24"/>
    </row>
    <row r="5" spans="1:8">
      <c r="A5" s="1">
        <v>2</v>
      </c>
      <c r="B5" s="3" t="s">
        <v>5</v>
      </c>
      <c r="C5" s="50" t="s">
        <v>4</v>
      </c>
      <c r="D5" s="146">
        <v>58</v>
      </c>
      <c r="E5" s="147">
        <f t="shared" ref="E5:E11" si="0">+D5/$D$12</f>
        <v>0.24472573839662448</v>
      </c>
      <c r="F5" s="24"/>
    </row>
    <row r="6" spans="1:8">
      <c r="A6" s="1">
        <v>3</v>
      </c>
      <c r="B6" s="3" t="s">
        <v>7</v>
      </c>
      <c r="C6" s="50" t="s">
        <v>6</v>
      </c>
      <c r="D6" s="146">
        <v>5</v>
      </c>
      <c r="E6" s="147">
        <f t="shared" si="0"/>
        <v>2.1097046413502109E-2</v>
      </c>
      <c r="F6" s="24"/>
    </row>
    <row r="7" spans="1:8">
      <c r="A7" s="1">
        <v>4</v>
      </c>
      <c r="B7" s="3" t="s">
        <v>9</v>
      </c>
      <c r="C7" s="50" t="s">
        <v>8</v>
      </c>
      <c r="D7" s="146">
        <v>43</v>
      </c>
      <c r="E7" s="147">
        <f t="shared" si="0"/>
        <v>0.18143459915611815</v>
      </c>
      <c r="F7" s="24"/>
    </row>
    <row r="8" spans="1:8">
      <c r="A8" s="1">
        <v>5</v>
      </c>
      <c r="B8" s="3" t="s">
        <v>11</v>
      </c>
      <c r="C8" s="50" t="s">
        <v>10</v>
      </c>
      <c r="D8" s="146">
        <v>4</v>
      </c>
      <c r="E8" s="147">
        <f t="shared" si="0"/>
        <v>1.6877637130801686E-2</v>
      </c>
      <c r="F8" s="24"/>
    </row>
    <row r="9" spans="1:8">
      <c r="A9" s="1">
        <v>6</v>
      </c>
      <c r="B9" s="3" t="s">
        <v>13</v>
      </c>
      <c r="C9" s="50" t="s">
        <v>12</v>
      </c>
      <c r="D9" s="146">
        <v>15</v>
      </c>
      <c r="E9" s="147">
        <f t="shared" si="0"/>
        <v>6.3291139240506333E-2</v>
      </c>
      <c r="F9" s="24"/>
    </row>
    <row r="10" spans="1:8">
      <c r="A10" s="1">
        <v>7</v>
      </c>
      <c r="B10" s="3" t="s">
        <v>98</v>
      </c>
      <c r="C10" s="50" t="s">
        <v>99</v>
      </c>
      <c r="D10" s="146">
        <v>6</v>
      </c>
      <c r="E10" s="147">
        <f t="shared" si="0"/>
        <v>2.5316455696202531E-2</v>
      </c>
      <c r="F10" s="24"/>
    </row>
    <row r="11" spans="1:8">
      <c r="A11" s="1">
        <v>8</v>
      </c>
      <c r="B11" s="3" t="s">
        <v>100</v>
      </c>
      <c r="C11" s="50" t="s">
        <v>101</v>
      </c>
      <c r="D11" s="146">
        <v>47</v>
      </c>
      <c r="E11" s="147">
        <f t="shared" si="0"/>
        <v>0.19831223628691982</v>
      </c>
      <c r="F11" s="24"/>
    </row>
    <row r="12" spans="1:8">
      <c r="A12" s="2"/>
      <c r="B12" s="2"/>
      <c r="C12" s="84" t="s">
        <v>14</v>
      </c>
      <c r="D12" s="148">
        <f>SUM(D4:D11)</f>
        <v>237</v>
      </c>
      <c r="E12" s="145">
        <f>SUM(E4:E9)</f>
        <v>0.7763713080168777</v>
      </c>
      <c r="F12" s="24"/>
    </row>
    <row r="13" spans="1:8">
      <c r="A13" s="2"/>
      <c r="B13" s="24"/>
      <c r="C13" s="24"/>
      <c r="D13" s="24"/>
      <c r="E13" s="24"/>
      <c r="F13" s="24"/>
    </row>
    <row r="14" spans="1:8">
      <c r="D14" t="s">
        <v>51</v>
      </c>
      <c r="E14" t="s">
        <v>53</v>
      </c>
      <c r="F14" s="24"/>
    </row>
    <row r="15" spans="1:8">
      <c r="D15" t="s">
        <v>52</v>
      </c>
    </row>
  </sheetData>
  <pageMargins left="0.70866141732283472" right="0.70866141732283472" top="0.74803149606299213" bottom="0.74803149606299213" header="0.31496062992125984" footer="0.31496062992125984"/>
  <pageSetup paperSize="14" orientation="landscape" verticalDpi="0" r:id="rId1"/>
  <headerFoot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558C-33CF-41E9-8418-041BF7DD9104}">
  <sheetPr>
    <pageSetUpPr fitToPage="1"/>
  </sheetPr>
  <dimension ref="A1:R20"/>
  <sheetViews>
    <sheetView topLeftCell="J1" zoomScaleNormal="100" workbookViewId="0">
      <selection activeCell="R5" sqref="R5"/>
    </sheetView>
  </sheetViews>
  <sheetFormatPr baseColWidth="10" defaultColWidth="11.42578125" defaultRowHeight="12"/>
  <cols>
    <col min="1" max="1" width="2.85546875" style="95" bestFit="1" customWidth="1"/>
    <col min="2" max="2" width="39.28515625" style="95" customWidth="1"/>
    <col min="3" max="3" width="11.42578125" style="95" customWidth="1"/>
    <col min="4" max="7" width="10" style="95" customWidth="1"/>
    <col min="8" max="8" width="11.28515625" style="95" customWidth="1"/>
    <col min="9" max="10" width="11.42578125" style="95"/>
    <col min="11" max="11" width="12.140625" style="95" customWidth="1"/>
    <col min="12" max="12" width="9.28515625" style="95" customWidth="1"/>
    <col min="13" max="13" width="11.42578125" style="95"/>
    <col min="14" max="14" width="8.85546875" style="95" customWidth="1"/>
    <col min="15" max="15" width="10.28515625" style="95" customWidth="1"/>
    <col min="16" max="16" width="10.7109375" style="95" customWidth="1"/>
    <col min="17" max="17" width="8.5703125" style="95" customWidth="1"/>
    <col min="18" max="16384" width="11.42578125" style="95"/>
  </cols>
  <sheetData>
    <row r="1" spans="1:18" ht="12" customHeight="1">
      <c r="O1" s="96">
        <v>1</v>
      </c>
      <c r="P1" s="96">
        <v>2</v>
      </c>
      <c r="Q1" s="96">
        <v>3</v>
      </c>
      <c r="R1" s="96"/>
    </row>
    <row r="2" spans="1:18" s="97" customFormat="1"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R2" s="98"/>
    </row>
    <row r="3" spans="1:18" s="97" customFormat="1" ht="12.75" thickBot="1">
      <c r="P3" s="175">
        <v>0.7</v>
      </c>
      <c r="Q3" s="175">
        <v>0.3</v>
      </c>
    </row>
    <row r="4" spans="1:18" ht="132">
      <c r="A4" s="149" t="s">
        <v>20</v>
      </c>
      <c r="B4" s="99" t="s">
        <v>1</v>
      </c>
      <c r="C4" s="100" t="s">
        <v>0</v>
      </c>
      <c r="D4" s="150" t="s">
        <v>36</v>
      </c>
      <c r="E4" s="151" t="s">
        <v>37</v>
      </c>
      <c r="F4" s="152" t="s">
        <v>96</v>
      </c>
      <c r="G4" s="153" t="s">
        <v>114</v>
      </c>
      <c r="H4" s="154" t="s">
        <v>113</v>
      </c>
      <c r="I4" s="155" t="s">
        <v>115</v>
      </c>
      <c r="J4" s="154" t="s">
        <v>97</v>
      </c>
      <c r="K4" s="156" t="s">
        <v>116</v>
      </c>
      <c r="L4" s="157" t="s">
        <v>48</v>
      </c>
      <c r="M4" s="155" t="s">
        <v>43</v>
      </c>
      <c r="O4" s="101" t="s">
        <v>0</v>
      </c>
      <c r="P4" s="102" t="s">
        <v>45</v>
      </c>
      <c r="Q4" s="103" t="s">
        <v>44</v>
      </c>
      <c r="R4" s="104" t="s">
        <v>47</v>
      </c>
    </row>
    <row r="5" spans="1:18">
      <c r="A5" s="109">
        <v>1</v>
      </c>
      <c r="B5" s="158" t="s">
        <v>3</v>
      </c>
      <c r="C5" s="105" t="s">
        <v>2</v>
      </c>
      <c r="D5" s="159">
        <v>339</v>
      </c>
      <c r="E5" s="159">
        <v>389</v>
      </c>
      <c r="F5" s="160">
        <v>378</v>
      </c>
      <c r="G5" s="161">
        <v>355</v>
      </c>
      <c r="H5" s="162">
        <f>SUM(E5:G5)</f>
        <v>1122</v>
      </c>
      <c r="I5" s="108">
        <f>+H5/$H$13</f>
        <v>0.24333116460637605</v>
      </c>
      <c r="J5" s="162">
        <f>SUM(D5:F5)</f>
        <v>1106</v>
      </c>
      <c r="K5" s="163">
        <f>+H5/J5-1</f>
        <v>1.4466546112115841E-2</v>
      </c>
      <c r="L5" s="163">
        <f t="shared" ref="L5:L12" si="0">IF(K5&lt;0,0,K5)</f>
        <v>1.4466546112115841E-2</v>
      </c>
      <c r="M5" s="108">
        <f>+L5/$L$13</f>
        <v>6.2101226412420128E-3</v>
      </c>
      <c r="O5" s="106" t="s">
        <v>2</v>
      </c>
      <c r="P5" s="107">
        <f>+I5*$P$3</f>
        <v>0.17033181522446322</v>
      </c>
      <c r="Q5" s="107">
        <f t="shared" ref="Q5:Q12" si="1">+M5*$Q$3</f>
        <v>1.8630367923726037E-3</v>
      </c>
      <c r="R5" s="108">
        <f>SUM(P5:Q5)</f>
        <v>0.17219485201683582</v>
      </c>
    </row>
    <row r="6" spans="1:18">
      <c r="A6" s="109">
        <v>2</v>
      </c>
      <c r="B6" s="158" t="s">
        <v>5</v>
      </c>
      <c r="C6" s="105" t="s">
        <v>4</v>
      </c>
      <c r="D6" s="159">
        <v>103</v>
      </c>
      <c r="E6" s="159">
        <v>130</v>
      </c>
      <c r="F6" s="160">
        <v>132</v>
      </c>
      <c r="G6" s="161">
        <v>149</v>
      </c>
      <c r="H6" s="162">
        <f t="shared" ref="H6:H12" si="2">SUM(E6:G6)</f>
        <v>411</v>
      </c>
      <c r="I6" s="108">
        <f t="shared" ref="I6:I12" si="3">+H6/$H$13</f>
        <v>8.913467794404685E-2</v>
      </c>
      <c r="J6" s="162">
        <f t="shared" ref="J6:J12" si="4">SUM(D6:F6)</f>
        <v>365</v>
      </c>
      <c r="K6" s="164">
        <f t="shared" ref="K6:K12" si="5">+H6/J6-1</f>
        <v>0.1260273972602739</v>
      </c>
      <c r="L6" s="164">
        <f t="shared" si="0"/>
        <v>0.1260273972602739</v>
      </c>
      <c r="M6" s="108">
        <f t="shared" ref="M6:M12" si="6">+L6/$L$13</f>
        <v>5.410037662599762E-2</v>
      </c>
      <c r="O6" s="106" t="s">
        <v>4</v>
      </c>
      <c r="P6" s="107">
        <f t="shared" ref="P6:P12" si="7">+I6*$P$3</f>
        <v>6.239427456083279E-2</v>
      </c>
      <c r="Q6" s="107">
        <f t="shared" si="1"/>
        <v>1.6230112987799285E-2</v>
      </c>
      <c r="R6" s="108">
        <f t="shared" ref="R6:R12" si="8">SUM(P6:Q6)</f>
        <v>7.8624387548632074E-2</v>
      </c>
    </row>
    <row r="7" spans="1:18">
      <c r="A7" s="109">
        <v>3</v>
      </c>
      <c r="B7" s="158" t="s">
        <v>7</v>
      </c>
      <c r="C7" s="105" t="s">
        <v>6</v>
      </c>
      <c r="D7" s="159">
        <v>12</v>
      </c>
      <c r="E7" s="159">
        <v>13</v>
      </c>
      <c r="F7" s="160">
        <v>19</v>
      </c>
      <c r="G7" s="161">
        <v>55</v>
      </c>
      <c r="H7" s="162">
        <f t="shared" si="2"/>
        <v>87</v>
      </c>
      <c r="I7" s="108">
        <f t="shared" si="3"/>
        <v>1.8867924528301886E-2</v>
      </c>
      <c r="J7" s="162">
        <f t="shared" si="4"/>
        <v>44</v>
      </c>
      <c r="K7" s="164">
        <f t="shared" si="5"/>
        <v>0.97727272727272729</v>
      </c>
      <c r="L7" s="164">
        <f t="shared" si="0"/>
        <v>0.97727272727272729</v>
      </c>
      <c r="M7" s="108">
        <f t="shared" si="6"/>
        <v>0.41951848376730888</v>
      </c>
      <c r="O7" s="106" t="s">
        <v>6</v>
      </c>
      <c r="P7" s="107">
        <f t="shared" si="7"/>
        <v>1.320754716981132E-2</v>
      </c>
      <c r="Q7" s="107">
        <f t="shared" si="1"/>
        <v>0.12585554513019265</v>
      </c>
      <c r="R7" s="108">
        <f t="shared" si="8"/>
        <v>0.13906309230000397</v>
      </c>
    </row>
    <row r="8" spans="1:18">
      <c r="A8" s="109">
        <v>4</v>
      </c>
      <c r="B8" s="158" t="s">
        <v>9</v>
      </c>
      <c r="C8" s="105" t="s">
        <v>8</v>
      </c>
      <c r="D8" s="159">
        <v>378</v>
      </c>
      <c r="E8" s="159">
        <v>432</v>
      </c>
      <c r="F8" s="160">
        <v>508</v>
      </c>
      <c r="G8" s="161">
        <v>563</v>
      </c>
      <c r="H8" s="162">
        <f t="shared" si="2"/>
        <v>1503</v>
      </c>
      <c r="I8" s="108">
        <f t="shared" si="3"/>
        <v>0.32595966167859469</v>
      </c>
      <c r="J8" s="162">
        <f t="shared" si="4"/>
        <v>1318</v>
      </c>
      <c r="K8" s="164">
        <f t="shared" si="5"/>
        <v>0.14036418816388463</v>
      </c>
      <c r="L8" s="164">
        <f t="shared" si="0"/>
        <v>0.14036418816388463</v>
      </c>
      <c r="M8" s="108">
        <f t="shared" si="6"/>
        <v>6.0254798635457053E-2</v>
      </c>
      <c r="O8" s="106" t="s">
        <v>8</v>
      </c>
      <c r="P8" s="107">
        <f t="shared" si="7"/>
        <v>0.22817176317501628</v>
      </c>
      <c r="Q8" s="107">
        <f t="shared" si="1"/>
        <v>1.8076439590637115E-2</v>
      </c>
      <c r="R8" s="108">
        <f t="shared" si="8"/>
        <v>0.2462482027656534</v>
      </c>
    </row>
    <row r="9" spans="1:18">
      <c r="A9" s="109">
        <v>5</v>
      </c>
      <c r="B9" s="158" t="s">
        <v>11</v>
      </c>
      <c r="C9" s="105" t="s">
        <v>10</v>
      </c>
      <c r="D9" s="159">
        <v>58</v>
      </c>
      <c r="E9" s="159">
        <v>74</v>
      </c>
      <c r="F9" s="160">
        <v>85</v>
      </c>
      <c r="G9" s="161">
        <v>89</v>
      </c>
      <c r="H9" s="162">
        <f t="shared" si="2"/>
        <v>248</v>
      </c>
      <c r="I9" s="108">
        <f t="shared" si="3"/>
        <v>5.3784428540446759E-2</v>
      </c>
      <c r="J9" s="162">
        <f t="shared" si="4"/>
        <v>217</v>
      </c>
      <c r="K9" s="164">
        <f t="shared" si="5"/>
        <v>0.14285714285714279</v>
      </c>
      <c r="L9" s="164">
        <f t="shared" si="0"/>
        <v>0.14285714285714279</v>
      </c>
      <c r="M9" s="108">
        <f t="shared" si="6"/>
        <v>6.1324961082264387E-2</v>
      </c>
      <c r="O9" s="106" t="s">
        <v>10</v>
      </c>
      <c r="P9" s="107">
        <f t="shared" si="7"/>
        <v>3.7649099978312728E-2</v>
      </c>
      <c r="Q9" s="107">
        <f t="shared" si="1"/>
        <v>1.8397488324679315E-2</v>
      </c>
      <c r="R9" s="108">
        <f t="shared" si="8"/>
        <v>5.6046588302992043E-2</v>
      </c>
    </row>
    <row r="10" spans="1:18">
      <c r="A10" s="109">
        <v>6</v>
      </c>
      <c r="B10" s="158" t="s">
        <v>13</v>
      </c>
      <c r="C10" s="105" t="s">
        <v>12</v>
      </c>
      <c r="D10" s="159">
        <v>29</v>
      </c>
      <c r="E10" s="159">
        <v>20</v>
      </c>
      <c r="F10" s="160">
        <v>42</v>
      </c>
      <c r="G10" s="161">
        <v>33</v>
      </c>
      <c r="H10" s="162">
        <f t="shared" si="2"/>
        <v>95</v>
      </c>
      <c r="I10" s="108">
        <f t="shared" si="3"/>
        <v>2.0602906094122748E-2</v>
      </c>
      <c r="J10" s="162">
        <f t="shared" si="4"/>
        <v>91</v>
      </c>
      <c r="K10" s="164">
        <f t="shared" si="5"/>
        <v>4.3956043956044022E-2</v>
      </c>
      <c r="L10" s="164">
        <f t="shared" si="0"/>
        <v>4.3956043956044022E-2</v>
      </c>
      <c r="M10" s="108">
        <f t="shared" si="6"/>
        <v>1.8869218794542925E-2</v>
      </c>
      <c r="O10" s="106" t="s">
        <v>12</v>
      </c>
      <c r="P10" s="107">
        <f t="shared" si="7"/>
        <v>1.4422034265885923E-2</v>
      </c>
      <c r="Q10" s="107">
        <f t="shared" si="1"/>
        <v>5.6607656383628772E-3</v>
      </c>
      <c r="R10" s="108">
        <f t="shared" si="8"/>
        <v>2.0082799904248799E-2</v>
      </c>
    </row>
    <row r="11" spans="1:18">
      <c r="A11" s="109">
        <v>7</v>
      </c>
      <c r="B11" s="158" t="s">
        <v>98</v>
      </c>
      <c r="C11" s="109" t="s">
        <v>99</v>
      </c>
      <c r="D11" s="159">
        <v>71</v>
      </c>
      <c r="E11" s="159">
        <v>108</v>
      </c>
      <c r="F11" s="160">
        <v>163</v>
      </c>
      <c r="G11" s="161">
        <v>145</v>
      </c>
      <c r="H11" s="162">
        <f t="shared" si="2"/>
        <v>416</v>
      </c>
      <c r="I11" s="108">
        <f t="shared" si="3"/>
        <v>9.0219041422684887E-2</v>
      </c>
      <c r="J11" s="162">
        <f t="shared" si="4"/>
        <v>342</v>
      </c>
      <c r="K11" s="164">
        <f t="shared" si="5"/>
        <v>0.21637426900584789</v>
      </c>
      <c r="L11" s="164">
        <f t="shared" si="0"/>
        <v>0.21637426900584789</v>
      </c>
      <c r="M11" s="108">
        <f t="shared" si="6"/>
        <v>9.2884005381909232E-2</v>
      </c>
      <c r="O11" s="106" t="s">
        <v>99</v>
      </c>
      <c r="P11" s="107">
        <f t="shared" si="7"/>
        <v>6.3153328995879415E-2</v>
      </c>
      <c r="Q11" s="107">
        <f t="shared" si="1"/>
        <v>2.786520161457277E-2</v>
      </c>
      <c r="R11" s="108">
        <f t="shared" si="8"/>
        <v>9.1018530610452189E-2</v>
      </c>
    </row>
    <row r="12" spans="1:18">
      <c r="A12" s="109">
        <v>8</v>
      </c>
      <c r="B12" s="158" t="s">
        <v>100</v>
      </c>
      <c r="C12" s="109" t="s">
        <v>101</v>
      </c>
      <c r="D12" s="159">
        <v>78</v>
      </c>
      <c r="E12" s="159">
        <v>97</v>
      </c>
      <c r="F12" s="160">
        <v>262</v>
      </c>
      <c r="G12" s="161">
        <v>370</v>
      </c>
      <c r="H12" s="162">
        <f t="shared" si="2"/>
        <v>729</v>
      </c>
      <c r="I12" s="108">
        <f t="shared" si="3"/>
        <v>0.15810019518542615</v>
      </c>
      <c r="J12" s="162">
        <f t="shared" si="4"/>
        <v>437</v>
      </c>
      <c r="K12" s="164">
        <f t="shared" si="5"/>
        <v>0.66819221967963394</v>
      </c>
      <c r="L12" s="164">
        <f t="shared" si="0"/>
        <v>0.66819221967963394</v>
      </c>
      <c r="M12" s="108">
        <f t="shared" si="6"/>
        <v>0.28683803307127798</v>
      </c>
      <c r="O12" s="106" t="s">
        <v>101</v>
      </c>
      <c r="P12" s="107">
        <f t="shared" si="7"/>
        <v>0.1106701366297983</v>
      </c>
      <c r="Q12" s="107">
        <f t="shared" si="1"/>
        <v>8.6051409921383396E-2</v>
      </c>
      <c r="R12" s="108">
        <f t="shared" si="8"/>
        <v>0.19672154655118168</v>
      </c>
    </row>
    <row r="13" spans="1:18" ht="12.75" thickBot="1">
      <c r="C13" s="110" t="s">
        <v>14</v>
      </c>
      <c r="D13" s="165">
        <f t="shared" ref="D13:M13" si="9">SUM(D5:D12)</f>
        <v>1068</v>
      </c>
      <c r="E13" s="166">
        <f t="shared" si="9"/>
        <v>1263</v>
      </c>
      <c r="F13" s="167">
        <f t="shared" si="9"/>
        <v>1589</v>
      </c>
      <c r="G13" s="168">
        <f t="shared" si="9"/>
        <v>1759</v>
      </c>
      <c r="H13" s="169">
        <f t="shared" si="9"/>
        <v>4611</v>
      </c>
      <c r="I13" s="170">
        <f t="shared" si="9"/>
        <v>1</v>
      </c>
      <c r="J13" s="171">
        <f t="shared" si="9"/>
        <v>3920</v>
      </c>
      <c r="K13" s="172">
        <f t="shared" si="9"/>
        <v>2.3295105343076701</v>
      </c>
      <c r="L13" s="173">
        <f t="shared" si="9"/>
        <v>2.3295105343076701</v>
      </c>
      <c r="M13" s="174">
        <f t="shared" si="9"/>
        <v>1</v>
      </c>
      <c r="O13" s="111" t="s">
        <v>14</v>
      </c>
      <c r="P13" s="112">
        <f>SUM(P5:P12)</f>
        <v>0.7</v>
      </c>
      <c r="Q13" s="112">
        <f>SUM(Q5:Q12)</f>
        <v>0.30000000000000004</v>
      </c>
      <c r="R13" s="113">
        <f>SUM(R5:R12)</f>
        <v>0.99999999999999989</v>
      </c>
    </row>
    <row r="14" spans="1:18">
      <c r="D14" s="115"/>
      <c r="E14" s="116" t="s">
        <v>63</v>
      </c>
      <c r="F14" s="117" t="s">
        <v>63</v>
      </c>
      <c r="G14" s="116" t="s">
        <v>63</v>
      </c>
      <c r="H14" s="95" t="s">
        <v>63</v>
      </c>
      <c r="I14" s="95" t="s">
        <v>63</v>
      </c>
      <c r="L14" s="176"/>
      <c r="P14" s="95" t="s">
        <v>63</v>
      </c>
      <c r="Q14" s="95" t="s">
        <v>64</v>
      </c>
    </row>
    <row r="15" spans="1:18">
      <c r="D15" s="115"/>
      <c r="E15" s="116" t="s">
        <v>51</v>
      </c>
      <c r="F15" s="117" t="s">
        <v>51</v>
      </c>
      <c r="G15" s="116" t="s">
        <v>51</v>
      </c>
      <c r="H15" s="95" t="s">
        <v>51</v>
      </c>
      <c r="I15" s="95" t="s">
        <v>53</v>
      </c>
      <c r="P15" s="95" t="s">
        <v>54</v>
      </c>
      <c r="Q15" s="95" t="s">
        <v>134</v>
      </c>
    </row>
    <row r="16" spans="1:18">
      <c r="C16" s="97"/>
      <c r="D16" s="114"/>
      <c r="E16" s="118"/>
      <c r="F16" s="119"/>
      <c r="G16" s="97"/>
      <c r="H16" s="97" t="s">
        <v>52</v>
      </c>
    </row>
    <row r="17" spans="3:13">
      <c r="C17" s="97"/>
      <c r="D17" s="114"/>
      <c r="E17" s="118"/>
      <c r="F17" s="119"/>
      <c r="G17" s="97"/>
      <c r="H17" s="97"/>
    </row>
    <row r="18" spans="3:13" ht="12.75" thickBot="1">
      <c r="C18" s="97"/>
      <c r="D18" s="120" t="s">
        <v>64</v>
      </c>
      <c r="E18" s="121" t="s">
        <v>64</v>
      </c>
      <c r="F18" s="122" t="s">
        <v>64</v>
      </c>
      <c r="G18" s="97"/>
      <c r="H18" s="97"/>
      <c r="J18" s="95" t="s">
        <v>64</v>
      </c>
      <c r="K18" s="95" t="s">
        <v>64</v>
      </c>
      <c r="L18" s="95" t="s">
        <v>64</v>
      </c>
      <c r="M18" s="95" t="s">
        <v>64</v>
      </c>
    </row>
    <row r="19" spans="3:13">
      <c r="C19" s="97"/>
      <c r="D19" s="118" t="s">
        <v>55</v>
      </c>
      <c r="E19" s="118" t="s">
        <v>55</v>
      </c>
      <c r="F19" s="118" t="s">
        <v>55</v>
      </c>
      <c r="G19" s="97"/>
      <c r="H19" s="97"/>
      <c r="J19" s="95" t="s">
        <v>55</v>
      </c>
      <c r="K19" s="95" t="s">
        <v>57</v>
      </c>
      <c r="L19" s="95" t="s">
        <v>65</v>
      </c>
      <c r="M19" s="95" t="s">
        <v>67</v>
      </c>
    </row>
    <row r="20" spans="3:13">
      <c r="C20" s="97"/>
      <c r="D20" s="97"/>
      <c r="E20" s="97"/>
      <c r="F20" s="97"/>
      <c r="G20" s="97"/>
      <c r="H20" s="97"/>
      <c r="J20" s="95" t="s">
        <v>56</v>
      </c>
      <c r="L20" s="95" t="s">
        <v>66</v>
      </c>
    </row>
  </sheetData>
  <phoneticPr fontId="19" type="noConversion"/>
  <pageMargins left="0.70866141732283472" right="0.70866141732283472" top="0.74803149606299213" bottom="0.74803149606299213" header="0.31496062992125984" footer="0.31496062992125984"/>
  <pageSetup paperSize="14" scale="70" orientation="landscape" verticalDpi="0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FI 2021 Distribución</vt:lpstr>
      <vt:lpstr>I.Acreditación Institucional</vt:lpstr>
      <vt:lpstr>II.Doctorados Acreditados</vt:lpstr>
      <vt:lpstr>III. Planta Académica</vt:lpstr>
      <vt:lpstr>IV. Publicaciones por acad.</vt:lpstr>
      <vt:lpstr>V.Citas</vt:lpstr>
      <vt:lpstr>VI. Proyectos</vt:lpstr>
      <vt:lpstr>VII. Publicaciones</vt:lpstr>
      <vt:lpstr>'FI 2021 Distribución'!Títulos_a_imprimir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Roxana Acuña Molina</cp:lastModifiedBy>
  <cp:lastPrinted>2021-08-27T20:00:56Z</cp:lastPrinted>
  <dcterms:created xsi:type="dcterms:W3CDTF">2018-10-10T19:04:28Z</dcterms:created>
  <dcterms:modified xsi:type="dcterms:W3CDTF">2021-10-25T14:38:39Z</dcterms:modified>
</cp:coreProperties>
</file>