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UDAC 2008\CD Basal\CM_BD_FI (2018)\"/>
    </mc:Choice>
  </mc:AlternateContent>
  <xr:revisionPtr revIDLastSave="0" documentId="13_ncr:1_{A6093755-ACD1-40C4-86D4-287A26ABD44D}" xr6:coauthVersionLast="43" xr6:coauthVersionMax="43" xr10:uidLastSave="{00000000-0000-0000-0000-000000000000}"/>
  <bookViews>
    <workbookView xWindow="-120" yWindow="-120" windowWidth="29040" windowHeight="15840" tabRatio="839" xr2:uid="{00000000-000D-0000-FFFF-FFFF00000000}"/>
  </bookViews>
  <sheets>
    <sheet name="Montos CM 2018" sheetId="4" r:id="rId1"/>
    <sheet name="Montos CM 2018 Anticipo" sheetId="11" r:id="rId2"/>
    <sheet name="Categorías" sheetId="1" r:id="rId3"/>
    <sheet name="Valores" sheetId="2" r:id="rId4"/>
    <sheet name="Indicadores" sheetId="3" r:id="rId5"/>
    <sheet name="Publicaciones CM" sheetId="5" r:id="rId6"/>
    <sheet name="Acreditación CM" sheetId="6" r:id="rId7"/>
    <sheet name="Doctorado JC CM" sheetId="7" r:id="rId8"/>
    <sheet name="Programas Doct. Acreditados CM" sheetId="8" r:id="rId9"/>
    <sheet name="Académicos JC CM" sheetId="9" r:id="rId10"/>
    <sheet name="Matrícula Regular Pre CM" sheetId="10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9" hidden="1">'Académicos JC CM'!$A$2:$C$20</definedName>
    <definedName name="_xlnm._FilterDatabase" localSheetId="2" hidden="1">Categorías!$A$4:$AL$23</definedName>
    <definedName name="_xlnm._FilterDatabase" localSheetId="7" hidden="1">'Doctorado JC CM'!$A$2:$C$20</definedName>
    <definedName name="_xlnm._FilterDatabase" localSheetId="4" hidden="1">Indicadores!$A$1:$AI$21</definedName>
    <definedName name="_xlnm._FilterDatabase" localSheetId="0" hidden="1">'Montos CM 2018'!$A$4:$P$29</definedName>
    <definedName name="_xlnm._FilterDatabase" localSheetId="1" hidden="1">'Montos CM 2018 Anticipo'!$A$3:$D$26</definedName>
    <definedName name="_xlnm._FilterDatabase" localSheetId="3" hidden="1">Valores!$A$1:$Y$26</definedName>
    <definedName name="_xlnm.Print_Titles" localSheetId="0">'Montos CM 2018'!$B:$B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4" l="1"/>
  <c r="F10" i="4" l="1"/>
  <c r="B31" i="11" l="1"/>
  <c r="B32" i="11" s="1"/>
  <c r="I8" i="11" l="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7" i="11"/>
  <c r="G24" i="11"/>
  <c r="G23" i="11"/>
  <c r="G16" i="11"/>
  <c r="G12" i="11"/>
  <c r="I25" i="11" l="1"/>
  <c r="J17" i="11" s="1"/>
  <c r="K17" i="11" s="1"/>
  <c r="G11" i="11"/>
  <c r="G7" i="11"/>
  <c r="G8" i="11"/>
  <c r="G10" i="11"/>
  <c r="G15" i="11"/>
  <c r="G14" i="11"/>
  <c r="G19" i="11"/>
  <c r="G18" i="11"/>
  <c r="G9" i="11"/>
  <c r="G13" i="11"/>
  <c r="G17" i="11"/>
  <c r="G20" i="11"/>
  <c r="G21" i="11"/>
  <c r="G22" i="11"/>
  <c r="J7" i="11" l="1"/>
  <c r="K7" i="11" s="1"/>
  <c r="J12" i="11"/>
  <c r="K12" i="11" s="1"/>
  <c r="J22" i="11"/>
  <c r="K22" i="11" s="1"/>
  <c r="J13" i="11"/>
  <c r="K13" i="11" s="1"/>
  <c r="J16" i="11"/>
  <c r="K16" i="11" s="1"/>
  <c r="J18" i="11"/>
  <c r="K18" i="11" s="1"/>
  <c r="J9" i="11"/>
  <c r="K9" i="11" s="1"/>
  <c r="J20" i="11"/>
  <c r="K20" i="11" s="1"/>
  <c r="J15" i="11"/>
  <c r="K15" i="11" s="1"/>
  <c r="J23" i="11"/>
  <c r="K23" i="11" s="1"/>
  <c r="J11" i="11"/>
  <c r="K11" i="11" s="1"/>
  <c r="J10" i="11"/>
  <c r="K10" i="11" s="1"/>
  <c r="J14" i="11"/>
  <c r="K14" i="11" s="1"/>
  <c r="J19" i="11"/>
  <c r="K19" i="11" s="1"/>
  <c r="J8" i="11"/>
  <c r="K8" i="11" s="1"/>
  <c r="J24" i="11"/>
  <c r="K24" i="11" s="1"/>
  <c r="J21" i="11"/>
  <c r="K21" i="11" s="1"/>
  <c r="K25" i="11" l="1"/>
  <c r="J25" i="11"/>
  <c r="Z26" i="4" l="1"/>
  <c r="Z27" i="4"/>
  <c r="G28" i="4" l="1"/>
  <c r="D33" i="4" s="1"/>
  <c r="H28" i="4"/>
  <c r="E33" i="4" s="1"/>
  <c r="I28" i="4"/>
  <c r="F33" i="4" s="1"/>
  <c r="S28" i="4"/>
  <c r="V28" i="4"/>
  <c r="K33" i="4" s="1"/>
  <c r="E28" i="4"/>
  <c r="C4" i="9" l="1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3" i="9"/>
  <c r="C4" i="7" l="1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3" i="7"/>
  <c r="T26" i="4" l="1"/>
  <c r="T27" i="4"/>
  <c r="U26" i="4" l="1"/>
  <c r="U27" i="4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3" i="10"/>
  <c r="C21" i="10" l="1"/>
  <c r="D8" i="10" s="1"/>
  <c r="C21" i="9"/>
  <c r="D3" i="9" s="1"/>
  <c r="C21" i="7"/>
  <c r="D9" i="7" s="1"/>
  <c r="C4" i="6"/>
  <c r="F4" i="6" s="1"/>
  <c r="C5" i="6"/>
  <c r="F5" i="6" s="1"/>
  <c r="C6" i="6"/>
  <c r="F6" i="6" s="1"/>
  <c r="C7" i="6"/>
  <c r="F7" i="6" s="1"/>
  <c r="C8" i="6"/>
  <c r="F8" i="6" s="1"/>
  <c r="C9" i="6"/>
  <c r="F9" i="6" s="1"/>
  <c r="C10" i="6"/>
  <c r="F10" i="6" s="1"/>
  <c r="C11" i="6"/>
  <c r="F11" i="6" s="1"/>
  <c r="C12" i="6"/>
  <c r="F12" i="6" s="1"/>
  <c r="C13" i="6"/>
  <c r="F13" i="6" s="1"/>
  <c r="C14" i="6"/>
  <c r="F14" i="6" s="1"/>
  <c r="C15" i="6"/>
  <c r="F15" i="6" s="1"/>
  <c r="C16" i="6"/>
  <c r="F16" i="6" s="1"/>
  <c r="C17" i="6"/>
  <c r="F17" i="6" s="1"/>
  <c r="C18" i="6"/>
  <c r="F18" i="6" s="1"/>
  <c r="C19" i="6"/>
  <c r="F19" i="6" s="1"/>
  <c r="C20" i="6"/>
  <c r="F20" i="6" s="1"/>
  <c r="C3" i="6"/>
  <c r="F3" i="6" s="1"/>
  <c r="E4" i="6"/>
  <c r="H4" i="6" s="1"/>
  <c r="E5" i="6"/>
  <c r="H5" i="6" s="1"/>
  <c r="E6" i="6"/>
  <c r="H6" i="6" s="1"/>
  <c r="E7" i="6"/>
  <c r="H7" i="6" s="1"/>
  <c r="E8" i="6"/>
  <c r="H8" i="6" s="1"/>
  <c r="E9" i="6"/>
  <c r="H9" i="6" s="1"/>
  <c r="E10" i="6"/>
  <c r="H10" i="6" s="1"/>
  <c r="E11" i="6"/>
  <c r="H11" i="6" s="1"/>
  <c r="E12" i="6"/>
  <c r="H12" i="6" s="1"/>
  <c r="E13" i="6"/>
  <c r="H13" i="6" s="1"/>
  <c r="E14" i="6"/>
  <c r="H14" i="6" s="1"/>
  <c r="E15" i="6"/>
  <c r="H15" i="6" s="1"/>
  <c r="E16" i="6"/>
  <c r="H16" i="6" s="1"/>
  <c r="E17" i="6"/>
  <c r="H17" i="6" s="1"/>
  <c r="E18" i="6"/>
  <c r="H18" i="6" s="1"/>
  <c r="E19" i="6"/>
  <c r="H19" i="6" s="1"/>
  <c r="E20" i="6"/>
  <c r="H20" i="6" s="1"/>
  <c r="E3" i="6"/>
  <c r="H3" i="6" s="1"/>
  <c r="D4" i="6"/>
  <c r="G4" i="6" s="1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13" i="6"/>
  <c r="G13" i="6" s="1"/>
  <c r="D14" i="6"/>
  <c r="G14" i="6" s="1"/>
  <c r="D15" i="6"/>
  <c r="G15" i="6" s="1"/>
  <c r="D16" i="6"/>
  <c r="G16" i="6" s="1"/>
  <c r="D17" i="6"/>
  <c r="G17" i="6" s="1"/>
  <c r="D18" i="6"/>
  <c r="G18" i="6" s="1"/>
  <c r="D19" i="6"/>
  <c r="G19" i="6" s="1"/>
  <c r="D20" i="6"/>
  <c r="G20" i="6" s="1"/>
  <c r="D3" i="6"/>
  <c r="G3" i="6" s="1"/>
  <c r="B24" i="6"/>
  <c r="C21" i="5"/>
  <c r="D6" i="5" s="1"/>
  <c r="D17" i="5" l="1"/>
  <c r="D9" i="5"/>
  <c r="D16" i="5"/>
  <c r="D8" i="5"/>
  <c r="D3" i="5"/>
  <c r="D13" i="5"/>
  <c r="D5" i="5"/>
  <c r="D20" i="5"/>
  <c r="D12" i="5"/>
  <c r="D4" i="5"/>
  <c r="D3" i="10"/>
  <c r="D19" i="5"/>
  <c r="D15" i="5"/>
  <c r="D11" i="5"/>
  <c r="D7" i="5"/>
  <c r="D18" i="5"/>
  <c r="D14" i="5"/>
  <c r="D10" i="5"/>
  <c r="D7" i="10"/>
  <c r="D12" i="10"/>
  <c r="D6" i="10"/>
  <c r="D17" i="10"/>
  <c r="D16" i="10"/>
  <c r="D10" i="10"/>
  <c r="D9" i="10"/>
  <c r="D19" i="10"/>
  <c r="D20" i="10"/>
  <c r="D15" i="10"/>
  <c r="D18" i="10"/>
  <c r="D5" i="10"/>
  <c r="D4" i="10"/>
  <c r="D14" i="10"/>
  <c r="D13" i="10"/>
  <c r="D11" i="10"/>
  <c r="I10" i="6"/>
  <c r="I6" i="6"/>
  <c r="D7" i="9"/>
  <c r="D8" i="9"/>
  <c r="D19" i="9"/>
  <c r="D10" i="9"/>
  <c r="D12" i="9"/>
  <c r="D17" i="9"/>
  <c r="D6" i="9"/>
  <c r="D18" i="9"/>
  <c r="D16" i="9"/>
  <c r="D11" i="9"/>
  <c r="D9" i="9"/>
  <c r="I18" i="6"/>
  <c r="H21" i="6"/>
  <c r="D14" i="9"/>
  <c r="D4" i="9"/>
  <c r="D20" i="9"/>
  <c r="D15" i="9"/>
  <c r="D13" i="9"/>
  <c r="I14" i="6"/>
  <c r="F21" i="6"/>
  <c r="D5" i="9"/>
  <c r="I11" i="6"/>
  <c r="G21" i="6"/>
  <c r="I17" i="6"/>
  <c r="I13" i="6"/>
  <c r="I9" i="6"/>
  <c r="I5" i="6"/>
  <c r="I16" i="6"/>
  <c r="I8" i="6"/>
  <c r="I20" i="6"/>
  <c r="I19" i="6"/>
  <c r="I15" i="6"/>
  <c r="I7" i="6"/>
  <c r="I12" i="6"/>
  <c r="I4" i="6"/>
  <c r="I3" i="6"/>
  <c r="D11" i="7"/>
  <c r="D10" i="7"/>
  <c r="D13" i="7"/>
  <c r="E21" i="6"/>
  <c r="D15" i="7"/>
  <c r="D18" i="7"/>
  <c r="D21" i="6"/>
  <c r="B24" i="5"/>
  <c r="B24" i="9"/>
  <c r="B24" i="7"/>
  <c r="B24" i="10"/>
  <c r="B24" i="8"/>
  <c r="D4" i="7"/>
  <c r="D8" i="7"/>
  <c r="D12" i="7"/>
  <c r="D16" i="7"/>
  <c r="D20" i="7"/>
  <c r="D19" i="7"/>
  <c r="D3" i="7"/>
  <c r="D17" i="7"/>
  <c r="D7" i="7"/>
  <c r="D5" i="7"/>
  <c r="D6" i="7"/>
  <c r="D14" i="7"/>
  <c r="C21" i="6"/>
  <c r="D21" i="5" l="1"/>
  <c r="E7" i="5"/>
  <c r="E5" i="7"/>
  <c r="E19" i="7"/>
  <c r="L26" i="4" s="1"/>
  <c r="E8" i="7"/>
  <c r="E6" i="7"/>
  <c r="E12" i="7"/>
  <c r="D21" i="10"/>
  <c r="E8" i="5"/>
  <c r="E3" i="5"/>
  <c r="E18" i="7"/>
  <c r="E12" i="5"/>
  <c r="E6" i="5"/>
  <c r="E11" i="5"/>
  <c r="E5" i="5"/>
  <c r="E18" i="5"/>
  <c r="E15" i="5"/>
  <c r="E9" i="5"/>
  <c r="D21" i="9"/>
  <c r="E11" i="7"/>
  <c r="I21" i="6"/>
  <c r="J3" i="6" s="1"/>
  <c r="E9" i="7"/>
  <c r="E19" i="5"/>
  <c r="J26" i="4" s="1"/>
  <c r="E16" i="5"/>
  <c r="E13" i="5"/>
  <c r="E10" i="5"/>
  <c r="E4" i="5"/>
  <c r="E20" i="5"/>
  <c r="J27" i="4" s="1"/>
  <c r="E17" i="5"/>
  <c r="E14" i="5"/>
  <c r="E7" i="7"/>
  <c r="E20" i="7"/>
  <c r="L27" i="4" s="1"/>
  <c r="E4" i="7"/>
  <c r="E15" i="7"/>
  <c r="E10" i="7"/>
  <c r="E13" i="7"/>
  <c r="E4" i="9"/>
  <c r="E8" i="9"/>
  <c r="E12" i="9"/>
  <c r="E16" i="9"/>
  <c r="E20" i="9"/>
  <c r="N27" i="4" s="1"/>
  <c r="E6" i="9"/>
  <c r="E10" i="9"/>
  <c r="E14" i="9"/>
  <c r="E18" i="9"/>
  <c r="E7" i="9"/>
  <c r="E11" i="9"/>
  <c r="E15" i="9"/>
  <c r="E19" i="9"/>
  <c r="N26" i="4" s="1"/>
  <c r="E5" i="9"/>
  <c r="E9" i="9"/>
  <c r="E13" i="9"/>
  <c r="E17" i="9"/>
  <c r="E3" i="9"/>
  <c r="E14" i="7"/>
  <c r="E17" i="7"/>
  <c r="E16" i="7"/>
  <c r="E5" i="10"/>
  <c r="E9" i="10"/>
  <c r="E13" i="10"/>
  <c r="E17" i="10"/>
  <c r="E3" i="10"/>
  <c r="E7" i="10"/>
  <c r="E11" i="10"/>
  <c r="E15" i="10"/>
  <c r="E19" i="10"/>
  <c r="O26" i="4" s="1"/>
  <c r="E4" i="10"/>
  <c r="E8" i="10"/>
  <c r="E12" i="10"/>
  <c r="E16" i="10"/>
  <c r="E20" i="10"/>
  <c r="O27" i="4" s="1"/>
  <c r="E6" i="10"/>
  <c r="E10" i="10"/>
  <c r="E14" i="10"/>
  <c r="E18" i="10"/>
  <c r="E3" i="7"/>
  <c r="D21" i="7"/>
  <c r="U22" i="2"/>
  <c r="V22" i="2"/>
  <c r="J20" i="6" l="1"/>
  <c r="K20" i="6" s="1"/>
  <c r="K27" i="4" s="1"/>
  <c r="J13" i="6"/>
  <c r="K13" i="6" s="1"/>
  <c r="J4" i="6"/>
  <c r="K4" i="6" s="1"/>
  <c r="J15" i="6"/>
  <c r="K15" i="6" s="1"/>
  <c r="J11" i="6"/>
  <c r="K11" i="6" s="1"/>
  <c r="J8" i="6"/>
  <c r="K8" i="6" s="1"/>
  <c r="J17" i="6"/>
  <c r="K17" i="6" s="1"/>
  <c r="J9" i="6"/>
  <c r="K9" i="6" s="1"/>
  <c r="J19" i="6"/>
  <c r="K19" i="6" s="1"/>
  <c r="K26" i="4" s="1"/>
  <c r="J16" i="6"/>
  <c r="K16" i="6" s="1"/>
  <c r="K3" i="6"/>
  <c r="J12" i="6"/>
  <c r="K12" i="6" s="1"/>
  <c r="J5" i="6"/>
  <c r="K5" i="6" s="1"/>
  <c r="J7" i="6"/>
  <c r="K7" i="6" s="1"/>
  <c r="J18" i="6"/>
  <c r="K18" i="6" s="1"/>
  <c r="J14" i="6"/>
  <c r="K14" i="6" s="1"/>
  <c r="J6" i="6"/>
  <c r="K6" i="6" s="1"/>
  <c r="J10" i="6"/>
  <c r="K10" i="6" s="1"/>
  <c r="E21" i="5"/>
  <c r="E21" i="9"/>
  <c r="E21" i="10"/>
  <c r="E21" i="7"/>
  <c r="AJ21" i="1"/>
  <c r="AJ22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5" i="1"/>
  <c r="K21" i="6" l="1"/>
  <c r="J21" i="6"/>
  <c r="AJ23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5" i="1"/>
  <c r="V23" i="1"/>
  <c r="AC23" i="1"/>
  <c r="D23" i="1"/>
  <c r="AH5" i="1" l="1"/>
  <c r="G23" i="1"/>
  <c r="N23" i="1"/>
  <c r="H23" i="1"/>
  <c r="Z23" i="1"/>
  <c r="K23" i="1"/>
  <c r="AB23" i="1"/>
  <c r="Y23" i="1"/>
  <c r="W23" i="1"/>
  <c r="T23" i="1"/>
  <c r="S23" i="1"/>
  <c r="Q23" i="1"/>
  <c r="P23" i="1"/>
  <c r="M23" i="1"/>
  <c r="J23" i="1"/>
  <c r="E23" i="1"/>
  <c r="A20" i="2"/>
  <c r="A21" i="3" s="1"/>
  <c r="B20" i="2"/>
  <c r="C20" i="2"/>
  <c r="C21" i="3" s="1"/>
  <c r="A21" i="2"/>
  <c r="A22" i="3" s="1"/>
  <c r="B21" i="2"/>
  <c r="C21" i="2"/>
  <c r="C22" i="3" s="1"/>
  <c r="Y21" i="2" l="1"/>
  <c r="T21" i="2"/>
  <c r="Y20" i="2"/>
  <c r="T20" i="2"/>
  <c r="M20" i="2"/>
  <c r="L20" i="2"/>
  <c r="G20" i="2"/>
  <c r="X20" i="2"/>
  <c r="H20" i="2"/>
  <c r="W20" i="2"/>
  <c r="O21" i="3" s="1"/>
  <c r="Z21" i="3" s="1" a="1"/>
  <c r="Z21" i="3" s="1"/>
  <c r="R20" i="2"/>
  <c r="S20" i="2"/>
  <c r="Q20" i="2"/>
  <c r="P20" i="2"/>
  <c r="N20" i="2"/>
  <c r="O20" i="2"/>
  <c r="K20" i="2"/>
  <c r="M21" i="2"/>
  <c r="L21" i="2"/>
  <c r="G21" i="2"/>
  <c r="H21" i="2"/>
  <c r="X21" i="2"/>
  <c r="W21" i="2"/>
  <c r="O22" i="3" s="1"/>
  <c r="Z22" i="3" s="1" a="1"/>
  <c r="Z22" i="3" s="1"/>
  <c r="R21" i="2"/>
  <c r="S21" i="2"/>
  <c r="Q21" i="2"/>
  <c r="P21" i="2"/>
  <c r="O21" i="2"/>
  <c r="N21" i="2"/>
  <c r="K21" i="2"/>
  <c r="J21" i="2"/>
  <c r="F21" i="2"/>
  <c r="I21" i="2"/>
  <c r="E21" i="2"/>
  <c r="B22" i="3"/>
  <c r="J20" i="2"/>
  <c r="F20" i="2"/>
  <c r="I20" i="2"/>
  <c r="E20" i="2"/>
  <c r="B21" i="3"/>
  <c r="AH21" i="1"/>
  <c r="AH22" i="1"/>
  <c r="AF21" i="1"/>
  <c r="AF22" i="1"/>
  <c r="AE21" i="1"/>
  <c r="AE22" i="1"/>
  <c r="AD21" i="1"/>
  <c r="AD22" i="1"/>
  <c r="AA21" i="1"/>
  <c r="AA22" i="1"/>
  <c r="X21" i="1"/>
  <c r="X22" i="1"/>
  <c r="U21" i="1"/>
  <c r="U22" i="1"/>
  <c r="R21" i="1"/>
  <c r="R22" i="1"/>
  <c r="O21" i="1"/>
  <c r="O22" i="1"/>
  <c r="L21" i="1"/>
  <c r="L22" i="1"/>
  <c r="I21" i="1"/>
  <c r="I22" i="1"/>
  <c r="F21" i="1"/>
  <c r="F22" i="1"/>
  <c r="J21" i="3" l="1"/>
  <c r="M22" i="3"/>
  <c r="P21" i="3"/>
  <c r="L22" i="3"/>
  <c r="M21" i="3"/>
  <c r="N22" i="3"/>
  <c r="P22" i="3"/>
  <c r="K21" i="3"/>
  <c r="H22" i="3"/>
  <c r="J22" i="3"/>
  <c r="K22" i="3"/>
  <c r="L21" i="3"/>
  <c r="N21" i="3"/>
  <c r="F21" i="3"/>
  <c r="H21" i="3"/>
  <c r="G22" i="3"/>
  <c r="I22" i="3"/>
  <c r="G21" i="3"/>
  <c r="I21" i="3"/>
  <c r="F22" i="3"/>
  <c r="AI22" i="1"/>
  <c r="AI21" i="1"/>
  <c r="AG21" i="1"/>
  <c r="AG22" i="1"/>
  <c r="AK22" i="1" l="1"/>
  <c r="D21" i="2" s="1"/>
  <c r="D22" i="3" s="1"/>
  <c r="E22" i="3" s="1"/>
  <c r="C20" i="8"/>
  <c r="AK21" i="1"/>
  <c r="AL21" i="1" s="1"/>
  <c r="C19" i="8"/>
  <c r="AA21" i="3" a="1"/>
  <c r="AA21" i="3" s="1"/>
  <c r="AA22" i="3" a="1"/>
  <c r="AA22" i="3" s="1"/>
  <c r="D20" i="2" l="1"/>
  <c r="D21" i="3" s="1"/>
  <c r="E21" i="3" s="1"/>
  <c r="AL22" i="1"/>
  <c r="F14" i="4"/>
  <c r="F18" i="4"/>
  <c r="F22" i="4"/>
  <c r="F26" i="4"/>
  <c r="F27" i="4"/>
  <c r="F11" i="4"/>
  <c r="F12" i="4"/>
  <c r="F13" i="4"/>
  <c r="F15" i="4"/>
  <c r="F16" i="4"/>
  <c r="F17" i="4"/>
  <c r="F19" i="4"/>
  <c r="F20" i="4"/>
  <c r="F21" i="4"/>
  <c r="F23" i="4"/>
  <c r="F24" i="4"/>
  <c r="F25" i="4"/>
  <c r="F28" i="4" l="1"/>
  <c r="C33" i="4" s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4" i="2"/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4" i="2"/>
  <c r="C6" i="3"/>
  <c r="B7" i="3"/>
  <c r="B12" i="4" s="1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5" i="3"/>
  <c r="C7" i="11" s="1"/>
  <c r="A5" i="2"/>
  <c r="A6" i="3" s="1"/>
  <c r="A6" i="2"/>
  <c r="A7" i="3" s="1"/>
  <c r="A7" i="2"/>
  <c r="A8" i="3" s="1"/>
  <c r="A8" i="2"/>
  <c r="A9" i="3" s="1"/>
  <c r="A9" i="2"/>
  <c r="A10" i="3" s="1"/>
  <c r="A10" i="2"/>
  <c r="A11" i="3" s="1"/>
  <c r="A11" i="2"/>
  <c r="A12" i="3" s="1"/>
  <c r="A12" i="2"/>
  <c r="A13" i="3" s="1"/>
  <c r="A13" i="2"/>
  <c r="A14" i="3" s="1"/>
  <c r="A14" i="2"/>
  <c r="A15" i="3" s="1"/>
  <c r="A15" i="2"/>
  <c r="A16" i="3" s="1"/>
  <c r="A16" i="2"/>
  <c r="A17" i="3" s="1"/>
  <c r="A17" i="2"/>
  <c r="A18" i="3" s="1"/>
  <c r="A18" i="2"/>
  <c r="A19" i="3" s="1"/>
  <c r="A19" i="2"/>
  <c r="A20" i="3" s="1"/>
  <c r="A4" i="2"/>
  <c r="A5" i="3" s="1"/>
  <c r="A23" i="4" l="1"/>
  <c r="A20" i="11"/>
  <c r="A15" i="4"/>
  <c r="A12" i="11"/>
  <c r="A11" i="4"/>
  <c r="A8" i="11"/>
  <c r="C23" i="4"/>
  <c r="C20" i="11"/>
  <c r="C15" i="4"/>
  <c r="C12" i="11"/>
  <c r="A10" i="4"/>
  <c r="A7" i="11"/>
  <c r="A22" i="4"/>
  <c r="A19" i="11"/>
  <c r="A18" i="4"/>
  <c r="A15" i="11"/>
  <c r="A14" i="4"/>
  <c r="A11" i="11"/>
  <c r="C22" i="4"/>
  <c r="C19" i="11"/>
  <c r="C18" i="4"/>
  <c r="C15" i="11"/>
  <c r="C14" i="4"/>
  <c r="C11" i="11"/>
  <c r="C11" i="4"/>
  <c r="C8" i="11"/>
  <c r="A25" i="4"/>
  <c r="A22" i="11"/>
  <c r="A21" i="4"/>
  <c r="A18" i="11"/>
  <c r="A17" i="4"/>
  <c r="A14" i="11"/>
  <c r="A13" i="4"/>
  <c r="A10" i="11"/>
  <c r="C25" i="4"/>
  <c r="C22" i="11"/>
  <c r="C21" i="4"/>
  <c r="C18" i="11"/>
  <c r="C17" i="4"/>
  <c r="C14" i="11"/>
  <c r="C13" i="4"/>
  <c r="C10" i="11"/>
  <c r="A24" i="4"/>
  <c r="A21" i="11"/>
  <c r="A20" i="4"/>
  <c r="A17" i="11"/>
  <c r="A16" i="4"/>
  <c r="A13" i="11"/>
  <c r="A12" i="4"/>
  <c r="A9" i="11"/>
  <c r="C24" i="4"/>
  <c r="C21" i="11"/>
  <c r="C20" i="4"/>
  <c r="C17" i="11"/>
  <c r="C16" i="4"/>
  <c r="C13" i="11"/>
  <c r="C12" i="4"/>
  <c r="C9" i="11"/>
  <c r="A19" i="4"/>
  <c r="A16" i="11"/>
  <c r="C19" i="4"/>
  <c r="C16" i="11"/>
  <c r="T12" i="4"/>
  <c r="U12" i="4" s="1"/>
  <c r="Z12" i="4"/>
  <c r="Y4" i="2"/>
  <c r="T4" i="2"/>
  <c r="Y16" i="2"/>
  <c r="T16" i="2"/>
  <c r="Y12" i="2"/>
  <c r="T12" i="2"/>
  <c r="Y8" i="2"/>
  <c r="T8" i="2"/>
  <c r="Y19" i="2"/>
  <c r="T19" i="2"/>
  <c r="Y15" i="2"/>
  <c r="T15" i="2"/>
  <c r="Y11" i="2"/>
  <c r="T11" i="2"/>
  <c r="Y7" i="2"/>
  <c r="T7" i="2"/>
  <c r="Y18" i="2"/>
  <c r="T18" i="2"/>
  <c r="Y14" i="2"/>
  <c r="T14" i="2"/>
  <c r="Y10" i="2"/>
  <c r="T10" i="2"/>
  <c r="Y6" i="2"/>
  <c r="T6" i="2"/>
  <c r="Y17" i="2"/>
  <c r="T17" i="2"/>
  <c r="Y13" i="2"/>
  <c r="T13" i="2"/>
  <c r="Y9" i="2"/>
  <c r="T9" i="2"/>
  <c r="Y5" i="2"/>
  <c r="T5" i="2"/>
  <c r="J12" i="4"/>
  <c r="O12" i="4"/>
  <c r="N12" i="4"/>
  <c r="K12" i="4"/>
  <c r="L12" i="4"/>
  <c r="M19" i="2"/>
  <c r="L19" i="2"/>
  <c r="G19" i="2"/>
  <c r="X19" i="2"/>
  <c r="H19" i="2"/>
  <c r="W19" i="2"/>
  <c r="S19" i="2"/>
  <c r="R19" i="2"/>
  <c r="Q19" i="2"/>
  <c r="P19" i="2"/>
  <c r="O19" i="2"/>
  <c r="N19" i="2"/>
  <c r="M15" i="2"/>
  <c r="L15" i="2"/>
  <c r="G15" i="2"/>
  <c r="X15" i="2"/>
  <c r="H15" i="2"/>
  <c r="W15" i="2"/>
  <c r="S15" i="2"/>
  <c r="R15" i="2"/>
  <c r="Q15" i="2"/>
  <c r="P15" i="2"/>
  <c r="O15" i="2"/>
  <c r="N15" i="2"/>
  <c r="M11" i="2"/>
  <c r="L11" i="2"/>
  <c r="G11" i="2"/>
  <c r="X11" i="2"/>
  <c r="H11" i="2"/>
  <c r="W11" i="2"/>
  <c r="S11" i="2"/>
  <c r="R11" i="2"/>
  <c r="Q11" i="2"/>
  <c r="P11" i="2"/>
  <c r="O11" i="2"/>
  <c r="N11" i="2"/>
  <c r="M7" i="2"/>
  <c r="L7" i="2"/>
  <c r="G7" i="2"/>
  <c r="X7" i="2"/>
  <c r="H7" i="2"/>
  <c r="W7" i="2"/>
  <c r="S7" i="2"/>
  <c r="R7" i="2"/>
  <c r="Q7" i="2"/>
  <c r="P7" i="2"/>
  <c r="N7" i="2"/>
  <c r="O7" i="2"/>
  <c r="B19" i="3"/>
  <c r="B24" i="4" s="1"/>
  <c r="L18" i="2"/>
  <c r="M18" i="2"/>
  <c r="G18" i="2"/>
  <c r="X18" i="2"/>
  <c r="H18" i="2"/>
  <c r="W18" i="2"/>
  <c r="S18" i="2"/>
  <c r="R18" i="2"/>
  <c r="Q18" i="2"/>
  <c r="P18" i="2"/>
  <c r="N18" i="2"/>
  <c r="O18" i="2"/>
  <c r="B15" i="3"/>
  <c r="B20" i="4" s="1"/>
  <c r="L14" i="2"/>
  <c r="M14" i="2"/>
  <c r="G14" i="2"/>
  <c r="X14" i="2"/>
  <c r="H14" i="2"/>
  <c r="W14" i="2"/>
  <c r="S14" i="2"/>
  <c r="R14" i="2"/>
  <c r="P14" i="2"/>
  <c r="Q14" i="2"/>
  <c r="O14" i="2"/>
  <c r="N14" i="2"/>
  <c r="B11" i="3"/>
  <c r="B16" i="4" s="1"/>
  <c r="L10" i="2"/>
  <c r="M10" i="2"/>
  <c r="G10" i="2"/>
  <c r="X10" i="2"/>
  <c r="H10" i="2"/>
  <c r="W10" i="2"/>
  <c r="S10" i="2"/>
  <c r="R10" i="2"/>
  <c r="P10" i="2"/>
  <c r="Q10" i="2"/>
  <c r="N10" i="2"/>
  <c r="O10" i="2"/>
  <c r="L6" i="2"/>
  <c r="M6" i="2"/>
  <c r="G6" i="2"/>
  <c r="X6" i="2"/>
  <c r="H6" i="2"/>
  <c r="W6" i="2"/>
  <c r="S6" i="2"/>
  <c r="R6" i="2"/>
  <c r="P6" i="2"/>
  <c r="Q6" i="2"/>
  <c r="O6" i="2"/>
  <c r="N6" i="2"/>
  <c r="L17" i="2"/>
  <c r="M17" i="2"/>
  <c r="G17" i="2"/>
  <c r="H17" i="2"/>
  <c r="X17" i="2"/>
  <c r="W17" i="2"/>
  <c r="R17" i="2"/>
  <c r="S17" i="2"/>
  <c r="P17" i="2"/>
  <c r="Q17" i="2"/>
  <c r="O17" i="2"/>
  <c r="N17" i="2"/>
  <c r="M13" i="2"/>
  <c r="L13" i="2"/>
  <c r="G13" i="2"/>
  <c r="H13" i="2"/>
  <c r="X13" i="2"/>
  <c r="W13" i="2"/>
  <c r="R13" i="2"/>
  <c r="S13" i="2"/>
  <c r="P13" i="2"/>
  <c r="Q13" i="2"/>
  <c r="N13" i="2"/>
  <c r="O13" i="2"/>
  <c r="L9" i="2"/>
  <c r="M9" i="2"/>
  <c r="G9" i="2"/>
  <c r="H9" i="2"/>
  <c r="X9" i="2"/>
  <c r="W9" i="2"/>
  <c r="R9" i="2"/>
  <c r="S9" i="2"/>
  <c r="P9" i="2"/>
  <c r="Q9" i="2"/>
  <c r="O9" i="2"/>
  <c r="N9" i="2"/>
  <c r="M5" i="2"/>
  <c r="L5" i="2"/>
  <c r="G5" i="2"/>
  <c r="H5" i="2"/>
  <c r="X5" i="2"/>
  <c r="W5" i="2"/>
  <c r="R5" i="2"/>
  <c r="S5" i="2"/>
  <c r="P5" i="2"/>
  <c r="Q5" i="2"/>
  <c r="N5" i="2"/>
  <c r="O5" i="2"/>
  <c r="M4" i="2"/>
  <c r="L4" i="2"/>
  <c r="G4" i="2"/>
  <c r="H4" i="2"/>
  <c r="X4" i="2"/>
  <c r="W4" i="2"/>
  <c r="R4" i="2"/>
  <c r="S4" i="2"/>
  <c r="Q4" i="2"/>
  <c r="N4" i="2"/>
  <c r="O4" i="2"/>
  <c r="P4" i="2"/>
  <c r="B17" i="3"/>
  <c r="B22" i="4" s="1"/>
  <c r="L16" i="2"/>
  <c r="M16" i="2"/>
  <c r="G16" i="2"/>
  <c r="X16" i="2"/>
  <c r="H16" i="2"/>
  <c r="W16" i="2"/>
  <c r="R16" i="2"/>
  <c r="S16" i="2"/>
  <c r="P16" i="2"/>
  <c r="Q16" i="2"/>
  <c r="O16" i="2"/>
  <c r="N16" i="2"/>
  <c r="B13" i="3"/>
  <c r="B18" i="4" s="1"/>
  <c r="M12" i="2"/>
  <c r="L12" i="2"/>
  <c r="G12" i="2"/>
  <c r="X12" i="2"/>
  <c r="H12" i="2"/>
  <c r="W12" i="2"/>
  <c r="R12" i="2"/>
  <c r="S12" i="2"/>
  <c r="Q12" i="2"/>
  <c r="P12" i="2"/>
  <c r="N12" i="2"/>
  <c r="O12" i="2"/>
  <c r="L8" i="2"/>
  <c r="M8" i="2"/>
  <c r="G8" i="2"/>
  <c r="X8" i="2"/>
  <c r="H8" i="2"/>
  <c r="W8" i="2"/>
  <c r="R8" i="2"/>
  <c r="S8" i="2"/>
  <c r="P8" i="2"/>
  <c r="Q8" i="2"/>
  <c r="O8" i="2"/>
  <c r="N8" i="2"/>
  <c r="B20" i="3"/>
  <c r="B25" i="4" s="1"/>
  <c r="K19" i="2"/>
  <c r="J19" i="2"/>
  <c r="I19" i="2"/>
  <c r="E19" i="2"/>
  <c r="F19" i="2"/>
  <c r="B16" i="3"/>
  <c r="B21" i="4" s="1"/>
  <c r="K15" i="2"/>
  <c r="J15" i="2"/>
  <c r="F15" i="2"/>
  <c r="I15" i="2"/>
  <c r="E15" i="2"/>
  <c r="B12" i="3"/>
  <c r="B17" i="4" s="1"/>
  <c r="T17" i="4" s="1"/>
  <c r="U17" i="4" s="1"/>
  <c r="K11" i="2"/>
  <c r="J11" i="2"/>
  <c r="F11" i="2"/>
  <c r="I11" i="2"/>
  <c r="E11" i="2"/>
  <c r="B8" i="3"/>
  <c r="B13" i="4" s="1"/>
  <c r="K7" i="2"/>
  <c r="E7" i="2"/>
  <c r="J7" i="2"/>
  <c r="I7" i="2"/>
  <c r="F7" i="2"/>
  <c r="K18" i="2"/>
  <c r="J18" i="2"/>
  <c r="F18" i="2"/>
  <c r="I18" i="2"/>
  <c r="E18" i="2"/>
  <c r="K14" i="2"/>
  <c r="I14" i="2"/>
  <c r="E14" i="2"/>
  <c r="J14" i="2"/>
  <c r="F14" i="2"/>
  <c r="K10" i="2"/>
  <c r="I10" i="2"/>
  <c r="J10" i="2"/>
  <c r="F10" i="2"/>
  <c r="E10" i="2"/>
  <c r="K6" i="2"/>
  <c r="E6" i="2"/>
  <c r="J6" i="2"/>
  <c r="F6" i="2"/>
  <c r="I6" i="2"/>
  <c r="B5" i="3"/>
  <c r="K4" i="2"/>
  <c r="J4" i="2"/>
  <c r="F4" i="2"/>
  <c r="I4" i="2"/>
  <c r="E4" i="2"/>
  <c r="B18" i="3"/>
  <c r="B23" i="4" s="1"/>
  <c r="K17" i="2"/>
  <c r="J17" i="2"/>
  <c r="F17" i="2"/>
  <c r="I17" i="2"/>
  <c r="E17" i="2"/>
  <c r="B14" i="3"/>
  <c r="B19" i="4" s="1"/>
  <c r="K13" i="2"/>
  <c r="J13" i="2"/>
  <c r="F13" i="2"/>
  <c r="I13" i="2"/>
  <c r="E13" i="2"/>
  <c r="B10" i="3"/>
  <c r="B15" i="4" s="1"/>
  <c r="K9" i="2"/>
  <c r="J9" i="2"/>
  <c r="F9" i="2"/>
  <c r="I9" i="2"/>
  <c r="E9" i="2"/>
  <c r="B6" i="3"/>
  <c r="B11" i="4" s="1"/>
  <c r="K5" i="2"/>
  <c r="J5" i="2"/>
  <c r="F5" i="2"/>
  <c r="I5" i="2"/>
  <c r="E5" i="2"/>
  <c r="K16" i="2"/>
  <c r="I16" i="2"/>
  <c r="E16" i="2"/>
  <c r="F16" i="2"/>
  <c r="J16" i="2"/>
  <c r="K12" i="2"/>
  <c r="I12" i="2"/>
  <c r="E12" i="2"/>
  <c r="J12" i="2"/>
  <c r="F12" i="2"/>
  <c r="B9" i="3"/>
  <c r="B14" i="4" s="1"/>
  <c r="K8" i="2"/>
  <c r="I8" i="2"/>
  <c r="E8" i="2"/>
  <c r="J8" i="2"/>
  <c r="F8" i="2"/>
  <c r="C10" i="4"/>
  <c r="AH6" i="1"/>
  <c r="AH7" i="1"/>
  <c r="AH8" i="1"/>
  <c r="AH9" i="1"/>
  <c r="AH10" i="1"/>
  <c r="AH11" i="1"/>
  <c r="AH12" i="1"/>
  <c r="AH15" i="1"/>
  <c r="AH16" i="1"/>
  <c r="AH13" i="1"/>
  <c r="AH17" i="1"/>
  <c r="AH18" i="1"/>
  <c r="AH14" i="1"/>
  <c r="AH19" i="1"/>
  <c r="AH20" i="1"/>
  <c r="AF6" i="1"/>
  <c r="AF7" i="1"/>
  <c r="AF8" i="1"/>
  <c r="AF9" i="1"/>
  <c r="AF10" i="1"/>
  <c r="AF11" i="1"/>
  <c r="AF12" i="1"/>
  <c r="AF15" i="1"/>
  <c r="AF16" i="1"/>
  <c r="AF13" i="1"/>
  <c r="AF17" i="1"/>
  <c r="AF18" i="1"/>
  <c r="AF14" i="1"/>
  <c r="AF19" i="1"/>
  <c r="AF20" i="1"/>
  <c r="AE6" i="1"/>
  <c r="AE7" i="1"/>
  <c r="AE8" i="1"/>
  <c r="AE9" i="1"/>
  <c r="AE10" i="1"/>
  <c r="AE11" i="1"/>
  <c r="AE12" i="1"/>
  <c r="AE15" i="1"/>
  <c r="AE16" i="1"/>
  <c r="AE13" i="1"/>
  <c r="AE17" i="1"/>
  <c r="AE18" i="1"/>
  <c r="AE14" i="1"/>
  <c r="AE19" i="1"/>
  <c r="AE20" i="1"/>
  <c r="AF5" i="1"/>
  <c r="AE5" i="1"/>
  <c r="AD6" i="1"/>
  <c r="AD7" i="1"/>
  <c r="AD8" i="1"/>
  <c r="AD9" i="1"/>
  <c r="AD10" i="1"/>
  <c r="AD11" i="1"/>
  <c r="AD12" i="1"/>
  <c r="AD15" i="1"/>
  <c r="AD16" i="1"/>
  <c r="AD13" i="1"/>
  <c r="AD17" i="1"/>
  <c r="AD18" i="1"/>
  <c r="AD14" i="1"/>
  <c r="AD19" i="1"/>
  <c r="AD20" i="1"/>
  <c r="AD5" i="1"/>
  <c r="AA6" i="1"/>
  <c r="AA7" i="1"/>
  <c r="AA8" i="1"/>
  <c r="AA9" i="1"/>
  <c r="AA10" i="1"/>
  <c r="AA11" i="1"/>
  <c r="AA12" i="1"/>
  <c r="AA15" i="1"/>
  <c r="AA16" i="1"/>
  <c r="AA13" i="1"/>
  <c r="AA17" i="1"/>
  <c r="AA18" i="1"/>
  <c r="AA14" i="1"/>
  <c r="AA19" i="1"/>
  <c r="AA20" i="1"/>
  <c r="AA5" i="1"/>
  <c r="X6" i="1"/>
  <c r="X7" i="1"/>
  <c r="X8" i="1"/>
  <c r="X9" i="1"/>
  <c r="X10" i="1"/>
  <c r="X11" i="1"/>
  <c r="X12" i="1"/>
  <c r="X15" i="1"/>
  <c r="X16" i="1"/>
  <c r="X13" i="1"/>
  <c r="X17" i="1"/>
  <c r="X18" i="1"/>
  <c r="X14" i="1"/>
  <c r="X19" i="1"/>
  <c r="X20" i="1"/>
  <c r="X5" i="1"/>
  <c r="U6" i="1"/>
  <c r="U7" i="1"/>
  <c r="U8" i="1"/>
  <c r="U9" i="1"/>
  <c r="U10" i="1"/>
  <c r="U11" i="1"/>
  <c r="U12" i="1"/>
  <c r="U15" i="1"/>
  <c r="U16" i="1"/>
  <c r="U13" i="1"/>
  <c r="U17" i="1"/>
  <c r="U18" i="1"/>
  <c r="U14" i="1"/>
  <c r="U19" i="1"/>
  <c r="U20" i="1"/>
  <c r="U5" i="1"/>
  <c r="R6" i="1"/>
  <c r="R7" i="1"/>
  <c r="R8" i="1"/>
  <c r="R9" i="1"/>
  <c r="R10" i="1"/>
  <c r="R11" i="1"/>
  <c r="R12" i="1"/>
  <c r="R15" i="1"/>
  <c r="R16" i="1"/>
  <c r="R13" i="1"/>
  <c r="R17" i="1"/>
  <c r="R18" i="1"/>
  <c r="R14" i="1"/>
  <c r="R19" i="1"/>
  <c r="R20" i="1"/>
  <c r="R5" i="1"/>
  <c r="O6" i="1"/>
  <c r="O7" i="1"/>
  <c r="O8" i="1"/>
  <c r="O9" i="1"/>
  <c r="O10" i="1"/>
  <c r="O11" i="1"/>
  <c r="O12" i="1"/>
  <c r="O15" i="1"/>
  <c r="O16" i="1"/>
  <c r="O13" i="1"/>
  <c r="O17" i="1"/>
  <c r="O18" i="1"/>
  <c r="O14" i="1"/>
  <c r="O19" i="1"/>
  <c r="O20" i="1"/>
  <c r="O5" i="1"/>
  <c r="L6" i="1"/>
  <c r="L7" i="1"/>
  <c r="L8" i="1"/>
  <c r="L9" i="1"/>
  <c r="L10" i="1"/>
  <c r="L11" i="1"/>
  <c r="L12" i="1"/>
  <c r="L15" i="1"/>
  <c r="L16" i="1"/>
  <c r="L13" i="1"/>
  <c r="L17" i="1"/>
  <c r="L18" i="1"/>
  <c r="L14" i="1"/>
  <c r="L19" i="1"/>
  <c r="L20" i="1"/>
  <c r="L5" i="1"/>
  <c r="I6" i="1"/>
  <c r="I7" i="1"/>
  <c r="I8" i="1"/>
  <c r="I9" i="1"/>
  <c r="I10" i="1"/>
  <c r="I11" i="1"/>
  <c r="I12" i="1"/>
  <c r="I15" i="1"/>
  <c r="I16" i="1"/>
  <c r="I13" i="1"/>
  <c r="I17" i="1"/>
  <c r="I18" i="1"/>
  <c r="I14" i="1"/>
  <c r="I19" i="1"/>
  <c r="I20" i="1"/>
  <c r="I5" i="1"/>
  <c r="F6" i="1"/>
  <c r="F7" i="1"/>
  <c r="F8" i="1"/>
  <c r="F9" i="1"/>
  <c r="F10" i="1"/>
  <c r="F11" i="1"/>
  <c r="F12" i="1"/>
  <c r="F15" i="1"/>
  <c r="F16" i="1"/>
  <c r="F13" i="1"/>
  <c r="F17" i="1"/>
  <c r="F18" i="1"/>
  <c r="F14" i="1"/>
  <c r="F19" i="1"/>
  <c r="F20" i="1"/>
  <c r="F5" i="1"/>
  <c r="Y22" i="2" l="1"/>
  <c r="T15" i="4"/>
  <c r="U15" i="4" s="1"/>
  <c r="Z15" i="4"/>
  <c r="T13" i="4"/>
  <c r="U13" i="4" s="1"/>
  <c r="Z13" i="4"/>
  <c r="T22" i="4"/>
  <c r="U22" i="4" s="1"/>
  <c r="Z22" i="4"/>
  <c r="T16" i="4"/>
  <c r="U16" i="4" s="1"/>
  <c r="Z16" i="4"/>
  <c r="T23" i="4"/>
  <c r="U23" i="4" s="1"/>
  <c r="Z23" i="4"/>
  <c r="T14" i="4"/>
  <c r="U14" i="4" s="1"/>
  <c r="Z14" i="4"/>
  <c r="T11" i="4"/>
  <c r="U11" i="4" s="1"/>
  <c r="Z11" i="4"/>
  <c r="T19" i="4"/>
  <c r="U19" i="4" s="1"/>
  <c r="Z19" i="4"/>
  <c r="Z17" i="4"/>
  <c r="T25" i="4"/>
  <c r="U25" i="4" s="1"/>
  <c r="Z25" i="4"/>
  <c r="T20" i="4"/>
  <c r="U20" i="4" s="1"/>
  <c r="Z20" i="4"/>
  <c r="T21" i="4"/>
  <c r="U21" i="4" s="1"/>
  <c r="Z21" i="4"/>
  <c r="T18" i="4"/>
  <c r="U18" i="4" s="1"/>
  <c r="Z18" i="4"/>
  <c r="T24" i="4"/>
  <c r="U24" i="4" s="1"/>
  <c r="Z24" i="4"/>
  <c r="B10" i="4"/>
  <c r="G14" i="3"/>
  <c r="X22" i="2"/>
  <c r="G16" i="3"/>
  <c r="O11" i="4"/>
  <c r="N11" i="4"/>
  <c r="K11" i="4"/>
  <c r="L11" i="4"/>
  <c r="N18" i="4"/>
  <c r="O18" i="4"/>
  <c r="K18" i="4"/>
  <c r="L18" i="4"/>
  <c r="O19" i="4"/>
  <c r="N19" i="4"/>
  <c r="K19" i="4"/>
  <c r="L19" i="4"/>
  <c r="O13" i="4"/>
  <c r="N13" i="4"/>
  <c r="K13" i="4"/>
  <c r="L13" i="4"/>
  <c r="O21" i="4"/>
  <c r="N21" i="4"/>
  <c r="K21" i="4"/>
  <c r="L21" i="4"/>
  <c r="N20" i="4"/>
  <c r="O20" i="4"/>
  <c r="K20" i="4"/>
  <c r="L20" i="4"/>
  <c r="O15" i="4"/>
  <c r="N15" i="4"/>
  <c r="K15" i="4"/>
  <c r="L15" i="4"/>
  <c r="N22" i="4"/>
  <c r="O22" i="4"/>
  <c r="K22" i="4"/>
  <c r="L22" i="4"/>
  <c r="N14" i="4"/>
  <c r="O14" i="4"/>
  <c r="K14" i="4"/>
  <c r="L14" i="4"/>
  <c r="O23" i="4"/>
  <c r="N23" i="4"/>
  <c r="K23" i="4"/>
  <c r="L23" i="4"/>
  <c r="O10" i="4"/>
  <c r="O17" i="4"/>
  <c r="N17" i="4"/>
  <c r="K17" i="4"/>
  <c r="L17" i="4"/>
  <c r="O25" i="4"/>
  <c r="N25" i="4"/>
  <c r="K25" i="4"/>
  <c r="L25" i="4"/>
  <c r="N16" i="4"/>
  <c r="O16" i="4"/>
  <c r="K16" i="4"/>
  <c r="L16" i="4"/>
  <c r="N24" i="4"/>
  <c r="O24" i="4"/>
  <c r="K24" i="4"/>
  <c r="L24" i="4"/>
  <c r="J14" i="4"/>
  <c r="J11" i="4"/>
  <c r="J18" i="4"/>
  <c r="J23" i="4"/>
  <c r="J10" i="4"/>
  <c r="J17" i="4"/>
  <c r="J25" i="4"/>
  <c r="J19" i="4"/>
  <c r="J13" i="4"/>
  <c r="J21" i="4"/>
  <c r="J20" i="4"/>
  <c r="J16" i="4"/>
  <c r="J24" i="4"/>
  <c r="J15" i="4"/>
  <c r="J22" i="4"/>
  <c r="W22" i="2"/>
  <c r="Q22" i="2"/>
  <c r="T22" i="2"/>
  <c r="L22" i="2"/>
  <c r="N22" i="2"/>
  <c r="F22" i="2"/>
  <c r="P22" i="2"/>
  <c r="S22" i="2"/>
  <c r="M22" i="2"/>
  <c r="K22" i="2"/>
  <c r="O22" i="2"/>
  <c r="R22" i="2"/>
  <c r="I22" i="2"/>
  <c r="J22" i="2"/>
  <c r="G22" i="2"/>
  <c r="G17" i="3"/>
  <c r="G20" i="3"/>
  <c r="H22" i="2"/>
  <c r="E22" i="2"/>
  <c r="G10" i="3"/>
  <c r="G8" i="3"/>
  <c r="L20" i="3"/>
  <c r="N20" i="3"/>
  <c r="P20" i="3"/>
  <c r="L10" i="3"/>
  <c r="K14" i="3"/>
  <c r="L9" i="3"/>
  <c r="P9" i="3"/>
  <c r="K13" i="3"/>
  <c r="N6" i="3"/>
  <c r="P6" i="3"/>
  <c r="G18" i="3"/>
  <c r="G13" i="3"/>
  <c r="L5" i="3"/>
  <c r="L6" i="3"/>
  <c r="K8" i="3"/>
  <c r="M12" i="3"/>
  <c r="G11" i="3"/>
  <c r="G15" i="3"/>
  <c r="G19" i="3"/>
  <c r="L8" i="3"/>
  <c r="G6" i="3"/>
  <c r="H19" i="3"/>
  <c r="G7" i="3"/>
  <c r="G12" i="3"/>
  <c r="P15" i="3"/>
  <c r="N18" i="3"/>
  <c r="P18" i="3"/>
  <c r="K11" i="3"/>
  <c r="K19" i="3"/>
  <c r="P13" i="3"/>
  <c r="K5" i="3"/>
  <c r="L15" i="3"/>
  <c r="N15" i="3"/>
  <c r="M19" i="3"/>
  <c r="G9" i="3"/>
  <c r="H7" i="3"/>
  <c r="M9" i="3"/>
  <c r="M13" i="3"/>
  <c r="L17" i="3"/>
  <c r="P17" i="3"/>
  <c r="K17" i="3"/>
  <c r="N5" i="3"/>
  <c r="P5" i="3"/>
  <c r="M10" i="3"/>
  <c r="N11" i="3"/>
  <c r="P11" i="3"/>
  <c r="N19" i="3"/>
  <c r="P19" i="3"/>
  <c r="M8" i="3"/>
  <c r="L16" i="3"/>
  <c r="N16" i="3"/>
  <c r="P16" i="3"/>
  <c r="K20" i="3"/>
  <c r="K9" i="3"/>
  <c r="N17" i="3"/>
  <c r="K10" i="3"/>
  <c r="M14" i="3"/>
  <c r="L11" i="3"/>
  <c r="M15" i="3"/>
  <c r="L19" i="3"/>
  <c r="N9" i="3"/>
  <c r="N10" i="3"/>
  <c r="P10" i="3"/>
  <c r="M18" i="3"/>
  <c r="M7" i="3"/>
  <c r="K15" i="3"/>
  <c r="N8" i="3"/>
  <c r="P8" i="3"/>
  <c r="K12" i="3"/>
  <c r="M16" i="3"/>
  <c r="L13" i="3"/>
  <c r="N13" i="3"/>
  <c r="M17" i="3"/>
  <c r="M5" i="3"/>
  <c r="M6" i="3"/>
  <c r="K6" i="3"/>
  <c r="L14" i="3"/>
  <c r="N14" i="3"/>
  <c r="P14" i="3"/>
  <c r="L18" i="3"/>
  <c r="K18" i="3"/>
  <c r="L7" i="3"/>
  <c r="N7" i="3"/>
  <c r="P7" i="3"/>
  <c r="K7" i="3"/>
  <c r="M11" i="3"/>
  <c r="L12" i="3"/>
  <c r="N12" i="3"/>
  <c r="P12" i="3"/>
  <c r="K16" i="3"/>
  <c r="M20" i="3"/>
  <c r="H14" i="3"/>
  <c r="H18" i="3"/>
  <c r="F20" i="3"/>
  <c r="J14" i="3"/>
  <c r="I14" i="3"/>
  <c r="J20" i="3"/>
  <c r="I20" i="3"/>
  <c r="F9" i="3"/>
  <c r="H13" i="3"/>
  <c r="F6" i="3"/>
  <c r="F10" i="3"/>
  <c r="J10" i="3"/>
  <c r="I10" i="3"/>
  <c r="F5" i="3"/>
  <c r="J5" i="3"/>
  <c r="I5" i="3"/>
  <c r="H11" i="3"/>
  <c r="H16" i="3"/>
  <c r="J16" i="3"/>
  <c r="I16" i="3"/>
  <c r="H20" i="3"/>
  <c r="J17" i="3"/>
  <c r="I17" i="3"/>
  <c r="I7" i="3"/>
  <c r="J7" i="3"/>
  <c r="I15" i="3"/>
  <c r="J15" i="3"/>
  <c r="H9" i="3"/>
  <c r="J13" i="3"/>
  <c r="I13" i="3"/>
  <c r="H6" i="3"/>
  <c r="J6" i="3"/>
  <c r="I6" i="3"/>
  <c r="H10" i="3"/>
  <c r="F11" i="3"/>
  <c r="I11" i="3"/>
  <c r="J11" i="3"/>
  <c r="F15" i="3"/>
  <c r="F19" i="3"/>
  <c r="I19" i="3"/>
  <c r="J19" i="3"/>
  <c r="H12" i="3"/>
  <c r="J12" i="3"/>
  <c r="I12" i="3"/>
  <c r="J9" i="3"/>
  <c r="I9" i="3"/>
  <c r="H17" i="3"/>
  <c r="J18" i="3"/>
  <c r="I18" i="3"/>
  <c r="G5" i="3"/>
  <c r="H5" i="3"/>
  <c r="F7" i="3"/>
  <c r="H15" i="3"/>
  <c r="H8" i="3"/>
  <c r="J8" i="3"/>
  <c r="I8" i="3"/>
  <c r="F13" i="3"/>
  <c r="F16" i="3"/>
  <c r="F8" i="3"/>
  <c r="F12" i="3"/>
  <c r="F17" i="3"/>
  <c r="F14" i="3"/>
  <c r="F18" i="3"/>
  <c r="AH23" i="1"/>
  <c r="AD23" i="1"/>
  <c r="AA23" i="1"/>
  <c r="X23" i="1"/>
  <c r="U23" i="1"/>
  <c r="R23" i="1"/>
  <c r="O23" i="1"/>
  <c r="L23" i="1"/>
  <c r="I23" i="1"/>
  <c r="AE23" i="1"/>
  <c r="F23" i="1"/>
  <c r="AF23" i="1"/>
  <c r="AI19" i="1"/>
  <c r="AI13" i="1"/>
  <c r="AI11" i="1"/>
  <c r="AI7" i="1"/>
  <c r="AI14" i="1"/>
  <c r="AI16" i="1"/>
  <c r="AI10" i="1"/>
  <c r="AI6" i="1"/>
  <c r="AG5" i="1"/>
  <c r="AG20" i="1"/>
  <c r="AG17" i="1"/>
  <c r="AG8" i="1"/>
  <c r="AG18" i="1"/>
  <c r="AG15" i="1"/>
  <c r="AG9" i="1"/>
  <c r="AI5" i="1"/>
  <c r="C3" i="8" s="1"/>
  <c r="AG14" i="1"/>
  <c r="AG16" i="1"/>
  <c r="AG10" i="1"/>
  <c r="AG6" i="1"/>
  <c r="AG12" i="1"/>
  <c r="AI20" i="1"/>
  <c r="AI17" i="1"/>
  <c r="AI12" i="1"/>
  <c r="AI8" i="1"/>
  <c r="AI18" i="1"/>
  <c r="AI15" i="1"/>
  <c r="AI9" i="1"/>
  <c r="AG19" i="1"/>
  <c r="AG13" i="1"/>
  <c r="AG11" i="1"/>
  <c r="AG7" i="1"/>
  <c r="L8" i="11" l="1"/>
  <c r="L12" i="11"/>
  <c r="L16" i="11"/>
  <c r="L20" i="11"/>
  <c r="L24" i="11"/>
  <c r="L22" i="11"/>
  <c r="L7" i="11"/>
  <c r="L9" i="11"/>
  <c r="L13" i="11"/>
  <c r="L17" i="11"/>
  <c r="L21" i="11"/>
  <c r="L10" i="11"/>
  <c r="L14" i="11"/>
  <c r="L18" i="11"/>
  <c r="L11" i="11"/>
  <c r="L15" i="11"/>
  <c r="L19" i="11"/>
  <c r="L23" i="11"/>
  <c r="Z10" i="4"/>
  <c r="L10" i="4"/>
  <c r="L28" i="4" s="1"/>
  <c r="K10" i="4"/>
  <c r="K28" i="4" s="1"/>
  <c r="N10" i="4"/>
  <c r="N28" i="4" s="1"/>
  <c r="T10" i="4"/>
  <c r="J28" i="4"/>
  <c r="O28" i="4"/>
  <c r="AK15" i="1"/>
  <c r="AL15" i="1" s="1"/>
  <c r="C13" i="8"/>
  <c r="AK20" i="1"/>
  <c r="D19" i="2" s="1"/>
  <c r="D20" i="3" s="1"/>
  <c r="C18" i="8"/>
  <c r="AK10" i="1"/>
  <c r="AL10" i="1" s="1"/>
  <c r="C8" i="8"/>
  <c r="AK19" i="1"/>
  <c r="D18" i="2" s="1"/>
  <c r="D19" i="3" s="1"/>
  <c r="C17" i="8"/>
  <c r="AK18" i="1"/>
  <c r="AL18" i="1" s="1"/>
  <c r="C16" i="8"/>
  <c r="AK8" i="1"/>
  <c r="D7" i="2" s="1"/>
  <c r="D8" i="3" s="1"/>
  <c r="C6" i="8"/>
  <c r="AK16" i="1"/>
  <c r="D15" i="2" s="1"/>
  <c r="D16" i="3" s="1"/>
  <c r="C14" i="8"/>
  <c r="AK7" i="1"/>
  <c r="D6" i="2" s="1"/>
  <c r="D7" i="3" s="1"/>
  <c r="C5" i="8"/>
  <c r="AK12" i="1"/>
  <c r="AL12" i="1" s="1"/>
  <c r="C10" i="8"/>
  <c r="AK14" i="1"/>
  <c r="AL14" i="1" s="1"/>
  <c r="C12" i="8"/>
  <c r="AK11" i="1"/>
  <c r="AL11" i="1" s="1"/>
  <c r="C9" i="8"/>
  <c r="AK9" i="1"/>
  <c r="D8" i="2" s="1"/>
  <c r="D9" i="3" s="1"/>
  <c r="C7" i="8"/>
  <c r="AK17" i="1"/>
  <c r="AL17" i="1" s="1"/>
  <c r="C15" i="8"/>
  <c r="AK6" i="1"/>
  <c r="D5" i="2" s="1"/>
  <c r="D6" i="3" s="1"/>
  <c r="C4" i="8"/>
  <c r="AK13" i="1"/>
  <c r="AL13" i="1" s="1"/>
  <c r="C11" i="8"/>
  <c r="AA8" i="3" a="1"/>
  <c r="AA8" i="3" s="1"/>
  <c r="AA10" i="3" a="1"/>
  <c r="AA10" i="3" s="1"/>
  <c r="AA16" i="3" a="1"/>
  <c r="AA16" i="3" s="1"/>
  <c r="AA19" i="3" a="1"/>
  <c r="AA19" i="3" s="1"/>
  <c r="AA13" i="3" a="1"/>
  <c r="AA13" i="3" s="1"/>
  <c r="AA18" i="3" a="1"/>
  <c r="AA18" i="3" s="1"/>
  <c r="AA15" i="3" a="1"/>
  <c r="AA15" i="3" s="1"/>
  <c r="AA20" i="3" a="1"/>
  <c r="AA20" i="3" s="1"/>
  <c r="AA14" i="3" a="1"/>
  <c r="AA14" i="3" s="1"/>
  <c r="AI23" i="1"/>
  <c r="AG23" i="1"/>
  <c r="D11" i="4" l="1"/>
  <c r="D8" i="11"/>
  <c r="D21" i="4"/>
  <c r="D18" i="11"/>
  <c r="L25" i="11"/>
  <c r="D14" i="4"/>
  <c r="D11" i="11"/>
  <c r="D12" i="4"/>
  <c r="D9" i="11"/>
  <c r="D13" i="4"/>
  <c r="D10" i="11"/>
  <c r="D24" i="4"/>
  <c r="D21" i="11"/>
  <c r="D25" i="4"/>
  <c r="D22" i="11"/>
  <c r="T28" i="4"/>
  <c r="U10" i="4"/>
  <c r="AL8" i="1"/>
  <c r="AL20" i="1"/>
  <c r="AL16" i="1"/>
  <c r="D13" i="2"/>
  <c r="D14" i="3" s="1"/>
  <c r="AL7" i="1"/>
  <c r="AL9" i="1"/>
  <c r="AL6" i="1"/>
  <c r="AL19" i="1"/>
  <c r="D12" i="2"/>
  <c r="D13" i="3" s="1"/>
  <c r="D16" i="2"/>
  <c r="D17" i="3" s="1"/>
  <c r="D14" i="2"/>
  <c r="D15" i="3" s="1"/>
  <c r="D10" i="2"/>
  <c r="D11" i="3" s="1"/>
  <c r="D9" i="2"/>
  <c r="D10" i="3" s="1"/>
  <c r="D11" i="2"/>
  <c r="D12" i="3" s="1"/>
  <c r="D17" i="2"/>
  <c r="D18" i="3" s="1"/>
  <c r="C21" i="8"/>
  <c r="D12" i="8" s="1"/>
  <c r="E12" i="8" s="1"/>
  <c r="M19" i="4" s="1"/>
  <c r="D18" i="4" l="1"/>
  <c r="D15" i="11"/>
  <c r="D16" i="4"/>
  <c r="D13" i="11"/>
  <c r="D19" i="4"/>
  <c r="D16" i="11"/>
  <c r="D23" i="4"/>
  <c r="D20" i="11"/>
  <c r="D20" i="4"/>
  <c r="D17" i="11"/>
  <c r="D17" i="4"/>
  <c r="D14" i="11"/>
  <c r="D22" i="4"/>
  <c r="D19" i="11"/>
  <c r="D15" i="4"/>
  <c r="D12" i="11"/>
  <c r="U28" i="4"/>
  <c r="J33" i="4" s="1"/>
  <c r="D11" i="8"/>
  <c r="E11" i="8" s="1"/>
  <c r="M18" i="4" s="1"/>
  <c r="Q18" i="4" s="1"/>
  <c r="D14" i="8"/>
  <c r="E14" i="8" s="1"/>
  <c r="M21" i="4" s="1"/>
  <c r="Q21" i="4" s="1"/>
  <c r="D18" i="8"/>
  <c r="E18" i="8" s="1"/>
  <c r="M25" i="4" s="1"/>
  <c r="P25" i="4" s="1"/>
  <c r="D13" i="8"/>
  <c r="E13" i="8" s="1"/>
  <c r="M20" i="4" s="1"/>
  <c r="Q20" i="4" s="1"/>
  <c r="D6" i="8"/>
  <c r="E6" i="8" s="1"/>
  <c r="M13" i="4" s="1"/>
  <c r="P13" i="4" s="1"/>
  <c r="D9" i="8"/>
  <c r="E9" i="8" s="1"/>
  <c r="M16" i="4" s="1"/>
  <c r="Q16" i="4" s="1"/>
  <c r="D8" i="8"/>
  <c r="E8" i="8" s="1"/>
  <c r="M15" i="4" s="1"/>
  <c r="P15" i="4" s="1"/>
  <c r="D7" i="8"/>
  <c r="E7" i="8" s="1"/>
  <c r="M14" i="4" s="1"/>
  <c r="Q14" i="4" s="1"/>
  <c r="D5" i="8"/>
  <c r="E5" i="8" s="1"/>
  <c r="M12" i="4" s="1"/>
  <c r="P12" i="4" s="1"/>
  <c r="D3" i="8"/>
  <c r="E3" i="8" s="1"/>
  <c r="D10" i="8"/>
  <c r="E10" i="8" s="1"/>
  <c r="M17" i="4" s="1"/>
  <c r="P17" i="4" s="1"/>
  <c r="D15" i="8"/>
  <c r="E15" i="8" s="1"/>
  <c r="M22" i="4" s="1"/>
  <c r="P22" i="4" s="1"/>
  <c r="D16" i="8"/>
  <c r="E16" i="8" s="1"/>
  <c r="M23" i="4" s="1"/>
  <c r="Q23" i="4" s="1"/>
  <c r="D4" i="8"/>
  <c r="E4" i="8" s="1"/>
  <c r="M11" i="4" s="1"/>
  <c r="P11" i="4" s="1"/>
  <c r="D19" i="8"/>
  <c r="E19" i="8" s="1"/>
  <c r="M26" i="4" s="1"/>
  <c r="P26" i="4" s="1"/>
  <c r="D17" i="8"/>
  <c r="E17" i="8" s="1"/>
  <c r="M24" i="4" s="1"/>
  <c r="Q24" i="4" s="1"/>
  <c r="D20" i="8"/>
  <c r="E20" i="8" s="1"/>
  <c r="M27" i="4" s="1"/>
  <c r="P27" i="4" s="1"/>
  <c r="Q19" i="4"/>
  <c r="P19" i="4"/>
  <c r="O6" i="3"/>
  <c r="O7" i="3"/>
  <c r="O8" i="3"/>
  <c r="O9" i="3"/>
  <c r="O10" i="3"/>
  <c r="Z10" i="3" s="1" a="1"/>
  <c r="Z10" i="3" s="1"/>
  <c r="O11" i="3"/>
  <c r="O12" i="3"/>
  <c r="Z12" i="3" s="1" a="1"/>
  <c r="Z12" i="3" s="1"/>
  <c r="O13" i="3"/>
  <c r="Z13" i="3" s="1" a="1"/>
  <c r="Z13" i="3" s="1"/>
  <c r="O14" i="3"/>
  <c r="Z14" i="3" s="1" a="1"/>
  <c r="Z14" i="3" s="1"/>
  <c r="O15" i="3"/>
  <c r="Z15" i="3" s="1" a="1"/>
  <c r="Z15" i="3" s="1"/>
  <c r="O16" i="3"/>
  <c r="Z16" i="3" s="1" a="1"/>
  <c r="Z16" i="3" s="1"/>
  <c r="O17" i="3"/>
  <c r="Z17" i="3" s="1" a="1"/>
  <c r="Z17" i="3" s="1"/>
  <c r="O18" i="3"/>
  <c r="Z18" i="3" s="1" a="1"/>
  <c r="Z18" i="3" s="1"/>
  <c r="O19" i="3"/>
  <c r="Z19" i="3" s="1" a="1"/>
  <c r="Z19" i="3" s="1"/>
  <c r="O20" i="3"/>
  <c r="Z20" i="3" s="1" a="1"/>
  <c r="Z20" i="3" s="1"/>
  <c r="O5" i="3"/>
  <c r="P16" i="4" l="1"/>
  <c r="P21" i="4"/>
  <c r="Q11" i="4"/>
  <c r="Q25" i="4"/>
  <c r="P14" i="4"/>
  <c r="Q17" i="4"/>
  <c r="Q15" i="4"/>
  <c r="P18" i="4"/>
  <c r="Q13" i="4"/>
  <c r="Q12" i="4"/>
  <c r="P23" i="4"/>
  <c r="D21" i="8"/>
  <c r="Q27" i="4"/>
  <c r="Q26" i="4"/>
  <c r="P20" i="4"/>
  <c r="P24" i="4"/>
  <c r="Q22" i="4"/>
  <c r="E21" i="8"/>
  <c r="M10" i="4"/>
  <c r="M28" i="4" s="1"/>
  <c r="Q10" i="4" l="1"/>
  <c r="P10" i="4"/>
  <c r="P28" i="4" s="1"/>
  <c r="G33" i="4" s="1"/>
  <c r="Q28" i="4" l="1"/>
  <c r="H33" i="4" s="1"/>
  <c r="I33" i="4" s="1"/>
  <c r="B32" i="1" l="1"/>
  <c r="AK5" i="1" l="1"/>
  <c r="D4" i="2" s="1"/>
  <c r="E17" i="3" l="1"/>
  <c r="E20" i="3"/>
  <c r="E16" i="3"/>
  <c r="E11" i="3"/>
  <c r="D5" i="3"/>
  <c r="AL5" i="1"/>
  <c r="B27" i="1" s="1"/>
  <c r="E19" i="3"/>
  <c r="E18" i="3"/>
  <c r="E14" i="3"/>
  <c r="E6" i="3"/>
  <c r="E8" i="3"/>
  <c r="E10" i="3"/>
  <c r="E15" i="3"/>
  <c r="E12" i="3"/>
  <c r="E9" i="3"/>
  <c r="E7" i="3"/>
  <c r="E13" i="3"/>
  <c r="D10" i="4" l="1"/>
  <c r="D7" i="11"/>
  <c r="B28" i="1"/>
  <c r="B29" i="1"/>
  <c r="E5" i="3"/>
  <c r="S14" i="3" s="1" a="1"/>
  <c r="S14" i="3" s="1"/>
  <c r="Z7" i="3" l="1" a="1"/>
  <c r="Z7" i="3" s="1"/>
  <c r="Q15" i="3" a="1"/>
  <c r="Q15" i="3" s="1"/>
  <c r="U8" i="3" a="1"/>
  <c r="U8" i="3" s="1"/>
  <c r="Q85" i="3"/>
  <c r="Z9" i="3" a="1"/>
  <c r="Z9" i="3" s="1"/>
  <c r="U16" i="3" a="1"/>
  <c r="U16" i="3" s="1"/>
  <c r="U69" i="3" s="1"/>
  <c r="Q86" i="3"/>
  <c r="T79" i="3"/>
  <c r="T81" i="3"/>
  <c r="Q7" i="3" a="1"/>
  <c r="Q7" i="3" s="1"/>
  <c r="T9" i="3" a="1"/>
  <c r="T9" i="3" s="1"/>
  <c r="T62" i="3" s="1"/>
  <c r="R78" i="3"/>
  <c r="Z11" i="3" a="1"/>
  <c r="Z11" i="3" s="1"/>
  <c r="Z6" i="3" a="1"/>
  <c r="Z6" i="3" s="1"/>
  <c r="T19" i="3" a="1"/>
  <c r="T19" i="3" s="1"/>
  <c r="T72" i="3" s="1"/>
  <c r="Q17" i="3" a="1"/>
  <c r="Q17" i="3" s="1"/>
  <c r="T82" i="3"/>
  <c r="Q13" i="3" a="1"/>
  <c r="Q13" i="3" s="1"/>
  <c r="Q66" i="3" s="1"/>
  <c r="T74" i="3"/>
  <c r="Q11" i="3" a="1"/>
  <c r="Q11" i="3" s="1"/>
  <c r="Q6" i="3" a="1"/>
  <c r="Q6" i="3" s="1"/>
  <c r="Z8" i="3" a="1"/>
  <c r="Z8" i="3" s="1"/>
  <c r="S84" i="3"/>
  <c r="R13" i="3" a="1"/>
  <c r="R13" i="3" s="1"/>
  <c r="R66" i="3" s="1"/>
  <c r="Q20" i="3" a="1"/>
  <c r="Q20" i="3" s="1"/>
  <c r="Q73" i="3" s="1"/>
  <c r="R18" i="3" a="1"/>
  <c r="R18" i="3" s="1"/>
  <c r="T10" i="3" a="1"/>
  <c r="T10" i="3" s="1"/>
  <c r="T63" i="3" s="1"/>
  <c r="Q12" i="3" a="1"/>
  <c r="Q12" i="3" s="1"/>
  <c r="Q65" i="3" s="1"/>
  <c r="S83" i="3"/>
  <c r="Q14" i="3" a="1"/>
  <c r="Q14" i="3" s="1"/>
  <c r="S18" i="3" a="1"/>
  <c r="S18" i="3" s="1"/>
  <c r="R85" i="3"/>
  <c r="S86" i="3"/>
  <c r="S11" i="3" a="1"/>
  <c r="S11" i="3" s="1"/>
  <c r="R11" i="3" a="1"/>
  <c r="R11" i="3" s="1"/>
  <c r="R76" i="3"/>
  <c r="Q79" i="3"/>
  <c r="S6" i="3" a="1"/>
  <c r="S6" i="3" s="1"/>
  <c r="S59" i="3" s="1"/>
  <c r="R6" i="3" a="1"/>
  <c r="R6" i="3" s="1"/>
  <c r="R59" i="3" s="1"/>
  <c r="S15" i="3" a="1"/>
  <c r="S15" i="3" s="1"/>
  <c r="S68" i="3" s="1"/>
  <c r="Q81" i="3"/>
  <c r="U19" i="3" a="1"/>
  <c r="U19" i="3" s="1"/>
  <c r="T8" i="3" a="1"/>
  <c r="T8" i="3" s="1"/>
  <c r="T61" i="3" s="1"/>
  <c r="R8" i="3" a="1"/>
  <c r="R8" i="3" s="1"/>
  <c r="R61" i="3" s="1"/>
  <c r="S7" i="3" a="1"/>
  <c r="S7" i="3" s="1"/>
  <c r="S60" i="3" s="1"/>
  <c r="S17" i="3" a="1"/>
  <c r="S17" i="3" s="1"/>
  <c r="S70" i="3" s="1"/>
  <c r="S9" i="3" a="1"/>
  <c r="S9" i="3" s="1"/>
  <c r="S62" i="3" s="1"/>
  <c r="R9" i="3" a="1"/>
  <c r="R9" i="3" s="1"/>
  <c r="S82" i="3"/>
  <c r="S77" i="3"/>
  <c r="R75" i="3"/>
  <c r="S13" i="3" a="1"/>
  <c r="S13" i="3" s="1"/>
  <c r="S66" i="3" s="1"/>
  <c r="T16" i="3" a="1"/>
  <c r="T16" i="3" s="1"/>
  <c r="T69" i="3" s="1"/>
  <c r="R16" i="3" a="1"/>
  <c r="R16" i="3" s="1"/>
  <c r="R69" i="3" s="1"/>
  <c r="S80" i="3"/>
  <c r="S74" i="3"/>
  <c r="S20" i="3" a="1"/>
  <c r="S20" i="3" s="1"/>
  <c r="S73" i="3" s="1"/>
  <c r="S87" i="3"/>
  <c r="U18" i="3" a="1"/>
  <c r="U18" i="3" s="1"/>
  <c r="U71" i="3" s="1"/>
  <c r="Q10" i="3" a="1"/>
  <c r="Q10" i="3" s="1"/>
  <c r="Q63" i="3" s="1"/>
  <c r="R10" i="3" a="1"/>
  <c r="R10" i="3" s="1"/>
  <c r="R63" i="3" s="1"/>
  <c r="U12" i="3" a="1"/>
  <c r="U12" i="3" s="1"/>
  <c r="U65" i="3" s="1"/>
  <c r="T83" i="3"/>
  <c r="AA9" i="3" a="1"/>
  <c r="AA9" i="3" s="1"/>
  <c r="AA7" i="3" a="1"/>
  <c r="AA7" i="3" s="1"/>
  <c r="AA17" i="3" a="1"/>
  <c r="AA17" i="3" s="1"/>
  <c r="AA11" i="3" a="1"/>
  <c r="AA11" i="3" s="1"/>
  <c r="AA5" i="3" a="1"/>
  <c r="AA5" i="3" s="1"/>
  <c r="AA12" i="3" a="1"/>
  <c r="AA12" i="3" s="1"/>
  <c r="AA6" i="3" a="1"/>
  <c r="AA6" i="3" s="1"/>
  <c r="V11" i="3" a="1"/>
  <c r="V11" i="3" s="1"/>
  <c r="V9" i="3" a="1"/>
  <c r="V9" i="3" s="1"/>
  <c r="V8" i="3" a="1"/>
  <c r="V8" i="3" s="1"/>
  <c r="V14" i="3" a="1"/>
  <c r="V14" i="3" s="1"/>
  <c r="V21" i="3" a="1"/>
  <c r="V21" i="3" s="1"/>
  <c r="V20" i="3" a="1"/>
  <c r="V20" i="3" s="1"/>
  <c r="V7" i="3" a="1"/>
  <c r="V7" i="3" s="1"/>
  <c r="V10" i="3" a="1"/>
  <c r="V10" i="3" s="1"/>
  <c r="V13" i="3" a="1"/>
  <c r="V13" i="3" s="1"/>
  <c r="V12" i="3" a="1"/>
  <c r="V12" i="3" s="1"/>
  <c r="V19" i="3" a="1"/>
  <c r="V19" i="3" s="1"/>
  <c r="V5" i="3" a="1"/>
  <c r="V5" i="3" s="1"/>
  <c r="V22" i="3" a="1"/>
  <c r="V22" i="3" s="1"/>
  <c r="V6" i="3" a="1"/>
  <c r="V6" i="3" s="1"/>
  <c r="V15" i="3" a="1"/>
  <c r="V15" i="3" s="1"/>
  <c r="V17" i="3" a="1"/>
  <c r="V17" i="3" s="1"/>
  <c r="V16" i="3" a="1"/>
  <c r="V16" i="3" s="1"/>
  <c r="V18" i="3" a="1"/>
  <c r="V18" i="3" s="1"/>
  <c r="Y20" i="3" a="1"/>
  <c r="Y20" i="3" s="1"/>
  <c r="Y7" i="3" a="1"/>
  <c r="Y7" i="3" s="1"/>
  <c r="Y5" i="3" a="1"/>
  <c r="Y5" i="3" s="1"/>
  <c r="Y22" i="3" a="1"/>
  <c r="Y22" i="3" s="1"/>
  <c r="Y6" i="3" a="1"/>
  <c r="Y6" i="3" s="1"/>
  <c r="Y9" i="3" a="1"/>
  <c r="Y9" i="3" s="1"/>
  <c r="Y16" i="3" a="1"/>
  <c r="Y16" i="3" s="1"/>
  <c r="Y18" i="3" a="1"/>
  <c r="Y18" i="3" s="1"/>
  <c r="Y21" i="3" a="1"/>
  <c r="Y21" i="3" s="1"/>
  <c r="Y12" i="3" a="1"/>
  <c r="Y12" i="3" s="1"/>
  <c r="Y19" i="3" a="1"/>
  <c r="Y19" i="3" s="1"/>
  <c r="Y14" i="3" a="1"/>
  <c r="Y14" i="3" s="1"/>
  <c r="Y17" i="3" a="1"/>
  <c r="Y17" i="3" s="1"/>
  <c r="Y8" i="3" a="1"/>
  <c r="Y8" i="3" s="1"/>
  <c r="Y11" i="3" a="1"/>
  <c r="Y11" i="3" s="1"/>
  <c r="Y15" i="3" a="1"/>
  <c r="Y15" i="3" s="1"/>
  <c r="Y10" i="3" a="1"/>
  <c r="Y10" i="3" s="1"/>
  <c r="Y13" i="3" a="1"/>
  <c r="Y13" i="3" s="1"/>
  <c r="X19" i="3" a="1"/>
  <c r="X19" i="3" s="1"/>
  <c r="X22" i="3" a="1"/>
  <c r="X22" i="3" s="1"/>
  <c r="X6" i="3" a="1"/>
  <c r="X6" i="3" s="1"/>
  <c r="X9" i="3" a="1"/>
  <c r="X9" i="3" s="1"/>
  <c r="X20" i="3" a="1"/>
  <c r="X20" i="3" s="1"/>
  <c r="X15" i="3" a="1"/>
  <c r="X15" i="3" s="1"/>
  <c r="X18" i="3" a="1"/>
  <c r="X18" i="3" s="1"/>
  <c r="X21" i="3" a="1"/>
  <c r="X21" i="3" s="1"/>
  <c r="X16" i="3" a="1"/>
  <c r="X16" i="3" s="1"/>
  <c r="X11" i="3" a="1"/>
  <c r="X11" i="3" s="1"/>
  <c r="X14" i="3" a="1"/>
  <c r="X14" i="3" s="1"/>
  <c r="X17" i="3" a="1"/>
  <c r="X17" i="3" s="1"/>
  <c r="X12" i="3" a="1"/>
  <c r="X12" i="3" s="1"/>
  <c r="X7" i="3" a="1"/>
  <c r="X7" i="3" s="1"/>
  <c r="X10" i="3" a="1"/>
  <c r="X10" i="3" s="1"/>
  <c r="X13" i="3" a="1"/>
  <c r="X13" i="3" s="1"/>
  <c r="X8" i="3" a="1"/>
  <c r="X8" i="3" s="1"/>
  <c r="W15" i="3" a="1"/>
  <c r="W15" i="3" s="1"/>
  <c r="W12" i="3" a="1"/>
  <c r="W12" i="3" s="1"/>
  <c r="W6" i="3" a="1"/>
  <c r="W6" i="3" s="1"/>
  <c r="W11" i="3" a="1"/>
  <c r="W11" i="3" s="1"/>
  <c r="W9" i="3" a="1"/>
  <c r="W9" i="3" s="1"/>
  <c r="W5" i="3" a="1"/>
  <c r="W5" i="3" s="1"/>
  <c r="W21" i="3" a="1"/>
  <c r="W21" i="3" s="1"/>
  <c r="W17" i="3" a="1"/>
  <c r="W17" i="3" s="1"/>
  <c r="W22" i="3" a="1"/>
  <c r="W22" i="3" s="1"/>
  <c r="W19" i="3" a="1"/>
  <c r="W19" i="3" s="1"/>
  <c r="W13" i="3" a="1"/>
  <c r="W13" i="3" s="1"/>
  <c r="W10" i="3" a="1"/>
  <c r="W10" i="3" s="1"/>
  <c r="W20" i="3" a="1"/>
  <c r="W20" i="3" s="1"/>
  <c r="W8" i="3" a="1"/>
  <c r="W8" i="3" s="1"/>
  <c r="X5" i="3" a="1"/>
  <c r="X5" i="3" s="1"/>
  <c r="W16" i="3" a="1"/>
  <c r="W16" i="3" s="1"/>
  <c r="W18" i="3" a="1"/>
  <c r="W18" i="3" s="1"/>
  <c r="W7" i="3" a="1"/>
  <c r="W7" i="3" s="1"/>
  <c r="W14" i="3" a="1"/>
  <c r="W14" i="3" s="1"/>
  <c r="U74" i="3"/>
  <c r="U78" i="3"/>
  <c r="U84" i="3"/>
  <c r="U77" i="3"/>
  <c r="U85" i="3"/>
  <c r="U83" i="3"/>
  <c r="U75" i="3"/>
  <c r="U82" i="3"/>
  <c r="U76" i="3"/>
  <c r="U80" i="3"/>
  <c r="U86" i="3"/>
  <c r="U79" i="3"/>
  <c r="U81" i="3"/>
  <c r="U87" i="3"/>
  <c r="U22" i="3" a="1"/>
  <c r="U22" i="3" s="1"/>
  <c r="U21" i="3" a="1"/>
  <c r="U21" i="3" s="1"/>
  <c r="S22" i="3" a="1"/>
  <c r="S22" i="3" s="1"/>
  <c r="R22" i="3" a="1"/>
  <c r="R22" i="3" s="1"/>
  <c r="T22" i="3" a="1"/>
  <c r="T22" i="3" s="1"/>
  <c r="Q22" i="3" a="1"/>
  <c r="Q22" i="3" s="1"/>
  <c r="T21" i="3" a="1"/>
  <c r="T21" i="3" s="1"/>
  <c r="S21" i="3" a="1"/>
  <c r="S21" i="3" s="1"/>
  <c r="R21" i="3" a="1"/>
  <c r="R21" i="3" s="1"/>
  <c r="Q21" i="3" a="1"/>
  <c r="Q21" i="3" s="1"/>
  <c r="R5" i="3" a="1"/>
  <c r="R5" i="3" s="1"/>
  <c r="T5" i="3" a="1"/>
  <c r="T5" i="3" s="1"/>
  <c r="S5" i="3" a="1"/>
  <c r="S5" i="3" s="1"/>
  <c r="U5" i="3" a="1"/>
  <c r="U5" i="3" s="1"/>
  <c r="Q5" i="3" a="1"/>
  <c r="Q5" i="3" s="1"/>
  <c r="Z5" i="3" a="1"/>
  <c r="Z5" i="3" s="1"/>
  <c r="T85" i="3"/>
  <c r="R86" i="3"/>
  <c r="T11" i="3" a="1"/>
  <c r="T11" i="3" s="1"/>
  <c r="T64" i="3" s="1"/>
  <c r="T76" i="3"/>
  <c r="S79" i="3"/>
  <c r="U6" i="3" a="1"/>
  <c r="U6" i="3" s="1"/>
  <c r="U15" i="3" a="1"/>
  <c r="U15" i="3" s="1"/>
  <c r="U68" i="3" s="1"/>
  <c r="R15" i="3" a="1"/>
  <c r="R15" i="3" s="1"/>
  <c r="R68" i="3" s="1"/>
  <c r="S81" i="3"/>
  <c r="S19" i="3" a="1"/>
  <c r="S19" i="3" s="1"/>
  <c r="S72" i="3" s="1"/>
  <c r="S8" i="3" a="1"/>
  <c r="S8" i="3" s="1"/>
  <c r="S61" i="3" s="1"/>
  <c r="T7" i="3" a="1"/>
  <c r="T7" i="3" s="1"/>
  <c r="T60" i="3" s="1"/>
  <c r="R7" i="3" a="1"/>
  <c r="R7" i="3" s="1"/>
  <c r="R60" i="3" s="1"/>
  <c r="U17" i="3" a="1"/>
  <c r="U17" i="3" s="1"/>
  <c r="U70" i="3" s="1"/>
  <c r="R84" i="3"/>
  <c r="Q9" i="3" a="1"/>
  <c r="Q9" i="3" s="1"/>
  <c r="Q62" i="3" s="1"/>
  <c r="R82" i="3"/>
  <c r="R77" i="3"/>
  <c r="T75" i="3"/>
  <c r="Q78" i="3"/>
  <c r="U13" i="3" a="1"/>
  <c r="U13" i="3" s="1"/>
  <c r="U66" i="3" s="1"/>
  <c r="Q16" i="3" a="1"/>
  <c r="Q16" i="3" s="1"/>
  <c r="Q69" i="3" s="1"/>
  <c r="R80" i="3"/>
  <c r="Q74" i="3"/>
  <c r="T20" i="3" a="1"/>
  <c r="T20" i="3" s="1"/>
  <c r="T73" i="3" s="1"/>
  <c r="R87" i="3"/>
  <c r="Q18" i="3" a="1"/>
  <c r="Q18" i="3" s="1"/>
  <c r="Q71" i="3" s="1"/>
  <c r="S10" i="3" a="1"/>
  <c r="S10" i="3" s="1"/>
  <c r="S63" i="3" s="1"/>
  <c r="T12" i="3" a="1"/>
  <c r="T12" i="3" s="1"/>
  <c r="T65" i="3" s="1"/>
  <c r="R12" i="3" a="1"/>
  <c r="R12" i="3" s="1"/>
  <c r="R65" i="3" s="1"/>
  <c r="Q83" i="3"/>
  <c r="U14" i="3" a="1"/>
  <c r="U14" i="3" s="1"/>
  <c r="U67" i="3" s="1"/>
  <c r="S85" i="3"/>
  <c r="T86" i="3"/>
  <c r="U11" i="3" a="1"/>
  <c r="U11" i="3" s="1"/>
  <c r="U64" i="3" s="1"/>
  <c r="Q76" i="3"/>
  <c r="R79" i="3"/>
  <c r="T6" i="3" a="1"/>
  <c r="T6" i="3" s="1"/>
  <c r="T15" i="3" a="1"/>
  <c r="T15" i="3" s="1"/>
  <c r="T68" i="3" s="1"/>
  <c r="R81" i="3"/>
  <c r="Q19" i="3" a="1"/>
  <c r="Q19" i="3" s="1"/>
  <c r="Q72" i="3" s="1"/>
  <c r="R19" i="3" a="1"/>
  <c r="R19" i="3" s="1"/>
  <c r="R72" i="3" s="1"/>
  <c r="Q8" i="3" a="1"/>
  <c r="Q8" i="3" s="1"/>
  <c r="Q61" i="3" s="1"/>
  <c r="U7" i="3" a="1"/>
  <c r="U7" i="3" s="1"/>
  <c r="U60" i="3" s="1"/>
  <c r="T17" i="3" a="1"/>
  <c r="T17" i="3" s="1"/>
  <c r="T70" i="3" s="1"/>
  <c r="R17" i="3" a="1"/>
  <c r="R17" i="3" s="1"/>
  <c r="R70" i="3" s="1"/>
  <c r="Q84" i="3"/>
  <c r="U9" i="3" a="1"/>
  <c r="U9" i="3" s="1"/>
  <c r="U62" i="3" s="1"/>
  <c r="Q82" i="3"/>
  <c r="T77" i="3"/>
  <c r="S75" i="3"/>
  <c r="S78" i="3"/>
  <c r="T13" i="3" a="1"/>
  <c r="T13" i="3" s="1"/>
  <c r="T66" i="3" s="1"/>
  <c r="S16" i="3" a="1"/>
  <c r="S16" i="3" s="1"/>
  <c r="S69" i="3" s="1"/>
  <c r="Q80" i="3"/>
  <c r="R74" i="3"/>
  <c r="U20" i="3" a="1"/>
  <c r="U20" i="3" s="1"/>
  <c r="U73" i="3" s="1"/>
  <c r="R20" i="3" a="1"/>
  <c r="R20" i="3" s="1"/>
  <c r="R73" i="3" s="1"/>
  <c r="T87" i="3"/>
  <c r="T18" i="3" a="1"/>
  <c r="T18" i="3" s="1"/>
  <c r="T71" i="3" s="1"/>
  <c r="U10" i="3" a="1"/>
  <c r="U10" i="3" s="1"/>
  <c r="U63" i="3" s="1"/>
  <c r="S12" i="3" a="1"/>
  <c r="S12" i="3" s="1"/>
  <c r="S65" i="3" s="1"/>
  <c r="R83" i="3"/>
  <c r="T14" i="3" a="1"/>
  <c r="T14" i="3" s="1"/>
  <c r="T67" i="3" s="1"/>
  <c r="R14" i="3" a="1"/>
  <c r="R14" i="3" s="1"/>
  <c r="R67" i="3" s="1"/>
  <c r="T78" i="3"/>
  <c r="T84" i="3"/>
  <c r="R62" i="3"/>
  <c r="U72" i="3"/>
  <c r="S76" i="3"/>
  <c r="S71" i="3"/>
  <c r="R71" i="3"/>
  <c r="U61" i="3"/>
  <c r="R64" i="3"/>
  <c r="S67" i="3"/>
  <c r="T80" i="3"/>
  <c r="S64" i="3"/>
  <c r="Q70" i="3"/>
  <c r="Q67" i="3"/>
  <c r="Q75" i="3"/>
  <c r="Q87" i="3"/>
  <c r="Q77" i="3"/>
  <c r="Q60" i="3"/>
  <c r="Q64" i="3"/>
  <c r="Q68" i="3"/>
  <c r="C29" i="1"/>
  <c r="D29" i="1" s="1"/>
  <c r="E29" i="1" s="1"/>
  <c r="C28" i="1"/>
  <c r="D28" i="1" s="1"/>
  <c r="E28" i="1" s="1"/>
  <c r="C27" i="1"/>
  <c r="D27" i="1" s="1"/>
  <c r="D30" i="1" l="1"/>
  <c r="T58" i="3"/>
  <c r="T59" i="3"/>
  <c r="S58" i="3"/>
  <c r="R58" i="3"/>
  <c r="U59" i="3"/>
  <c r="U58" i="3"/>
  <c r="Q59" i="3"/>
  <c r="AB14" i="3"/>
  <c r="Q58" i="3"/>
  <c r="AB22" i="3"/>
  <c r="AE22" i="3"/>
  <c r="AE21" i="3"/>
  <c r="AB21" i="3"/>
  <c r="AB20" i="3"/>
  <c r="AB9" i="3"/>
  <c r="AB16" i="3"/>
  <c r="AB10" i="3"/>
  <c r="AE12" i="3"/>
  <c r="AE13" i="3"/>
  <c r="AE10" i="3"/>
  <c r="AE14" i="3"/>
  <c r="AE7" i="3"/>
  <c r="AE16" i="3"/>
  <c r="AE20" i="3"/>
  <c r="AE17" i="3"/>
  <c r="AE18" i="3"/>
  <c r="AE15" i="3"/>
  <c r="AE19" i="3"/>
  <c r="AB8" i="3"/>
  <c r="AB19" i="3"/>
  <c r="AB13" i="3"/>
  <c r="AB11" i="3"/>
  <c r="AB18" i="3"/>
  <c r="AB7" i="3"/>
  <c r="AB12" i="3"/>
  <c r="AB15" i="3"/>
  <c r="AB6" i="3"/>
  <c r="AB17" i="3"/>
  <c r="AB5" i="3"/>
  <c r="E27" i="1"/>
  <c r="AE11" i="3" s="1"/>
  <c r="AE8" i="3" l="1"/>
  <c r="AE9" i="3"/>
  <c r="AC21" i="3" a="1"/>
  <c r="AC21" i="3" s="1"/>
  <c r="AD21" i="3" s="1"/>
  <c r="AF21" i="3" s="1"/>
  <c r="AG21" i="3" s="1"/>
  <c r="AC16" i="3" a="1"/>
  <c r="AC16" i="3" s="1"/>
  <c r="AD16" i="3" s="1"/>
  <c r="AC20" i="3" a="1"/>
  <c r="AC20" i="3" s="1"/>
  <c r="AD20" i="3" s="1"/>
  <c r="AF20" i="3" s="1"/>
  <c r="AG20" i="3" s="1"/>
  <c r="AC14" i="3" a="1"/>
  <c r="AC14" i="3" s="1"/>
  <c r="AD14" i="3" s="1"/>
  <c r="AF14" i="3" s="1"/>
  <c r="AG14" i="3" s="1"/>
  <c r="AC10" i="3" a="1"/>
  <c r="AC10" i="3" s="1"/>
  <c r="AD10" i="3" s="1"/>
  <c r="AC9" i="3" a="1"/>
  <c r="AC9" i="3" s="1"/>
  <c r="AD9" i="3" s="1"/>
  <c r="AC5" i="3" a="1"/>
  <c r="AC5" i="3" s="1"/>
  <c r="AD5" i="3" s="1"/>
  <c r="AC19" i="3" a="1"/>
  <c r="AC19" i="3" s="1"/>
  <c r="AD19" i="3" s="1"/>
  <c r="AF19" i="3" s="1"/>
  <c r="AG19" i="3" s="1"/>
  <c r="AC22" i="3" a="1"/>
  <c r="AC22" i="3" s="1"/>
  <c r="AD22" i="3" s="1"/>
  <c r="AF22" i="3" s="1"/>
  <c r="AG22" i="3" s="1"/>
  <c r="AC13" i="3" a="1"/>
  <c r="AC13" i="3" s="1"/>
  <c r="AD13" i="3" s="1"/>
  <c r="AC17" i="3" a="1"/>
  <c r="AC17" i="3" s="1"/>
  <c r="AD17" i="3" s="1"/>
  <c r="AF17" i="3" s="1"/>
  <c r="AG17" i="3" s="1"/>
  <c r="AC12" i="3" a="1"/>
  <c r="AC12" i="3" s="1"/>
  <c r="AD12" i="3" s="1"/>
  <c r="AC8" i="3" a="1"/>
  <c r="AC8" i="3" s="1"/>
  <c r="AD8" i="3" s="1"/>
  <c r="AC6" i="3" a="1"/>
  <c r="AC6" i="3" s="1"/>
  <c r="AD6" i="3" s="1"/>
  <c r="AC7" i="3" a="1"/>
  <c r="AC7" i="3" s="1"/>
  <c r="AD7" i="3" s="1"/>
  <c r="AF7" i="3" s="1"/>
  <c r="AG7" i="3" s="1"/>
  <c r="AC18" i="3" a="1"/>
  <c r="AC18" i="3" s="1"/>
  <c r="AD18" i="3" s="1"/>
  <c r="AF18" i="3" s="1"/>
  <c r="AG18" i="3" s="1"/>
  <c r="AC11" i="3" a="1"/>
  <c r="AC11" i="3" s="1"/>
  <c r="AD11" i="3" s="1"/>
  <c r="AF11" i="3" s="1"/>
  <c r="AG11" i="3" s="1"/>
  <c r="AC15" i="3" a="1"/>
  <c r="AC15" i="3" s="1"/>
  <c r="AD15" i="3" s="1"/>
  <c r="AE6" i="3"/>
  <c r="AE5" i="3"/>
  <c r="AF8" i="3" l="1"/>
  <c r="AG8" i="3" s="1"/>
  <c r="AH21" i="3"/>
  <c r="R26" i="4" s="1"/>
  <c r="AH22" i="3"/>
  <c r="R27" i="4" s="1"/>
  <c r="AH11" i="3"/>
  <c r="R16" i="4" s="1"/>
  <c r="AH19" i="3"/>
  <c r="R24" i="4" s="1"/>
  <c r="AH17" i="3"/>
  <c r="R22" i="4" s="1"/>
  <c r="AH7" i="3"/>
  <c r="R12" i="4" s="1"/>
  <c r="AH18" i="3"/>
  <c r="R23" i="4" s="1"/>
  <c r="AH14" i="3"/>
  <c r="R19" i="4" s="1"/>
  <c r="AH20" i="3"/>
  <c r="R25" i="4" s="1"/>
  <c r="AF5" i="3"/>
  <c r="AG5" i="3" s="1"/>
  <c r="AF16" i="3"/>
  <c r="AG16" i="3" s="1"/>
  <c r="AF9" i="3"/>
  <c r="AG9" i="3" s="1"/>
  <c r="AF13" i="3"/>
  <c r="AG13" i="3" s="1"/>
  <c r="AF12" i="3"/>
  <c r="AG12" i="3" s="1"/>
  <c r="AF10" i="3"/>
  <c r="AG10" i="3" s="1"/>
  <c r="AF6" i="3"/>
  <c r="AG6" i="3" s="1"/>
  <c r="AF15" i="3"/>
  <c r="AG15" i="3" s="1"/>
  <c r="W19" i="4" l="1"/>
  <c r="X19" i="4" s="1"/>
  <c r="W16" i="4"/>
  <c r="X16" i="4" s="1"/>
  <c r="W12" i="4"/>
  <c r="X12" i="4" s="1"/>
  <c r="W27" i="4"/>
  <c r="X27" i="4" s="1"/>
  <c r="W24" i="4"/>
  <c r="X24" i="4" s="1"/>
  <c r="W22" i="4"/>
  <c r="X22" i="4" s="1"/>
  <c r="W26" i="4"/>
  <c r="X26" i="4" s="1"/>
  <c r="AH8" i="3"/>
  <c r="R13" i="4" s="1"/>
  <c r="AI11" i="3" a="1"/>
  <c r="AI11" i="3" s="1"/>
  <c r="AI12" i="3" a="1"/>
  <c r="AI12" i="3" s="1"/>
  <c r="AI7" i="3" a="1"/>
  <c r="AI7" i="3" s="1"/>
  <c r="AH13" i="3"/>
  <c r="R18" i="4" s="1"/>
  <c r="AI13" i="3" a="1"/>
  <c r="AI13" i="3" s="1"/>
  <c r="AH15" i="3"/>
  <c r="R20" i="4" s="1"/>
  <c r="AI15" i="3" a="1"/>
  <c r="AI15" i="3" s="1"/>
  <c r="AI6" i="3" a="1"/>
  <c r="AI6" i="3" s="1"/>
  <c r="AI19" i="3" a="1"/>
  <c r="AI19" i="3" s="1"/>
  <c r="AH10" i="3"/>
  <c r="R15" i="4" s="1"/>
  <c r="AI10" i="3" a="1"/>
  <c r="AI10" i="3" s="1"/>
  <c r="AI16" i="3" a="1"/>
  <c r="AI16" i="3" s="1"/>
  <c r="AI17" i="3" a="1"/>
  <c r="AI17" i="3" s="1"/>
  <c r="AI8" i="3" a="1"/>
  <c r="AI8" i="3" s="1"/>
  <c r="AI18" i="3" a="1"/>
  <c r="AI18" i="3" s="1"/>
  <c r="AI21" i="3" a="1"/>
  <c r="AI21" i="3" s="1"/>
  <c r="AI22" i="3" a="1"/>
  <c r="AI22" i="3" s="1"/>
  <c r="AH5" i="3"/>
  <c r="R10" i="4" s="1"/>
  <c r="AI5" i="3" a="1"/>
  <c r="AI5" i="3" s="1"/>
  <c r="AI9" i="3" a="1"/>
  <c r="AI9" i="3" s="1"/>
  <c r="AI20" i="3" a="1"/>
  <c r="AI20" i="3" s="1"/>
  <c r="AI14" i="3" a="1"/>
  <c r="AI14" i="3" s="1"/>
  <c r="W25" i="4"/>
  <c r="X25" i="4" s="1"/>
  <c r="W23" i="4"/>
  <c r="X23" i="4" s="1"/>
  <c r="AH6" i="3"/>
  <c r="R11" i="4" s="1"/>
  <c r="AH16" i="3"/>
  <c r="R21" i="4" s="1"/>
  <c r="AH12" i="3"/>
  <c r="R17" i="4" s="1"/>
  <c r="AH9" i="3"/>
  <c r="R14" i="4" s="1"/>
  <c r="E23" i="11" l="1"/>
  <c r="E9" i="11"/>
  <c r="M9" i="11" s="1"/>
  <c r="N9" i="11" s="1"/>
  <c r="E19" i="11"/>
  <c r="M19" i="11" s="1"/>
  <c r="N19" i="11" s="1"/>
  <c r="E13" i="11"/>
  <c r="M13" i="11" s="1"/>
  <c r="N13" i="11" s="1"/>
  <c r="E20" i="11"/>
  <c r="M20" i="11" s="1"/>
  <c r="N20" i="11" s="1"/>
  <c r="E24" i="11"/>
  <c r="M24" i="11" s="1"/>
  <c r="N24" i="11" s="1"/>
  <c r="E22" i="11"/>
  <c r="M22" i="11" s="1"/>
  <c r="N22" i="11" s="1"/>
  <c r="E21" i="11"/>
  <c r="M21" i="11" s="1"/>
  <c r="N21" i="11" s="1"/>
  <c r="E16" i="11"/>
  <c r="M16" i="11" s="1"/>
  <c r="N16" i="11" s="1"/>
  <c r="M23" i="11"/>
  <c r="N23" i="11" s="1"/>
  <c r="W18" i="4"/>
  <c r="X18" i="4" s="1"/>
  <c r="W14" i="4"/>
  <c r="X14" i="4" s="1"/>
  <c r="W11" i="4"/>
  <c r="X11" i="4" s="1"/>
  <c r="W20" i="4"/>
  <c r="X20" i="4" s="1"/>
  <c r="W13" i="4"/>
  <c r="X13" i="4" s="1"/>
  <c r="W15" i="4"/>
  <c r="X15" i="4" s="1"/>
  <c r="R28" i="4"/>
  <c r="W10" i="4"/>
  <c r="X10" i="4" s="1"/>
  <c r="W21" i="4"/>
  <c r="X21" i="4" s="1"/>
  <c r="W17" i="4"/>
  <c r="X17" i="4" s="1"/>
  <c r="E18" i="11" l="1"/>
  <c r="M18" i="11" s="1"/>
  <c r="N18" i="11" s="1"/>
  <c r="E15" i="11"/>
  <c r="M15" i="11" s="1"/>
  <c r="N15" i="11" s="1"/>
  <c r="E7" i="11"/>
  <c r="M7" i="11" s="1"/>
  <c r="E8" i="11"/>
  <c r="M8" i="11" s="1"/>
  <c r="N8" i="11" s="1"/>
  <c r="E10" i="11"/>
  <c r="M10" i="11" s="1"/>
  <c r="N10" i="11" s="1"/>
  <c r="E17" i="11"/>
  <c r="M17" i="11" s="1"/>
  <c r="N17" i="11" s="1"/>
  <c r="E14" i="11"/>
  <c r="M14" i="11" s="1"/>
  <c r="N14" i="11" s="1"/>
  <c r="E12" i="11"/>
  <c r="M12" i="11" s="1"/>
  <c r="N12" i="11" s="1"/>
  <c r="E11" i="11"/>
  <c r="M11" i="11"/>
  <c r="N11" i="11" s="1"/>
  <c r="X28" i="4"/>
  <c r="Y10" i="4" s="1"/>
  <c r="W28" i="4"/>
  <c r="E25" i="11" l="1"/>
  <c r="F15" i="11" s="1"/>
  <c r="F7" i="11"/>
  <c r="M25" i="11"/>
  <c r="M26" i="11" s="1"/>
  <c r="N7" i="11"/>
  <c r="F23" i="11"/>
  <c r="F20" i="11"/>
  <c r="F9" i="11"/>
  <c r="F21" i="11"/>
  <c r="F18" i="11"/>
  <c r="F8" i="11"/>
  <c r="Y17" i="4"/>
  <c r="Y14" i="4"/>
  <c r="Y20" i="4"/>
  <c r="Y13" i="4"/>
  <c r="Y15" i="4"/>
  <c r="Y11" i="4"/>
  <c r="Y21" i="4"/>
  <c r="Y23" i="4"/>
  <c r="Y25" i="4"/>
  <c r="Y12" i="4"/>
  <c r="Y22" i="4"/>
  <c r="Y24" i="4"/>
  <c r="Y18" i="4"/>
  <c r="Y26" i="4"/>
  <c r="Y27" i="4"/>
  <c r="Y16" i="4"/>
  <c r="Y19" i="4"/>
  <c r="F22" i="11" l="1"/>
  <c r="F11" i="11"/>
  <c r="F10" i="11"/>
  <c r="F12" i="11"/>
  <c r="F16" i="11"/>
  <c r="F24" i="11"/>
  <c r="F14" i="11"/>
  <c r="F17" i="11"/>
  <c r="F19" i="11"/>
  <c r="F13" i="11"/>
  <c r="Y28" i="4"/>
  <c r="F25" i="11" l="1"/>
</calcChain>
</file>

<file path=xl/sharedStrings.xml><?xml version="1.0" encoding="utf-8"?>
<sst xmlns="http://schemas.openxmlformats.org/spreadsheetml/2006/main" count="569" uniqueCount="223">
  <si>
    <t>Total 2</t>
  </si>
  <si>
    <t>Total 3</t>
  </si>
  <si>
    <t>Total 4</t>
  </si>
  <si>
    <t>Total 5</t>
  </si>
  <si>
    <t>Total 6</t>
  </si>
  <si>
    <t>Total 7</t>
  </si>
  <si>
    <t>Total 8</t>
  </si>
  <si>
    <t>Total 9</t>
  </si>
  <si>
    <t>Total 10</t>
  </si>
  <si>
    <t>Total general</t>
  </si>
  <si>
    <t>Cod</t>
  </si>
  <si>
    <t>Conjunto</t>
  </si>
  <si>
    <t>Individual</t>
  </si>
  <si>
    <t>UCH</t>
  </si>
  <si>
    <t>USA</t>
  </si>
  <si>
    <t>UVA</t>
  </si>
  <si>
    <t>TAL</t>
  </si>
  <si>
    <t>FRO</t>
  </si>
  <si>
    <t>ULS</t>
  </si>
  <si>
    <t>UBB</t>
  </si>
  <si>
    <t>ANT</t>
  </si>
  <si>
    <t>UTA</t>
  </si>
  <si>
    <t>Institución</t>
  </si>
  <si>
    <t>UNIVERSIDAD DE CHILE</t>
  </si>
  <si>
    <t>UNIVERSIDAD DE SANTIAGO DE CHILE</t>
  </si>
  <si>
    <t>UNIVERSIDAD DE VALPARAÍSO</t>
  </si>
  <si>
    <t>UNIVERSIDAD DE TALCA</t>
  </si>
  <si>
    <t>UNIVERSIDAD DE LA FRONTERA</t>
  </si>
  <si>
    <t>UNIVERSIDAD DE LA SERENA</t>
  </si>
  <si>
    <t>UNIVERSIDAD DEL BÍO-BÍO</t>
  </si>
  <si>
    <t>UNIVERSIDAD DE ANTOFAGASTA</t>
  </si>
  <si>
    <t>UNIVERSIDAD DE TARAPACÁ</t>
  </si>
  <si>
    <t>Tipo IES</t>
  </si>
  <si>
    <t>CRUCH-ESTATAL</t>
  </si>
  <si>
    <t>UAP</t>
  </si>
  <si>
    <t>ATA</t>
  </si>
  <si>
    <t>ULA</t>
  </si>
  <si>
    <t>MAG</t>
  </si>
  <si>
    <t>UPA</t>
  </si>
  <si>
    <t>UMC</t>
  </si>
  <si>
    <t>UTM</t>
  </si>
  <si>
    <t>UNIVERSIDAD ARTURO PRAT</t>
  </si>
  <si>
    <t>UNIVERSIDAD DE ATACAMA</t>
  </si>
  <si>
    <t>UNIVERSIDAD DE LOS LAGOS</t>
  </si>
  <si>
    <t>UNIVERSIDAD DE MAGALLANES</t>
  </si>
  <si>
    <t>UNIVERSIDAD DE PLAYA ANCHA CS. EDUCACIÓN</t>
  </si>
  <si>
    <t>UNIVERSIDAD METROPOLITANA DE CS.DE LA EDUCACIÓN</t>
  </si>
  <si>
    <t>UNIVERSIDAD TECNOLÓGICA METROPOLITANA</t>
  </si>
  <si>
    <t>Total Conjunto</t>
  </si>
  <si>
    <t>Total Individual</t>
  </si>
  <si>
    <t>Total Conjunto &gt;=5 años</t>
  </si>
  <si>
    <t>Ind+Conj &gt;=5 años</t>
  </si>
  <si>
    <t>N° Publicaciones</t>
  </si>
  <si>
    <t>Categorías</t>
  </si>
  <si>
    <t>TOTAL MAT PhD 2010</t>
  </si>
  <si>
    <t>1/2</t>
  </si>
  <si>
    <t>3/4</t>
  </si>
  <si>
    <t>(3+5+6)/4</t>
  </si>
  <si>
    <t>7/4</t>
  </si>
  <si>
    <t>7/3</t>
  </si>
  <si>
    <t>(8/9)</t>
  </si>
  <si>
    <t>10/11</t>
  </si>
  <si>
    <t>12/13</t>
  </si>
  <si>
    <t>14/15</t>
  </si>
  <si>
    <t>a) N° Académicos JC por cada 100 matriculados</t>
  </si>
  <si>
    <t>b) Porcentaje de Ac con Doc respecto a JCE</t>
  </si>
  <si>
    <t>c) Porcentaje de Ac con Esp. Méd., Mg o Doc respecto a JCE</t>
  </si>
  <si>
    <t>d) N° Publicaciones Scopus por JCE</t>
  </si>
  <si>
    <t>e) N° Publicaciones Scopus por JCE con Doc.</t>
  </si>
  <si>
    <t>f) Promedio de citas por publicación quinquenio</t>
  </si>
  <si>
    <t>g) Porcentaje de est. 1er año Q1, Q2, Q3 respecto al total de alumnos de 1er año</t>
  </si>
  <si>
    <t>h) Porcentaje de retención primer año pregrado</t>
  </si>
  <si>
    <t>i) Tasa de titulación respecto a alumnos 1er año de la promoción</t>
  </si>
  <si>
    <t>j) Tasa de graduación programas doctorado</t>
  </si>
  <si>
    <t>k) N° Patentes solicitadas PCT por JCE</t>
  </si>
  <si>
    <t>Resultado i/Resultado Máximo</t>
  </si>
  <si>
    <t>Concatenado</t>
  </si>
  <si>
    <t>Ajustes</t>
  </si>
  <si>
    <t>Promedio</t>
  </si>
  <si>
    <t>Ponderación</t>
  </si>
  <si>
    <t>Montos Categorías</t>
  </si>
  <si>
    <t>CRUCH-ESTATALCategoría I</t>
  </si>
  <si>
    <t>CRUCH-ESTATALCategoría II</t>
  </si>
  <si>
    <t>CRUCH-ESTATALCategoría III</t>
  </si>
  <si>
    <t>Factor</t>
  </si>
  <si>
    <t>Concatenar</t>
  </si>
  <si>
    <t>N° IES</t>
  </si>
  <si>
    <t>Montos</t>
  </si>
  <si>
    <t>Estatal</t>
  </si>
  <si>
    <t>M$</t>
  </si>
  <si>
    <t>Monto Categ</t>
  </si>
  <si>
    <t>Pedagogías</t>
  </si>
  <si>
    <t>AFI 2016</t>
  </si>
  <si>
    <t>Acreditación</t>
  </si>
  <si>
    <t>Total Elemento Mixto</t>
  </si>
  <si>
    <t>CM-Universidades Estatales</t>
  </si>
  <si>
    <t>Elemento Desempeño</t>
  </si>
  <si>
    <t>% Por tipo de IES</t>
  </si>
  <si>
    <t>Monto por Tipo IES-Categoría</t>
  </si>
  <si>
    <t>Suma Promedio por Tipo IES-Categoría</t>
  </si>
  <si>
    <t>Total por IES</t>
  </si>
  <si>
    <t>Redondear por IES</t>
  </si>
  <si>
    <t>Ajustado por IES</t>
  </si>
  <si>
    <t>16/19</t>
  </si>
  <si>
    <t>(20+21)/4)</t>
  </si>
  <si>
    <t>Redondear</t>
  </si>
  <si>
    <t>Santiago, 07 de junio de 2016</t>
  </si>
  <si>
    <t>Indicadores y Montos por IES, CM-BD-FI, Santiago, 07 de junio de 2016</t>
  </si>
  <si>
    <t>% por IES</t>
  </si>
  <si>
    <t>TOTAL MAT PhD 2011</t>
  </si>
  <si>
    <t>Solicitud_ pat_nac_2015</t>
  </si>
  <si>
    <t>U. DE O'HIGGINS</t>
  </si>
  <si>
    <t>URO</t>
  </si>
  <si>
    <t>U. DE AYSÉN</t>
  </si>
  <si>
    <t>URY</t>
  </si>
  <si>
    <t>Categoría III</t>
  </si>
  <si>
    <t>Reajuste AFI</t>
  </si>
  <si>
    <t>Tutoras
Universidades
M$</t>
  </si>
  <si>
    <t>Tutoras
CFT
M$</t>
  </si>
  <si>
    <t>Oferta Pedagogía 
M$</t>
  </si>
  <si>
    <t>Indicadores Pedagogía
M$</t>
  </si>
  <si>
    <t>TOTAL Mejoramiento Pedagogía
M$</t>
  </si>
  <si>
    <t>Acreditación (hasta 3 años)</t>
  </si>
  <si>
    <t>Tutora Universidades</t>
  </si>
  <si>
    <t>Tutora CFT</t>
  </si>
  <si>
    <t>Tipos IES</t>
  </si>
  <si>
    <t>j) Mat Graduados 2016 Doctorados/Mat 1er año 2012 Doctorados</t>
  </si>
  <si>
    <t>a) (N° Ac. JC 2016/Mat Total 2016)*100</t>
  </si>
  <si>
    <t>JC_2016</t>
  </si>
  <si>
    <t>MAT_2016</t>
  </si>
  <si>
    <t>JCE Doctor 2016</t>
  </si>
  <si>
    <t>JCE 2016</t>
  </si>
  <si>
    <t>JCE Magister 2016</t>
  </si>
  <si>
    <t>JCE Esp. Med._Odont. 2016</t>
  </si>
  <si>
    <t>b) (N° JCE Doc 2016/JCE 2016)</t>
  </si>
  <si>
    <t>c) ((N° JCE Doc 2016+N° JCE Mg 2016+N° JCE Esp Med 2016)/JCE 2016)</t>
  </si>
  <si>
    <t>Publicaciones  (citables)
2016</t>
  </si>
  <si>
    <t>Citas 2012_2016</t>
  </si>
  <si>
    <t>Publicaciones 2012-2016 (citables)</t>
  </si>
  <si>
    <t>Q1_Q2_Q3_MAT_1año_2016</t>
  </si>
  <si>
    <t>MAT_1año_2016(g)</t>
  </si>
  <si>
    <t>MAT_2015_Ret_1er_enMAT_2016</t>
  </si>
  <si>
    <t>MAT_1año_2015(h)</t>
  </si>
  <si>
    <t>MAT_2013_Ret_4to_enMAT_2016</t>
  </si>
  <si>
    <t>MAT_1año_2013(i)</t>
  </si>
  <si>
    <t>Grad_PhD_2012 al_2016</t>
  </si>
  <si>
    <t>TOTAL MAT PhD 2012</t>
  </si>
  <si>
    <t>Solicitud_ pat_nac_2016</t>
  </si>
  <si>
    <t>g) (N° Est 1er año Q1, Q2, Q3 2016/Mat 1er nivel 2016)</t>
  </si>
  <si>
    <t>h) (Mat 1er nivel 2015 Retenida 2016/Mat 1er nivel 2015)</t>
  </si>
  <si>
    <t>i) (Mat Ret 4° Año 2016/Mat 1er año 2013)</t>
  </si>
  <si>
    <t>k) (N° Patentes solicitadas PCT 2015 +2016)*1000/(JCE 2016))</t>
  </si>
  <si>
    <t>AFI 2016 Reajustado 3,0%</t>
  </si>
  <si>
    <t>Complejidad Institucional</t>
  </si>
  <si>
    <t>N° Scopus 2016</t>
  </si>
  <si>
    <t>Porcentaje</t>
  </si>
  <si>
    <t>Monto</t>
  </si>
  <si>
    <t>Monto Publicaciones</t>
  </si>
  <si>
    <t>Presupuesto 2018</t>
  </si>
  <si>
    <t>Publicaciones M$</t>
  </si>
  <si>
    <t>Acreditación Institucional M$</t>
  </si>
  <si>
    <t>Académicos JC con Doctorado M$</t>
  </si>
  <si>
    <t>Programas Doctorado Acreditado M$</t>
  </si>
  <si>
    <t>Académicos Jornada Completa M$</t>
  </si>
  <si>
    <t>Matrícula Regular Pregrado M$</t>
  </si>
  <si>
    <t>Nuevas Universidades M$</t>
  </si>
  <si>
    <t>Total Complejidad</t>
  </si>
  <si>
    <t>Complejidad Institucional CM 25%</t>
  </si>
  <si>
    <t>Acreditación Investigación</t>
  </si>
  <si>
    <t>UNIVERSIDAD DE PLAYA ANCHA DE CIENCIAS DE LA EDUCACIÓN</t>
  </si>
  <si>
    <t>UNIVERSIDAD METROPOLITANA DE CIENCIAS DE LA EDUCACIÓN</t>
  </si>
  <si>
    <t>Acreditación Todas las Áreas</t>
  </si>
  <si>
    <t>Años Acreditación Institucional</t>
  </si>
  <si>
    <t>Puntaje Acreditación Investigación</t>
  </si>
  <si>
    <t>Puntaje Acreditación Todas las Áreas</t>
  </si>
  <si>
    <t>Puntaje Años Acreditación</t>
  </si>
  <si>
    <t>Suma Puntajes</t>
  </si>
  <si>
    <t>Monto por IES</t>
  </si>
  <si>
    <t>Porcentaje por IES</t>
  </si>
  <si>
    <t>N° Doc JC 2017</t>
  </si>
  <si>
    <t>UNIVERSIDAD DE TARAPACA</t>
  </si>
  <si>
    <t>UNIVERSIDAD DE VALPARAISO</t>
  </si>
  <si>
    <t>UNIVERSIDAD DEL BIO-BIO</t>
  </si>
  <si>
    <t>UNIVERSIDAD DE PLAYA ANCHA DE CIENCIAS DE LA EDUCACION</t>
  </si>
  <si>
    <t>UNIVERSIDAD METROPOLITANA DE CIENCIAS DE LA EDUCACION</t>
  </si>
  <si>
    <t>UNIVERSIDAD TECNOLOGICA METROPOLITANA</t>
  </si>
  <si>
    <t>Monto Acreditaciones</t>
  </si>
  <si>
    <t>Monto Académicos JC Doctorado</t>
  </si>
  <si>
    <t>N° Doctorados Acreditados</t>
  </si>
  <si>
    <t>N° Acad. JC 2017</t>
  </si>
  <si>
    <t>N° Matrícula Regular Pregrado</t>
  </si>
  <si>
    <t>UNIVERSIDAD DE O'HIGGINS</t>
  </si>
  <si>
    <t>UNIVERSIDAD DE AYSÉN</t>
  </si>
  <si>
    <t>AFI 2016 Reajustado</t>
  </si>
  <si>
    <t>Oferta Pedagogía M$</t>
  </si>
  <si>
    <t>Distribución Recursos Convenio Marco 2018</t>
  </si>
  <si>
    <t>Redondeado
M$</t>
  </si>
  <si>
    <t>Total Asignación
M$</t>
  </si>
  <si>
    <t>Elemento Mixto</t>
  </si>
  <si>
    <t>Total Elemento Desempeño</t>
  </si>
  <si>
    <t>Unidad de Análisis e Información, DFI</t>
  </si>
  <si>
    <t>CÁLCULO CONVENIO MARCO, CATEGORÍAS</t>
  </si>
  <si>
    <t>2 años Acreditación</t>
  </si>
  <si>
    <t>3 años Acreditación</t>
  </si>
  <si>
    <t>4 años Acreditación</t>
  </si>
  <si>
    <t>5 años Acreditación</t>
  </si>
  <si>
    <t>6 años Acreditación</t>
  </si>
  <si>
    <t>7 años Acreditación</t>
  </si>
  <si>
    <t>8 años Acreditación</t>
  </si>
  <si>
    <t>9 años Acreditación</t>
  </si>
  <si>
    <t>10 años Acreditación</t>
  </si>
  <si>
    <t>Total</t>
  </si>
  <si>
    <t>CM 2017
Nominal
M$</t>
  </si>
  <si>
    <t>%  año 2017</t>
  </si>
  <si>
    <t>Anticipo 2018</t>
  </si>
  <si>
    <t>Saldo</t>
  </si>
  <si>
    <t>% Saldo respecto a la Universidad</t>
  </si>
  <si>
    <t>CM-Universidades Estatales Sin acreditación</t>
  </si>
  <si>
    <t>Anticipo hasta 40%</t>
  </si>
  <si>
    <t>d) N° Public. Scopus 2016/JCE 2016</t>
  </si>
  <si>
    <t>e) N° Public. Scopus 2016/N° JCE Doc 2016</t>
  </si>
  <si>
    <t>f) (N° Citas 2012-2016)/(N° Public. Scopus 2012-2016)</t>
  </si>
  <si>
    <t>Santiago,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</si>
</sst>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0.00000"/>
    <numFmt numFmtId="166" formatCode="_-* #,##0_-;\-* #,##0_-;_-* &quot;-&quot;??_-;_-@_-"/>
    <numFmt numFmtId="167" formatCode="0.000000"/>
    <numFmt numFmtId="168" formatCode="0.0000000"/>
    <numFmt numFmtId="169" formatCode="_-* #,##0.0000_-;\-* #,##0.0000_-;_-* &quot;-&quot;??_-;_-@_-"/>
    <numFmt numFmtId="170" formatCode="_-* #,##0.0000_-;\-* #,##0.0000_-;_-* &quot;-&quot;????_-;_-@_-"/>
    <numFmt numFmtId="171" formatCode="_-* #,##0.00\ _€_-;\-* #,##0.00\ _€_-;_-* &quot;-&quot;??\ _€_-;_-@_-"/>
    <numFmt numFmtId="172" formatCode="_-* #,##0.0_-;\-* #,##0.0_-;_-* &quot;-&quot;??_-;_-@_-"/>
    <numFmt numFmtId="173" formatCode="#,##0.0"/>
    <numFmt numFmtId="174" formatCode="0.0%"/>
    <numFmt numFmtId="175" formatCode="0.0000%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10"/>
      <color theme="4" tint="0.5999938962981048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CC"/>
        <bgColor theme="4" tint="0.79998168889431442"/>
      </patternFill>
    </fill>
    <fill>
      <patternFill patternType="solid">
        <fgColor rgb="FFFFFF66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2" tint="-0.49998474074526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4" fillId="2" borderId="1" xfId="1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horizontal="center" vertical="top" wrapText="1"/>
    </xf>
    <xf numFmtId="0" fontId="4" fillId="4" borderId="1" xfId="1" applyFont="1" applyFill="1" applyBorder="1" applyAlignment="1">
      <alignment horizontal="center" vertical="top" wrapText="1"/>
    </xf>
    <xf numFmtId="0" fontId="4" fillId="5" borderId="1" xfId="1" applyFont="1" applyFill="1" applyBorder="1" applyAlignment="1">
      <alignment horizontal="left" vertical="top" wrapText="1"/>
    </xf>
    <xf numFmtId="0" fontId="4" fillId="4" borderId="1" xfId="1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4" fillId="7" borderId="1" xfId="1" applyFont="1" applyFill="1" applyBorder="1" applyAlignment="1">
      <alignment horizontal="center" vertical="top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6" fontId="1" fillId="0" borderId="0" xfId="3" applyNumberFormat="1" applyFont="1"/>
    <xf numFmtId="166" fontId="6" fillId="0" borderId="0" xfId="3" applyNumberFormat="1" applyFont="1"/>
    <xf numFmtId="0" fontId="6" fillId="0" borderId="0" xfId="0" applyFont="1"/>
    <xf numFmtId="0" fontId="6" fillId="8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horizontal="center" vertical="center" wrapText="1"/>
    </xf>
    <xf numFmtId="165" fontId="2" fillId="11" borderId="0" xfId="0" applyNumberFormat="1" applyFont="1" applyFill="1" applyAlignment="1">
      <alignment horizontal="center" wrapText="1"/>
    </xf>
    <xf numFmtId="166" fontId="2" fillId="11" borderId="0" xfId="3" applyNumberFormat="1" applyFont="1" applyFill="1" applyAlignment="1">
      <alignment horizontal="center" wrapText="1"/>
    </xf>
    <xf numFmtId="0" fontId="4" fillId="10" borderId="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5" fillId="0" borderId="0" xfId="0" applyFont="1"/>
    <xf numFmtId="166" fontId="0" fillId="0" borderId="0" xfId="0" applyNumberFormat="1"/>
    <xf numFmtId="0" fontId="1" fillId="0" borderId="1" xfId="0" applyFont="1" applyBorder="1" applyAlignment="1">
      <alignment wrapText="1"/>
    </xf>
    <xf numFmtId="10" fontId="1" fillId="0" borderId="1" xfId="0" applyNumberFormat="1" applyFont="1" applyBorder="1"/>
    <xf numFmtId="166" fontId="1" fillId="0" borderId="1" xfId="3" applyNumberFormat="1" applyFont="1" applyBorder="1"/>
    <xf numFmtId="10" fontId="2" fillId="11" borderId="0" xfId="4" applyNumberFormat="1" applyFont="1" applyFill="1" applyAlignment="1">
      <alignment horizontal="center" wrapText="1"/>
    </xf>
    <xf numFmtId="0" fontId="6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1" fillId="13" borderId="3" xfId="0" applyFont="1" applyFill="1" applyBorder="1"/>
    <xf numFmtId="0" fontId="1" fillId="13" borderId="0" xfId="0" applyFont="1" applyFill="1"/>
    <xf numFmtId="0" fontId="2" fillId="13" borderId="0" xfId="0" applyFont="1" applyFill="1"/>
    <xf numFmtId="0" fontId="2" fillId="15" borderId="3" xfId="0" applyFont="1" applyFill="1" applyBorder="1" applyAlignment="1">
      <alignment horizontal="center" wrapText="1"/>
    </xf>
    <xf numFmtId="0" fontId="2" fillId="15" borderId="0" xfId="0" applyFont="1" applyFill="1" applyAlignment="1">
      <alignment horizontal="center" wrapText="1"/>
    </xf>
    <xf numFmtId="0" fontId="2" fillId="15" borderId="5" xfId="0" applyFont="1" applyFill="1" applyBorder="1" applyAlignment="1">
      <alignment horizontal="center" wrapText="1"/>
    </xf>
    <xf numFmtId="165" fontId="2" fillId="16" borderId="0" xfId="0" applyNumberFormat="1" applyFont="1" applyFill="1" applyAlignment="1">
      <alignment horizontal="center" wrapText="1"/>
    </xf>
    <xf numFmtId="165" fontId="2" fillId="16" borderId="5" xfId="0" applyNumberFormat="1" applyFont="1" applyFill="1" applyBorder="1" applyAlignment="1">
      <alignment horizontal="center" wrapText="1"/>
    </xf>
    <xf numFmtId="0" fontId="4" fillId="17" borderId="4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167" fontId="2" fillId="11" borderId="0" xfId="0" applyNumberFormat="1" applyFont="1" applyFill="1" applyAlignment="1">
      <alignment horizontal="center" wrapText="1"/>
    </xf>
    <xf numFmtId="168" fontId="2" fillId="11" borderId="0" xfId="0" applyNumberFormat="1" applyFont="1" applyFill="1" applyAlignment="1">
      <alignment horizontal="center" wrapText="1"/>
    </xf>
    <xf numFmtId="1" fontId="0" fillId="0" borderId="0" xfId="0" applyNumberFormat="1"/>
    <xf numFmtId="0" fontId="4" fillId="19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19" borderId="1" xfId="0" applyFont="1" applyFill="1" applyBorder="1" applyAlignment="1">
      <alignment horizontal="left" vertical="top" wrapText="1"/>
    </xf>
    <xf numFmtId="165" fontId="0" fillId="0" borderId="0" xfId="0" applyNumberFormat="1"/>
    <xf numFmtId="0" fontId="6" fillId="0" borderId="0" xfId="0" applyFont="1" applyAlignment="1">
      <alignment horizontal="center"/>
    </xf>
    <xf numFmtId="166" fontId="1" fillId="12" borderId="1" xfId="3" applyNumberFormat="1" applyFont="1" applyFill="1" applyBorder="1"/>
    <xf numFmtId="0" fontId="1" fillId="0" borderId="1" xfId="0" applyFont="1" applyBorder="1"/>
    <xf numFmtId="166" fontId="2" fillId="22" borderId="1" xfId="3" applyNumberFormat="1" applyFont="1" applyFill="1" applyBorder="1" applyAlignment="1">
      <alignment horizontal="center"/>
    </xf>
    <xf numFmtId="0" fontId="1" fillId="10" borderId="0" xfId="0" applyFont="1" applyFill="1"/>
    <xf numFmtId="0" fontId="2" fillId="10" borderId="0" xfId="0" applyFont="1" applyFill="1"/>
    <xf numFmtId="166" fontId="2" fillId="10" borderId="1" xfId="3" applyNumberFormat="1" applyFont="1" applyFill="1" applyBorder="1" applyAlignment="1">
      <alignment horizontal="center"/>
    </xf>
    <xf numFmtId="166" fontId="2" fillId="10" borderId="1" xfId="3" applyNumberFormat="1" applyFont="1" applyFill="1" applyBorder="1" applyAlignment="1">
      <alignment horizontal="center" vertical="center"/>
    </xf>
    <xf numFmtId="166" fontId="2" fillId="10" borderId="1" xfId="3" applyNumberFormat="1" applyFont="1" applyFill="1" applyBorder="1"/>
    <xf numFmtId="169" fontId="0" fillId="0" borderId="0" xfId="0" applyNumberFormat="1"/>
    <xf numFmtId="170" fontId="0" fillId="0" borderId="0" xfId="0" applyNumberFormat="1"/>
    <xf numFmtId="10" fontId="1" fillId="0" borderId="1" xfId="4" applyNumberFormat="1" applyFont="1" applyBorder="1"/>
    <xf numFmtId="166" fontId="1" fillId="0" borderId="1" xfId="0" applyNumberFormat="1" applyFont="1" applyBorder="1"/>
    <xf numFmtId="0" fontId="1" fillId="12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10" fontId="7" fillId="0" borderId="1" xfId="4" applyNumberFormat="1" applyFont="1" applyBorder="1"/>
    <xf numFmtId="166" fontId="7" fillId="0" borderId="1" xfId="3" applyNumberFormat="1" applyFont="1" applyBorder="1"/>
    <xf numFmtId="0" fontId="1" fillId="12" borderId="1" xfId="0" applyFont="1" applyFill="1" applyBorder="1" applyAlignment="1">
      <alignment vertical="center"/>
    </xf>
    <xf numFmtId="0" fontId="1" fillId="12" borderId="1" xfId="0" applyFont="1" applyFill="1" applyBorder="1" applyAlignment="1">
      <alignment horizontal="center" vertical="center"/>
    </xf>
    <xf numFmtId="10" fontId="1" fillId="12" borderId="1" xfId="4" applyNumberFormat="1" applyFont="1" applyFill="1" applyBorder="1"/>
    <xf numFmtId="166" fontId="1" fillId="12" borderId="1" xfId="0" applyNumberFormat="1" applyFont="1" applyFill="1" applyBorder="1"/>
    <xf numFmtId="166" fontId="7" fillId="12" borderId="1" xfId="3" applyNumberFormat="1" applyFont="1" applyFill="1" applyBorder="1"/>
    <xf numFmtId="166" fontId="7" fillId="0" borderId="1" xfId="0" applyNumberFormat="1" applyFont="1" applyBorder="1"/>
    <xf numFmtId="166" fontId="7" fillId="10" borderId="1" xfId="3" applyNumberFormat="1" applyFont="1" applyFill="1" applyBorder="1"/>
    <xf numFmtId="10" fontId="7" fillId="10" borderId="2" xfId="4" applyNumberFormat="1" applyFont="1" applyFill="1" applyBorder="1"/>
    <xf numFmtId="166" fontId="7" fillId="10" borderId="1" xfId="4" applyNumberFormat="1" applyFont="1" applyFill="1" applyBorder="1"/>
    <xf numFmtId="0" fontId="1" fillId="0" borderId="2" xfId="0" applyFont="1" applyBorder="1"/>
    <xf numFmtId="0" fontId="7" fillId="10" borderId="1" xfId="0" applyFont="1" applyFill="1" applyBorder="1"/>
    <xf numFmtId="10" fontId="7" fillId="10" borderId="1" xfId="4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66" fontId="1" fillId="11" borderId="1" xfId="3" applyNumberFormat="1" applyFont="1" applyFill="1" applyBorder="1"/>
    <xf numFmtId="166" fontId="1" fillId="20" borderId="1" xfId="3" applyNumberFormat="1" applyFont="1" applyFill="1" applyBorder="1"/>
    <xf numFmtId="166" fontId="1" fillId="23" borderId="1" xfId="3" applyNumberFormat="1" applyFont="1" applyFill="1" applyBorder="1"/>
    <xf numFmtId="166" fontId="1" fillId="8" borderId="1" xfId="3" applyNumberFormat="1" applyFont="1" applyFill="1" applyBorder="1"/>
    <xf numFmtId="166" fontId="1" fillId="21" borderId="1" xfId="3" applyNumberFormat="1" applyFont="1" applyFill="1" applyBorder="1"/>
    <xf numFmtId="172" fontId="1" fillId="21" borderId="1" xfId="3" applyNumberFormat="1" applyFont="1" applyFill="1" applyBorder="1"/>
    <xf numFmtId="166" fontId="1" fillId="22" borderId="1" xfId="3" applyNumberFormat="1" applyFont="1" applyFill="1" applyBorder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0" fontId="1" fillId="18" borderId="1" xfId="4" applyNumberFormat="1" applyFont="1" applyFill="1" applyBorder="1" applyAlignment="1">
      <alignment horizontal="center"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166" fontId="1" fillId="12" borderId="6" xfId="3" applyNumberFormat="1" applyFont="1" applyFill="1" applyBorder="1"/>
    <xf numFmtId="166" fontId="1" fillId="11" borderId="6" xfId="3" applyNumberFormat="1" applyFont="1" applyFill="1" applyBorder="1"/>
    <xf numFmtId="166" fontId="1" fillId="20" borderId="6" xfId="3" applyNumberFormat="1" applyFont="1" applyFill="1" applyBorder="1"/>
    <xf numFmtId="166" fontId="1" fillId="23" borderId="6" xfId="3" applyNumberFormat="1" applyFont="1" applyFill="1" applyBorder="1"/>
    <xf numFmtId="166" fontId="1" fillId="8" borderId="6" xfId="3" applyNumberFormat="1" applyFont="1" applyFill="1" applyBorder="1"/>
    <xf numFmtId="166" fontId="1" fillId="21" borderId="6" xfId="3" applyNumberFormat="1" applyFont="1" applyFill="1" applyBorder="1"/>
    <xf numFmtId="172" fontId="1" fillId="21" borderId="6" xfId="3" applyNumberFormat="1" applyFont="1" applyFill="1" applyBorder="1"/>
    <xf numFmtId="166" fontId="1" fillId="22" borderId="6" xfId="3" applyNumberFormat="1" applyFont="1" applyFill="1" applyBorder="1"/>
    <xf numFmtId="10" fontId="1" fillId="18" borderId="6" xfId="4" applyNumberFormat="1" applyFont="1" applyFill="1" applyBorder="1" applyAlignment="1">
      <alignment horizontal="center" wrapText="1"/>
    </xf>
    <xf numFmtId="0" fontId="6" fillId="0" borderId="8" xfId="0" applyFont="1" applyBorder="1"/>
    <xf numFmtId="0" fontId="1" fillId="0" borderId="9" xfId="0" applyFont="1" applyBorder="1"/>
    <xf numFmtId="0" fontId="0" fillId="0" borderId="9" xfId="0" applyBorder="1"/>
    <xf numFmtId="166" fontId="6" fillId="12" borderId="9" xfId="3" applyNumberFormat="1" applyFont="1" applyFill="1" applyBorder="1"/>
    <xf numFmtId="166" fontId="6" fillId="11" borderId="9" xfId="3" applyNumberFormat="1" applyFont="1" applyFill="1" applyBorder="1"/>
    <xf numFmtId="166" fontId="6" fillId="20" borderId="9" xfId="3" applyNumberFormat="1" applyFont="1" applyFill="1" applyBorder="1"/>
    <xf numFmtId="166" fontId="6" fillId="23" borderId="9" xfId="3" applyNumberFormat="1" applyFont="1" applyFill="1" applyBorder="1"/>
    <xf numFmtId="166" fontId="6" fillId="8" borderId="9" xfId="3" applyNumberFormat="1" applyFont="1" applyFill="1" applyBorder="1"/>
    <xf numFmtId="166" fontId="6" fillId="14" borderId="9" xfId="3" applyNumberFormat="1" applyFont="1" applyFill="1" applyBorder="1"/>
    <xf numFmtId="166" fontId="6" fillId="15" borderId="9" xfId="3" applyNumberFormat="1" applyFont="1" applyFill="1" applyBorder="1"/>
    <xf numFmtId="166" fontId="6" fillId="21" borderId="9" xfId="3" applyNumberFormat="1" applyFont="1" applyFill="1" applyBorder="1"/>
    <xf numFmtId="172" fontId="6" fillId="21" borderId="9" xfId="3" applyNumberFormat="1" applyFont="1" applyFill="1" applyBorder="1"/>
    <xf numFmtId="166" fontId="6" fillId="22" borderId="9" xfId="3" applyNumberFormat="1" applyFont="1" applyFill="1" applyBorder="1"/>
    <xf numFmtId="9" fontId="6" fillId="18" borderId="10" xfId="4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166" fontId="1" fillId="12" borderId="7" xfId="3" applyNumberFormat="1" applyFont="1" applyFill="1" applyBorder="1"/>
    <xf numFmtId="166" fontId="1" fillId="11" borderId="7" xfId="3" applyNumberFormat="1" applyFont="1" applyFill="1" applyBorder="1"/>
    <xf numFmtId="166" fontId="1" fillId="20" borderId="7" xfId="3" applyNumberFormat="1" applyFont="1" applyFill="1" applyBorder="1"/>
    <xf numFmtId="166" fontId="1" fillId="23" borderId="7" xfId="3" applyNumberFormat="1" applyFont="1" applyFill="1" applyBorder="1"/>
    <xf numFmtId="166" fontId="1" fillId="8" borderId="7" xfId="3" applyNumberFormat="1" applyFont="1" applyFill="1" applyBorder="1"/>
    <xf numFmtId="166" fontId="1" fillId="21" borderId="7" xfId="3" applyNumberFormat="1" applyFont="1" applyFill="1" applyBorder="1"/>
    <xf numFmtId="172" fontId="1" fillId="21" borderId="7" xfId="3" applyNumberFormat="1" applyFont="1" applyFill="1" applyBorder="1"/>
    <xf numFmtId="166" fontId="1" fillId="22" borderId="7" xfId="3" applyNumberFormat="1" applyFont="1" applyFill="1" applyBorder="1"/>
    <xf numFmtId="10" fontId="1" fillId="18" borderId="7" xfId="4" applyNumberFormat="1" applyFont="1" applyFill="1" applyBorder="1" applyAlignment="1">
      <alignment horizontal="center" wrapText="1"/>
    </xf>
    <xf numFmtId="0" fontId="6" fillId="12" borderId="15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21" borderId="15" xfId="0" applyFont="1" applyFill="1" applyBorder="1" applyAlignment="1">
      <alignment horizontal="center" vertical="center" wrapText="1"/>
    </xf>
    <xf numFmtId="0" fontId="6" fillId="11" borderId="15" xfId="0" applyFont="1" applyFill="1" applyBorder="1" applyAlignment="1">
      <alignment vertical="center" wrapText="1"/>
    </xf>
    <xf numFmtId="0" fontId="6" fillId="20" borderId="15" xfId="0" applyFont="1" applyFill="1" applyBorder="1" applyAlignment="1">
      <alignment vertical="center" wrapText="1"/>
    </xf>
    <xf numFmtId="0" fontId="6" fillId="23" borderId="15" xfId="0" applyFont="1" applyFill="1" applyBorder="1" applyAlignment="1">
      <alignment vertical="center" wrapText="1"/>
    </xf>
    <xf numFmtId="172" fontId="2" fillId="11" borderId="0" xfId="3" applyNumberFormat="1" applyFont="1" applyFill="1" applyAlignment="1">
      <alignment horizontal="center" wrapText="1"/>
    </xf>
    <xf numFmtId="0" fontId="6" fillId="11" borderId="1" xfId="0" applyFont="1" applyFill="1" applyBorder="1" applyAlignment="1">
      <alignment vertical="center" wrapText="1"/>
    </xf>
    <xf numFmtId="0" fontId="6" fillId="20" borderId="1" xfId="0" applyFont="1" applyFill="1" applyBorder="1" applyAlignment="1">
      <alignment vertical="center" wrapText="1"/>
    </xf>
    <xf numFmtId="0" fontId="6" fillId="23" borderId="1" xfId="0" applyFont="1" applyFill="1" applyBorder="1" applyAlignment="1">
      <alignment vertical="center" wrapText="1"/>
    </xf>
    <xf numFmtId="0" fontId="6" fillId="2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/>
    <xf numFmtId="172" fontId="6" fillId="18" borderId="7" xfId="3" applyNumberFormat="1" applyFont="1" applyFill="1" applyBorder="1"/>
    <xf numFmtId="172" fontId="6" fillId="18" borderId="1" xfId="3" applyNumberFormat="1" applyFont="1" applyFill="1" applyBorder="1"/>
    <xf numFmtId="172" fontId="6" fillId="18" borderId="6" xfId="3" applyNumberFormat="1" applyFont="1" applyFill="1" applyBorder="1"/>
    <xf numFmtId="172" fontId="6" fillId="18" borderId="9" xfId="3" applyNumberFormat="1" applyFont="1" applyFill="1" applyBorder="1"/>
    <xf numFmtId="172" fontId="1" fillId="8" borderId="7" xfId="3" applyNumberFormat="1" applyFont="1" applyFill="1" applyBorder="1"/>
    <xf numFmtId="172" fontId="6" fillId="14" borderId="7" xfId="3" applyNumberFormat="1" applyFont="1" applyFill="1" applyBorder="1"/>
    <xf numFmtId="172" fontId="6" fillId="15" borderId="7" xfId="3" applyNumberFormat="1" applyFont="1" applyFill="1" applyBorder="1"/>
    <xf numFmtId="172" fontId="1" fillId="8" borderId="1" xfId="3" applyNumberFormat="1" applyFont="1" applyFill="1" applyBorder="1"/>
    <xf numFmtId="172" fontId="6" fillId="14" borderId="1" xfId="3" applyNumberFormat="1" applyFont="1" applyFill="1" applyBorder="1"/>
    <xf numFmtId="172" fontId="6" fillId="15" borderId="1" xfId="3" applyNumberFormat="1" applyFont="1" applyFill="1" applyBorder="1"/>
    <xf numFmtId="172" fontId="1" fillId="8" borderId="6" xfId="3" applyNumberFormat="1" applyFont="1" applyFill="1" applyBorder="1"/>
    <xf numFmtId="172" fontId="6" fillId="14" borderId="6" xfId="3" applyNumberFormat="1" applyFont="1" applyFill="1" applyBorder="1"/>
    <xf numFmtId="172" fontId="6" fillId="15" borderId="6" xfId="3" applyNumberFormat="1" applyFont="1" applyFill="1" applyBorder="1"/>
    <xf numFmtId="172" fontId="1" fillId="0" borderId="0" xfId="3" applyNumberFormat="1" applyFont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wrapText="1"/>
    </xf>
    <xf numFmtId="173" fontId="6" fillId="0" borderId="1" xfId="0" applyNumberFormat="1" applyFont="1" applyBorder="1"/>
    <xf numFmtId="9" fontId="12" fillId="0" borderId="1" xfId="0" applyNumberFormat="1" applyFont="1" applyBorder="1" applyAlignment="1">
      <alignment horizontal="center" vertical="center"/>
    </xf>
    <xf numFmtId="173" fontId="5" fillId="0" borderId="1" xfId="0" applyNumberFormat="1" applyFont="1" applyBorder="1"/>
    <xf numFmtId="174" fontId="5" fillId="0" borderId="1" xfId="4" applyNumberFormat="1" applyFont="1" applyBorder="1"/>
    <xf numFmtId="0" fontId="6" fillId="18" borderId="12" xfId="0" applyFont="1" applyFill="1" applyBorder="1" applyAlignment="1">
      <alignment vertical="center" wrapText="1"/>
    </xf>
    <xf numFmtId="0" fontId="6" fillId="18" borderId="13" xfId="0" applyFont="1" applyFill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" fillId="0" borderId="19" xfId="0" applyFont="1" applyBorder="1"/>
    <xf numFmtId="10" fontId="1" fillId="18" borderId="20" xfId="4" applyNumberFormat="1" applyFont="1" applyFill="1" applyBorder="1" applyAlignment="1">
      <alignment horizontal="center" wrapText="1"/>
    </xf>
    <xf numFmtId="0" fontId="1" fillId="0" borderId="17" xfId="0" applyFont="1" applyBorder="1"/>
    <xf numFmtId="0" fontId="1" fillId="0" borderId="21" xfId="0" applyFont="1" applyBorder="1"/>
    <xf numFmtId="173" fontId="1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9" fontId="1" fillId="0" borderId="1" xfId="4" applyFont="1" applyBorder="1" applyAlignment="1">
      <alignment horizontal="center"/>
    </xf>
    <xf numFmtId="175" fontId="13" fillId="0" borderId="1" xfId="4" applyNumberFormat="1" applyFont="1" applyBorder="1"/>
    <xf numFmtId="172" fontId="1" fillId="0" borderId="7" xfId="3" applyNumberFormat="1" applyFont="1" applyBorder="1"/>
    <xf numFmtId="0" fontId="14" fillId="9" borderId="1" xfId="0" applyFont="1" applyFill="1" applyBorder="1" applyAlignment="1">
      <alignment horizontal="center" vertical="center" wrapText="1"/>
    </xf>
    <xf numFmtId="172" fontId="15" fillId="15" borderId="1" xfId="3" applyNumberFormat="1" applyFont="1" applyFill="1" applyBorder="1"/>
    <xf numFmtId="166" fontId="16" fillId="21" borderId="1" xfId="3" applyNumberFormat="1" applyFont="1" applyFill="1" applyBorder="1"/>
    <xf numFmtId="172" fontId="15" fillId="21" borderId="1" xfId="3" applyNumberFormat="1" applyFont="1" applyFill="1" applyBorder="1"/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18" borderId="13" xfId="0" applyFont="1" applyFill="1" applyBorder="1" applyAlignment="1">
      <alignment horizontal="center" vertical="center"/>
    </xf>
    <xf numFmtId="0" fontId="6" fillId="18" borderId="18" xfId="0" applyFont="1" applyFill="1" applyBorder="1" applyAlignment="1">
      <alignment horizontal="center" vertical="center"/>
    </xf>
    <xf numFmtId="0" fontId="6" fillId="18" borderId="16" xfId="0" applyFont="1" applyFill="1" applyBorder="1" applyAlignment="1">
      <alignment horizontal="center" vertical="center"/>
    </xf>
    <xf numFmtId="0" fontId="6" fillId="14" borderId="12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15" xfId="0" applyFont="1" applyFill="1" applyBorder="1" applyAlignment="1">
      <alignment horizontal="center" vertical="center" wrapText="1"/>
    </xf>
    <xf numFmtId="0" fontId="6" fillId="15" borderId="12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15" borderId="15" xfId="0" applyFont="1" applyFill="1" applyBorder="1" applyAlignment="1">
      <alignment horizontal="center" vertical="center" wrapText="1"/>
    </xf>
    <xf numFmtId="0" fontId="6" fillId="22" borderId="12" xfId="0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  <xf numFmtId="0" fontId="6" fillId="22" borderId="15" xfId="0" applyFont="1" applyFill="1" applyBorder="1" applyAlignment="1">
      <alignment horizontal="center" vertical="center" wrapText="1"/>
    </xf>
    <xf numFmtId="0" fontId="6" fillId="18" borderId="12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 wrapText="1"/>
    </xf>
    <xf numFmtId="0" fontId="6" fillId="18" borderId="15" xfId="0" applyFont="1" applyFill="1" applyBorder="1" applyAlignment="1">
      <alignment horizontal="center" vertical="center"/>
    </xf>
    <xf numFmtId="0" fontId="6" fillId="21" borderId="12" xfId="0" applyFont="1" applyFill="1" applyBorder="1" applyAlignment="1">
      <alignment horizontal="center" vertical="center" wrapText="1"/>
    </xf>
    <xf numFmtId="0" fontId="6" fillId="2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8">
    <cellStyle name="Millares" xfId="3" builtinId="3"/>
    <cellStyle name="Millares 2" xfId="2" xr:uid="{00000000-0005-0000-0000-000001000000}"/>
    <cellStyle name="Millares 3" xfId="6" xr:uid="{00000000-0005-0000-0000-000031000000}"/>
    <cellStyle name="Normal" xfId="0" builtinId="0"/>
    <cellStyle name="Normal 2" xfId="1" xr:uid="{00000000-0005-0000-0000-000003000000}"/>
    <cellStyle name="Normal 3" xfId="5" xr:uid="{00000000-0005-0000-0000-000032000000}"/>
    <cellStyle name="Porcentaje" xfId="4" builtinId="5"/>
    <cellStyle name="Porcentaje 2" xfId="7" xr:uid="{00000000-0005-0000-0000-000033000000}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1519822</xdr:colOff>
      <xdr:row>0</xdr:row>
      <xdr:rowOff>1387474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60E73AB-8ECD-4CF9-AE0F-FAD7C7732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1491247" cy="13588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Unidad%20An&#225;lisis/Presupuesto%202018/Pedagog&#237;a/Pedagog&#237;a%20Decreto/Archivos%20Finales%20Pedagog&#237;a/Montos_Pedagogia_Estatales_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UDAC%202008/CD%20Basal/CM_BD_FI%20(2017)/CM_vf_27nov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Basal%20por%20Desempe&#241;o/2018/Doctorados_CM-BD-FI_2901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Basal%20por%20Desempe&#241;o/2018/Publicaciones_Conicyt_2017_3001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Basal%20por%20Desempe&#241;o/2018/Datos_SIES_CM_BD_FI_1101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do.torres\AppData\Local\Microsoft\Windows\INetCache\Content.Outlook\23KASAHH\Solicitudes%20PCT%20chilenas%20presentadas%20en%20Chile%202010_2016%20(oct2017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Basal%20por%20Desempe&#241;o/2017/CM-BD-FI/Listado_IES-Calculos_BD_CM_FI_2017_V1601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Unidad%20An&#225;lisis/Presupuesto%202018/Acreditaciones_Areas_IES_1406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Unidad%20An&#225;lisis/Presupuesto%202018/JC%202016_2017%20(SIES%20nov2017)_1406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Unidad%20An&#225;lisis/Presupuesto%202018/Matricula_2017_SIES_1406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ntaje Final FID"/>
      <sheetName val="Criterios Puntajes"/>
      <sheetName val="Promedio Acreditación"/>
      <sheetName val="Porcentaje Matrícula FID"/>
      <sheetName val="Cantidad Matrícula FID"/>
      <sheetName val="Oferta FID"/>
      <sheetName val="Puntaje Postgrado"/>
      <sheetName val="Porcentaje Matrícula Per 1-6"/>
    </sheetNames>
    <sheetDataSet>
      <sheetData sheetId="0" refreshError="1">
        <row r="7">
          <cell r="C7" t="str">
            <v>UPA</v>
          </cell>
          <cell r="D7">
            <v>6</v>
          </cell>
          <cell r="E7">
            <v>25</v>
          </cell>
          <cell r="F7">
            <v>9</v>
          </cell>
          <cell r="G7">
            <v>25</v>
          </cell>
          <cell r="H7">
            <v>10</v>
          </cell>
          <cell r="I7">
            <v>12</v>
          </cell>
          <cell r="J7">
            <v>87</v>
          </cell>
          <cell r="K7">
            <v>9.3147751605995713E-2</v>
          </cell>
          <cell r="L7">
            <v>633404.71092077089</v>
          </cell>
          <cell r="M7">
            <v>633405</v>
          </cell>
        </row>
        <row r="8">
          <cell r="C8" t="str">
            <v>UMC</v>
          </cell>
          <cell r="D8">
            <v>6</v>
          </cell>
          <cell r="E8">
            <v>25</v>
          </cell>
          <cell r="F8">
            <v>15</v>
          </cell>
          <cell r="G8">
            <v>25</v>
          </cell>
          <cell r="H8">
            <v>2</v>
          </cell>
          <cell r="I8">
            <v>12</v>
          </cell>
          <cell r="J8">
            <v>85</v>
          </cell>
          <cell r="K8">
            <v>9.1006423982869372E-2</v>
          </cell>
          <cell r="L8">
            <v>618843.68308351177</v>
          </cell>
          <cell r="M8">
            <v>618844</v>
          </cell>
        </row>
        <row r="9">
          <cell r="C9" t="str">
            <v>UBB</v>
          </cell>
          <cell r="D9">
            <v>8</v>
          </cell>
          <cell r="E9">
            <v>20</v>
          </cell>
          <cell r="F9">
            <v>6</v>
          </cell>
          <cell r="G9">
            <v>20</v>
          </cell>
          <cell r="H9">
            <v>6</v>
          </cell>
          <cell r="I9">
            <v>15</v>
          </cell>
          <cell r="J9">
            <v>75</v>
          </cell>
          <cell r="K9">
            <v>8.0299785867237683E-2</v>
          </cell>
          <cell r="L9">
            <v>546038.54389721621</v>
          </cell>
          <cell r="M9">
            <v>546039</v>
          </cell>
        </row>
        <row r="10">
          <cell r="C10" t="str">
            <v>ULA</v>
          </cell>
          <cell r="D10">
            <v>4</v>
          </cell>
          <cell r="E10">
            <v>20</v>
          </cell>
          <cell r="F10">
            <v>6</v>
          </cell>
          <cell r="G10">
            <v>25</v>
          </cell>
          <cell r="H10">
            <v>0</v>
          </cell>
          <cell r="I10">
            <v>15</v>
          </cell>
          <cell r="J10">
            <v>70</v>
          </cell>
          <cell r="K10">
            <v>7.4946466809421838E-2</v>
          </cell>
          <cell r="L10">
            <v>509635.97430406848</v>
          </cell>
          <cell r="M10">
            <v>509636</v>
          </cell>
        </row>
        <row r="11">
          <cell r="C11" t="str">
            <v>USA</v>
          </cell>
          <cell r="D11">
            <v>8</v>
          </cell>
          <cell r="E11">
            <v>20</v>
          </cell>
          <cell r="F11">
            <v>3</v>
          </cell>
          <cell r="G11">
            <v>20</v>
          </cell>
          <cell r="H11">
            <v>2</v>
          </cell>
          <cell r="I11">
            <v>12</v>
          </cell>
          <cell r="J11">
            <v>65</v>
          </cell>
          <cell r="K11">
            <v>6.9593147751605994E-2</v>
          </cell>
          <cell r="L11">
            <v>473233.40471092076</v>
          </cell>
          <cell r="M11">
            <v>473233</v>
          </cell>
        </row>
        <row r="12">
          <cell r="C12" t="str">
            <v>ULS</v>
          </cell>
          <cell r="D12">
            <v>6</v>
          </cell>
          <cell r="E12">
            <v>20</v>
          </cell>
          <cell r="F12">
            <v>6</v>
          </cell>
          <cell r="G12">
            <v>20</v>
          </cell>
          <cell r="H12">
            <v>0</v>
          </cell>
          <cell r="I12">
            <v>12</v>
          </cell>
          <cell r="J12">
            <v>64</v>
          </cell>
          <cell r="K12">
            <v>6.852248394004283E-2</v>
          </cell>
          <cell r="L12">
            <v>465952.89079229126</v>
          </cell>
          <cell r="M12">
            <v>465953</v>
          </cell>
        </row>
        <row r="13">
          <cell r="C13" t="str">
            <v>UTA</v>
          </cell>
          <cell r="D13">
            <v>8</v>
          </cell>
          <cell r="E13">
            <v>15</v>
          </cell>
          <cell r="F13">
            <v>3</v>
          </cell>
          <cell r="G13">
            <v>20</v>
          </cell>
          <cell r="H13">
            <v>0</v>
          </cell>
          <cell r="I13">
            <v>12</v>
          </cell>
          <cell r="J13">
            <v>58</v>
          </cell>
          <cell r="K13">
            <v>6.2098501070663809E-2</v>
          </cell>
          <cell r="L13">
            <v>422269.80728051392</v>
          </cell>
          <cell r="M13">
            <v>422270</v>
          </cell>
        </row>
        <row r="14">
          <cell r="C14" t="str">
            <v>FRO</v>
          </cell>
          <cell r="D14">
            <v>6</v>
          </cell>
          <cell r="E14">
            <v>15</v>
          </cell>
          <cell r="F14">
            <v>6</v>
          </cell>
          <cell r="G14">
            <v>15</v>
          </cell>
          <cell r="H14">
            <v>2</v>
          </cell>
          <cell r="I14">
            <v>12</v>
          </cell>
          <cell r="J14">
            <v>56</v>
          </cell>
          <cell r="K14">
            <v>5.9957173447537475E-2</v>
          </cell>
          <cell r="L14">
            <v>407708.77944325481</v>
          </cell>
          <cell r="M14">
            <v>407709</v>
          </cell>
        </row>
        <row r="15">
          <cell r="C15" t="str">
            <v>UCH</v>
          </cell>
          <cell r="D15">
            <v>4</v>
          </cell>
          <cell r="E15">
            <v>15</v>
          </cell>
          <cell r="F15">
            <v>3</v>
          </cell>
          <cell r="G15">
            <v>10</v>
          </cell>
          <cell r="H15">
            <v>8</v>
          </cell>
          <cell r="I15">
            <v>12</v>
          </cell>
          <cell r="J15">
            <v>52</v>
          </cell>
          <cell r="K15">
            <v>5.5674518201284794E-2</v>
          </cell>
          <cell r="L15">
            <v>378586.72376873659</v>
          </cell>
          <cell r="M15">
            <v>378587</v>
          </cell>
        </row>
        <row r="16">
          <cell r="C16" t="str">
            <v>MAG</v>
          </cell>
          <cell r="D16">
            <v>6</v>
          </cell>
          <cell r="E16">
            <v>10</v>
          </cell>
          <cell r="F16">
            <v>3</v>
          </cell>
          <cell r="G16">
            <v>20</v>
          </cell>
          <cell r="H16">
            <v>0</v>
          </cell>
          <cell r="I16">
            <v>12</v>
          </cell>
          <cell r="J16">
            <v>51</v>
          </cell>
          <cell r="K16">
            <v>5.460385438972163E-2</v>
          </cell>
          <cell r="L16">
            <v>371306.20985010709</v>
          </cell>
          <cell r="M16">
            <v>371306</v>
          </cell>
        </row>
        <row r="17">
          <cell r="C17" t="str">
            <v>UVA</v>
          </cell>
          <cell r="D17">
            <v>8</v>
          </cell>
          <cell r="E17">
            <v>15</v>
          </cell>
          <cell r="F17">
            <v>3</v>
          </cell>
          <cell r="G17">
            <v>10</v>
          </cell>
          <cell r="H17">
            <v>0</v>
          </cell>
          <cell r="I17">
            <v>15</v>
          </cell>
          <cell r="J17">
            <v>51</v>
          </cell>
          <cell r="K17">
            <v>5.460385438972163E-2</v>
          </cell>
          <cell r="L17">
            <v>371306.20985010709</v>
          </cell>
          <cell r="M17">
            <v>371306</v>
          </cell>
        </row>
        <row r="18">
          <cell r="C18" t="str">
            <v>URO</v>
          </cell>
          <cell r="D18">
            <v>0</v>
          </cell>
          <cell r="E18">
            <v>10</v>
          </cell>
          <cell r="F18">
            <v>9</v>
          </cell>
          <cell r="G18">
            <v>15</v>
          </cell>
          <cell r="H18">
            <v>0</v>
          </cell>
          <cell r="I18">
            <v>15</v>
          </cell>
          <cell r="J18">
            <v>49</v>
          </cell>
          <cell r="K18">
            <v>5.246252676659529E-2</v>
          </cell>
          <cell r="L18">
            <v>356745.18201284797</v>
          </cell>
          <cell r="M18">
            <v>356745</v>
          </cell>
        </row>
        <row r="19">
          <cell r="C19" t="str">
            <v>TAL</v>
          </cell>
          <cell r="D19">
            <v>4</v>
          </cell>
          <cell r="E19">
            <v>10</v>
          </cell>
          <cell r="F19">
            <v>3</v>
          </cell>
          <cell r="G19">
            <v>10</v>
          </cell>
          <cell r="H19">
            <v>8</v>
          </cell>
          <cell r="I19">
            <v>12</v>
          </cell>
          <cell r="J19">
            <v>47</v>
          </cell>
          <cell r="K19">
            <v>5.0321199143468949E-2</v>
          </cell>
          <cell r="L19">
            <v>342184.15417558886</v>
          </cell>
          <cell r="M19">
            <v>342184</v>
          </cell>
        </row>
        <row r="20">
          <cell r="C20" t="str">
            <v>ANT</v>
          </cell>
          <cell r="D20">
            <v>2</v>
          </cell>
          <cell r="E20">
            <v>15</v>
          </cell>
          <cell r="F20">
            <v>3</v>
          </cell>
          <cell r="G20">
            <v>15</v>
          </cell>
          <cell r="H20">
            <v>0</v>
          </cell>
          <cell r="I20">
            <v>9</v>
          </cell>
          <cell r="J20">
            <v>44</v>
          </cell>
          <cell r="K20">
            <v>4.7109207708779445E-2</v>
          </cell>
          <cell r="L20">
            <v>320342.61241970025</v>
          </cell>
          <cell r="M20">
            <v>320343</v>
          </cell>
        </row>
        <row r="21">
          <cell r="C21" t="str">
            <v>UAP</v>
          </cell>
          <cell r="D21">
            <v>4</v>
          </cell>
          <cell r="E21">
            <v>10</v>
          </cell>
          <cell r="F21">
            <v>3</v>
          </cell>
          <cell r="G21">
            <v>15</v>
          </cell>
          <cell r="H21">
            <v>0</v>
          </cell>
          <cell r="I21">
            <v>9</v>
          </cell>
          <cell r="J21">
            <v>41</v>
          </cell>
          <cell r="K21">
            <v>4.3897216274089934E-2</v>
          </cell>
          <cell r="L21">
            <v>298501.07066381158</v>
          </cell>
          <cell r="M21">
            <v>298501</v>
          </cell>
        </row>
        <row r="22">
          <cell r="C22" t="str">
            <v>ATA</v>
          </cell>
          <cell r="D22">
            <v>4</v>
          </cell>
          <cell r="E22">
            <v>10</v>
          </cell>
          <cell r="F22">
            <v>3</v>
          </cell>
          <cell r="G22">
            <v>10</v>
          </cell>
          <cell r="H22">
            <v>0</v>
          </cell>
          <cell r="I22">
            <v>12</v>
          </cell>
          <cell r="J22">
            <v>39</v>
          </cell>
          <cell r="K22">
            <v>4.17558886509636E-2</v>
          </cell>
          <cell r="L22">
            <v>283940.04282655247</v>
          </cell>
          <cell r="M22">
            <v>283940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_Calculo 2017"/>
      <sheetName val="AFI 2016"/>
      <sheetName val="Complejidad IES"/>
      <sheetName val="Desempeño"/>
      <sheetName val="Categoria 2017"/>
    </sheetNames>
    <sheetDataSet>
      <sheetData sheetId="0">
        <row r="9">
          <cell r="A9" t="str">
            <v>UCH</v>
          </cell>
          <cell r="B9">
            <v>2609252.65</v>
          </cell>
          <cell r="C9"/>
          <cell r="D9">
            <v>400000</v>
          </cell>
          <cell r="E9"/>
          <cell r="F9">
            <v>4378306.3737220364</v>
          </cell>
          <cell r="G9">
            <v>7387559.0237220358</v>
          </cell>
          <cell r="H9">
            <v>100000</v>
          </cell>
          <cell r="I9">
            <v>335578.0022446689</v>
          </cell>
          <cell r="J9">
            <v>435578.0022446689</v>
          </cell>
          <cell r="K9">
            <v>2839218.9353778996</v>
          </cell>
          <cell r="L9">
            <v>0.1030040949147011</v>
          </cell>
          <cell r="M9">
            <v>0</v>
          </cell>
          <cell r="N9">
            <v>10662355.961344603</v>
          </cell>
          <cell r="O9">
            <v>10662356</v>
          </cell>
        </row>
        <row r="10">
          <cell r="A10" t="str">
            <v>USA</v>
          </cell>
          <cell r="B10">
            <v>674422.37</v>
          </cell>
          <cell r="C10"/>
          <cell r="D10"/>
          <cell r="E10"/>
          <cell r="F10">
            <v>1738263.9931278601</v>
          </cell>
          <cell r="G10">
            <v>2412686.3631278602</v>
          </cell>
          <cell r="H10">
            <v>100000</v>
          </cell>
          <cell r="I10">
            <v>474186.30751964083</v>
          </cell>
          <cell r="J10">
            <v>574186.30751964077</v>
          </cell>
          <cell r="K10">
            <v>2673608.3706221008</v>
          </cell>
          <cell r="L10">
            <v>9.6995905085298928E-2</v>
          </cell>
          <cell r="M10">
            <v>0</v>
          </cell>
          <cell r="N10">
            <v>5660481.0412696023</v>
          </cell>
          <cell r="O10">
            <v>5660481</v>
          </cell>
        </row>
        <row r="11">
          <cell r="A11" t="str">
            <v>TAL</v>
          </cell>
          <cell r="B11">
            <v>231468.81</v>
          </cell>
          <cell r="C11"/>
          <cell r="D11"/>
          <cell r="E11">
            <v>0</v>
          </cell>
          <cell r="F11">
            <v>1113615.0660237472</v>
          </cell>
          <cell r="G11">
            <v>1345083.8760237473</v>
          </cell>
          <cell r="H11">
            <v>100000</v>
          </cell>
          <cell r="I11">
            <v>342873.17620650958</v>
          </cell>
          <cell r="J11">
            <v>442873.17620650958</v>
          </cell>
          <cell r="K11">
            <v>2266057.166558641</v>
          </cell>
          <cell r="L11">
            <v>8.2210344738799665E-2</v>
          </cell>
          <cell r="M11">
            <v>0</v>
          </cell>
          <cell r="N11">
            <v>4054014.2187888976</v>
          </cell>
          <cell r="O11">
            <v>4054014</v>
          </cell>
        </row>
        <row r="12">
          <cell r="A12" t="str">
            <v>FRO</v>
          </cell>
          <cell r="B12">
            <v>234072.65</v>
          </cell>
          <cell r="C12"/>
          <cell r="D12"/>
          <cell r="E12">
            <v>0</v>
          </cell>
          <cell r="F12">
            <v>1022191.2311618859</v>
          </cell>
          <cell r="G12">
            <v>1256263.8811618858</v>
          </cell>
          <cell r="H12">
            <v>100000</v>
          </cell>
          <cell r="I12">
            <v>452300.78563411901</v>
          </cell>
          <cell r="J12">
            <v>552300.78563411906</v>
          </cell>
          <cell r="K12">
            <v>2137175.0528137088</v>
          </cell>
          <cell r="L12">
            <v>7.7534627304130133E-2</v>
          </cell>
          <cell r="M12">
            <v>0</v>
          </cell>
          <cell r="N12">
            <v>3945739.7196097136</v>
          </cell>
          <cell r="O12">
            <v>3945740</v>
          </cell>
        </row>
        <row r="13">
          <cell r="A13" t="str">
            <v>UTA</v>
          </cell>
          <cell r="B13">
            <v>26722.32</v>
          </cell>
          <cell r="C13"/>
          <cell r="D13"/>
          <cell r="E13"/>
          <cell r="F13">
            <v>637818.87569206371</v>
          </cell>
          <cell r="G13">
            <v>664541.19569206366</v>
          </cell>
          <cell r="H13">
            <v>100000</v>
          </cell>
          <cell r="I13">
            <v>423120.08978675643</v>
          </cell>
          <cell r="J13">
            <v>523120.08978675643</v>
          </cell>
          <cell r="K13">
            <v>2008836.8384972026</v>
          </cell>
          <cell r="L13">
            <v>7.2878642010455991E-2</v>
          </cell>
          <cell r="M13">
            <v>0</v>
          </cell>
          <cell r="N13">
            <v>3196498.1239760225</v>
          </cell>
          <cell r="O13">
            <v>3196498</v>
          </cell>
        </row>
        <row r="14">
          <cell r="A14" t="str">
            <v>UBB</v>
          </cell>
          <cell r="B14">
            <v>102449.98</v>
          </cell>
          <cell r="C14"/>
          <cell r="D14"/>
          <cell r="E14"/>
          <cell r="F14">
            <v>826863.02572682826</v>
          </cell>
          <cell r="G14">
            <v>929313.00572682824</v>
          </cell>
          <cell r="H14">
            <v>100000</v>
          </cell>
          <cell r="I14">
            <v>517957.3512906846</v>
          </cell>
          <cell r="J14">
            <v>617957.35129068466</v>
          </cell>
          <cell r="K14">
            <v>1928137.0888186081</v>
          </cell>
          <cell r="L14">
            <v>6.9950933769323057E-2</v>
          </cell>
          <cell r="M14">
            <v>0</v>
          </cell>
          <cell r="N14">
            <v>3475407.4458361208</v>
          </cell>
          <cell r="O14">
            <v>3475407</v>
          </cell>
        </row>
        <row r="15">
          <cell r="A15" t="str">
            <v>UVA</v>
          </cell>
          <cell r="B15">
            <v>289815.22000000003</v>
          </cell>
          <cell r="C15"/>
          <cell r="D15"/>
          <cell r="E15"/>
          <cell r="F15">
            <v>1100342.0225336077</v>
          </cell>
          <cell r="G15">
            <v>1390157.2425336076</v>
          </cell>
          <cell r="H15">
            <v>100000</v>
          </cell>
          <cell r="I15">
            <v>335578.0022446689</v>
          </cell>
          <cell r="J15">
            <v>435578.0022446689</v>
          </cell>
          <cell r="K15">
            <v>1696999.6753719477</v>
          </cell>
          <cell r="L15">
            <v>6.1565493753993818E-2</v>
          </cell>
          <cell r="M15">
            <v>0</v>
          </cell>
          <cell r="N15">
            <v>3522734.9201502241</v>
          </cell>
          <cell r="O15">
            <v>3522735</v>
          </cell>
        </row>
        <row r="16">
          <cell r="A16" t="str">
            <v>ULS</v>
          </cell>
          <cell r="B16">
            <v>111791.05</v>
          </cell>
          <cell r="C16"/>
          <cell r="D16"/>
          <cell r="E16"/>
          <cell r="F16">
            <v>536776.64842102071</v>
          </cell>
          <cell r="G16">
            <v>648567.69842102076</v>
          </cell>
          <cell r="H16">
            <v>100000</v>
          </cell>
          <cell r="I16">
            <v>481481.48148148146</v>
          </cell>
          <cell r="J16">
            <v>581481.48148148146</v>
          </cell>
          <cell r="K16">
            <v>1574268.0389431531</v>
          </cell>
          <cell r="L16">
            <v>5.7112909640023225E-2</v>
          </cell>
          <cell r="M16">
            <v>0</v>
          </cell>
          <cell r="N16">
            <v>2804317.2188456552</v>
          </cell>
          <cell r="O16">
            <v>2804317</v>
          </cell>
        </row>
        <row r="17">
          <cell r="A17" t="str">
            <v>ANT</v>
          </cell>
          <cell r="B17">
            <v>65926.180000000008</v>
          </cell>
          <cell r="C17"/>
          <cell r="D17"/>
          <cell r="E17"/>
          <cell r="F17">
            <v>652678.04146715102</v>
          </cell>
          <cell r="G17">
            <v>718604.22146715107</v>
          </cell>
          <cell r="H17">
            <v>100000</v>
          </cell>
          <cell r="I17">
            <v>313692.48035914707</v>
          </cell>
          <cell r="J17">
            <v>413692.48035914707</v>
          </cell>
          <cell r="K17">
            <v>1606272.0283694325</v>
          </cell>
          <cell r="L17">
            <v>5.8273983174521475E-2</v>
          </cell>
          <cell r="M17">
            <v>0</v>
          </cell>
          <cell r="N17">
            <v>2738568.7301957309</v>
          </cell>
          <cell r="O17">
            <v>2738569</v>
          </cell>
        </row>
        <row r="18">
          <cell r="A18" t="str">
            <v>UPA</v>
          </cell>
          <cell r="B18">
            <v>25573.87</v>
          </cell>
          <cell r="C18"/>
          <cell r="D18"/>
          <cell r="E18"/>
          <cell r="F18">
            <v>478274.92526097031</v>
          </cell>
          <cell r="G18">
            <v>503848.79526097031</v>
          </cell>
          <cell r="H18">
            <v>100000</v>
          </cell>
          <cell r="I18">
            <v>634680.13468013471</v>
          </cell>
          <cell r="J18">
            <v>734680.13468013471</v>
          </cell>
          <cell r="K18">
            <v>1483126.9266273044</v>
          </cell>
          <cell r="L18">
            <v>5.3806398942085942E-2</v>
          </cell>
          <cell r="M18">
            <v>0</v>
          </cell>
          <cell r="N18">
            <v>2721655.8565684091</v>
          </cell>
          <cell r="O18">
            <v>2721656</v>
          </cell>
        </row>
        <row r="19">
          <cell r="A19" t="str">
            <v>ULA</v>
          </cell>
          <cell r="B19">
            <v>9724.23</v>
          </cell>
          <cell r="C19"/>
          <cell r="D19"/>
          <cell r="E19"/>
          <cell r="F19">
            <v>404050.29043120821</v>
          </cell>
          <cell r="G19">
            <v>413774.52043120819</v>
          </cell>
          <cell r="H19">
            <v>100000</v>
          </cell>
          <cell r="I19">
            <v>525252.52525252535</v>
          </cell>
          <cell r="J19">
            <v>625252.52525252535</v>
          </cell>
          <cell r="K19">
            <v>1370299.0996215828</v>
          </cell>
          <cell r="L19">
            <v>4.971311537838994E-2</v>
          </cell>
          <cell r="M19">
            <v>833333</v>
          </cell>
          <cell r="N19">
            <v>3242659.1453053164</v>
          </cell>
          <cell r="O19">
            <v>3242659</v>
          </cell>
        </row>
        <row r="20">
          <cell r="A20" t="str">
            <v>UTM</v>
          </cell>
          <cell r="B20">
            <v>54057.49</v>
          </cell>
          <cell r="C20"/>
          <cell r="D20"/>
          <cell r="E20"/>
          <cell r="F20">
            <v>300758.28297173628</v>
          </cell>
          <cell r="G20">
            <v>354815.77297173627</v>
          </cell>
          <cell r="H20"/>
          <cell r="I20"/>
          <cell r="J20"/>
          <cell r="K20">
            <v>1160498.6813144095</v>
          </cell>
          <cell r="L20">
            <v>4.2101760744486107E-2</v>
          </cell>
          <cell r="M20">
            <v>833333</v>
          </cell>
          <cell r="N20">
            <v>2348647.454286146</v>
          </cell>
          <cell r="O20">
            <v>2348647</v>
          </cell>
        </row>
        <row r="21">
          <cell r="A21" t="str">
            <v>UAP</v>
          </cell>
          <cell r="B21">
            <v>15697.2</v>
          </cell>
          <cell r="C21"/>
          <cell r="D21"/>
          <cell r="E21"/>
          <cell r="F21">
            <v>352928.39134786732</v>
          </cell>
          <cell r="G21">
            <v>368625.59134786733</v>
          </cell>
          <cell r="H21">
            <v>100000</v>
          </cell>
          <cell r="I21">
            <v>372053.8720538721</v>
          </cell>
          <cell r="J21">
            <v>472053.8720538721</v>
          </cell>
          <cell r="K21">
            <v>1187743.8559642334</v>
          </cell>
          <cell r="L21">
            <v>4.3090189118441195E-2</v>
          </cell>
          <cell r="M21">
            <v>833333</v>
          </cell>
          <cell r="N21">
            <v>2861756.3193659727</v>
          </cell>
          <cell r="O21">
            <v>2861756</v>
          </cell>
        </row>
        <row r="22">
          <cell r="A22" t="str">
            <v>MAG</v>
          </cell>
          <cell r="B22">
            <v>26799.57</v>
          </cell>
          <cell r="C22"/>
          <cell r="D22"/>
          <cell r="E22"/>
          <cell r="F22">
            <v>364149.50109139213</v>
          </cell>
          <cell r="G22">
            <v>390949.07109139214</v>
          </cell>
          <cell r="H22">
            <v>100000</v>
          </cell>
          <cell r="I22">
            <v>386644.21997755329</v>
          </cell>
          <cell r="J22">
            <v>486644.21997755329</v>
          </cell>
          <cell r="K22">
            <v>1406427.9762520478</v>
          </cell>
          <cell r="L22">
            <v>5.1023835799149118E-2</v>
          </cell>
          <cell r="M22">
            <v>0</v>
          </cell>
          <cell r="N22">
            <v>2284021.2673209934</v>
          </cell>
          <cell r="O22">
            <v>2284021</v>
          </cell>
        </row>
        <row r="23">
          <cell r="A23" t="str">
            <v>UMC</v>
          </cell>
          <cell r="B23">
            <v>105971.55</v>
          </cell>
          <cell r="C23"/>
          <cell r="D23"/>
          <cell r="E23"/>
          <cell r="F23">
            <v>256115.19369081274</v>
          </cell>
          <cell r="G23">
            <v>362086.74369081273</v>
          </cell>
          <cell r="H23">
            <v>100000</v>
          </cell>
          <cell r="I23">
            <v>620089.78675645345</v>
          </cell>
          <cell r="J23">
            <v>720089.78675645345</v>
          </cell>
          <cell r="K23">
            <v>1155090.1428468884</v>
          </cell>
          <cell r="L23">
            <v>4.1905544241871033E-2</v>
          </cell>
          <cell r="M23">
            <v>0</v>
          </cell>
          <cell r="N23">
            <v>2237266.6732941545</v>
          </cell>
          <cell r="O23">
            <v>2237267</v>
          </cell>
        </row>
        <row r="24">
          <cell r="A24" t="str">
            <v>ATA</v>
          </cell>
          <cell r="B24">
            <v>21898.83</v>
          </cell>
          <cell r="C24"/>
          <cell r="D24"/>
          <cell r="E24"/>
          <cell r="F24">
            <v>293461.63732981222</v>
          </cell>
          <cell r="G24">
            <v>315360.46732981224</v>
          </cell>
          <cell r="H24">
            <v>100000</v>
          </cell>
          <cell r="I24">
            <v>284511.7845117845</v>
          </cell>
          <cell r="J24">
            <v>384511.7845117845</v>
          </cell>
          <cell r="K24">
            <v>1070376.6520008384</v>
          </cell>
          <cell r="L24">
            <v>3.8832221384329305E-2</v>
          </cell>
          <cell r="M24">
            <v>0</v>
          </cell>
          <cell r="N24">
            <v>1770248.9038424352</v>
          </cell>
          <cell r="O24">
            <v>1770249</v>
          </cell>
        </row>
        <row r="25">
          <cell r="A25" t="str">
            <v>URO</v>
          </cell>
          <cell r="B25">
            <v>0</v>
          </cell>
          <cell r="C25">
            <v>150000</v>
          </cell>
          <cell r="D25"/>
          <cell r="E25"/>
          <cell r="F25">
            <v>0</v>
          </cell>
          <cell r="G25">
            <v>150000</v>
          </cell>
          <cell r="H25"/>
          <cell r="I25"/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150000</v>
          </cell>
          <cell r="O25">
            <v>150000</v>
          </cell>
        </row>
        <row r="26">
          <cell r="A26" t="str">
            <v>URY</v>
          </cell>
          <cell r="B26">
            <v>0</v>
          </cell>
          <cell r="C26">
            <v>150000</v>
          </cell>
          <cell r="D26"/>
          <cell r="E26"/>
          <cell r="F26">
            <v>0</v>
          </cell>
          <cell r="G26">
            <v>150000</v>
          </cell>
          <cell r="H26"/>
          <cell r="I26"/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150000</v>
          </cell>
          <cell r="O26">
            <v>150000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_ACRE_31_12_2017"/>
      <sheetName val="PRE_ACRE_31_12_2017"/>
      <sheetName val="MED_ACRE_31_12_2017"/>
      <sheetName val="PED_ACRE_31_12_2017"/>
      <sheetName val="MAG_ACRE_31_12_2017"/>
      <sheetName val="Hoja1"/>
      <sheetName val="Hoja5"/>
      <sheetName val="DOC_ACRE_31_12_2017"/>
    </sheetNames>
    <sheetDataSet>
      <sheetData sheetId="0"/>
      <sheetData sheetId="1"/>
      <sheetData sheetId="2"/>
      <sheetData sheetId="3"/>
      <sheetData sheetId="4"/>
      <sheetData sheetId="5">
        <row r="7">
          <cell r="A7" t="str">
            <v>ANT</v>
          </cell>
          <cell r="B7">
            <v>1</v>
          </cell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2</v>
          </cell>
        </row>
        <row r="8">
          <cell r="A8" t="str">
            <v>FRO</v>
          </cell>
          <cell r="B8">
            <v>2</v>
          </cell>
          <cell r="C8">
            <v>2</v>
          </cell>
          <cell r="D8">
            <v>0</v>
          </cell>
          <cell r="E8">
            <v>1</v>
          </cell>
          <cell r="F8">
            <v>1</v>
          </cell>
          <cell r="G8">
            <v>0</v>
          </cell>
          <cell r="H8">
            <v>1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</v>
          </cell>
          <cell r="O8">
            <v>1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6</v>
          </cell>
        </row>
        <row r="9">
          <cell r="A9" t="str">
            <v>TAL</v>
          </cell>
          <cell r="B9">
            <v>3</v>
          </cell>
          <cell r="C9">
            <v>3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3</v>
          </cell>
          <cell r="L9">
            <v>3</v>
          </cell>
          <cell r="M9">
            <v>0</v>
          </cell>
          <cell r="N9">
            <v>1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7</v>
          </cell>
        </row>
        <row r="10">
          <cell r="A10" t="str">
            <v>UBB</v>
          </cell>
          <cell r="B10">
            <v>0</v>
          </cell>
          <cell r="C10">
            <v>0</v>
          </cell>
          <cell r="D10">
            <v>1</v>
          </cell>
          <cell r="E10">
            <v>1</v>
          </cell>
          <cell r="F10">
            <v>2</v>
          </cell>
          <cell r="G10">
            <v>0</v>
          </cell>
          <cell r="H10">
            <v>1</v>
          </cell>
          <cell r="I10">
            <v>1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3</v>
          </cell>
        </row>
        <row r="11">
          <cell r="A11" t="str">
            <v>UCH</v>
          </cell>
          <cell r="B11">
            <v>3</v>
          </cell>
          <cell r="C11">
            <v>3</v>
          </cell>
          <cell r="D11">
            <v>0</v>
          </cell>
          <cell r="E11">
            <v>4</v>
          </cell>
          <cell r="F11">
            <v>4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3</v>
          </cell>
          <cell r="L11">
            <v>3</v>
          </cell>
          <cell r="M11">
            <v>2</v>
          </cell>
          <cell r="N11">
            <v>4</v>
          </cell>
          <cell r="O11">
            <v>6</v>
          </cell>
          <cell r="P11">
            <v>7</v>
          </cell>
          <cell r="Q11">
            <v>7</v>
          </cell>
          <cell r="R11">
            <v>4</v>
          </cell>
          <cell r="S11">
            <v>4</v>
          </cell>
          <cell r="T11">
            <v>1</v>
          </cell>
          <cell r="U11">
            <v>1</v>
          </cell>
          <cell r="V11">
            <v>2</v>
          </cell>
          <cell r="W11">
            <v>0</v>
          </cell>
          <cell r="X11">
            <v>0</v>
          </cell>
          <cell r="Y11">
            <v>35</v>
          </cell>
        </row>
        <row r="12">
          <cell r="A12" t="str">
            <v>ULA</v>
          </cell>
          <cell r="B12">
            <v>1</v>
          </cell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1</v>
          </cell>
        </row>
        <row r="13">
          <cell r="A13" t="str">
            <v>ULS</v>
          </cell>
          <cell r="B13">
            <v>2</v>
          </cell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3</v>
          </cell>
        </row>
        <row r="14">
          <cell r="A14" t="str">
            <v>UPA</v>
          </cell>
          <cell r="B14">
            <v>1</v>
          </cell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</v>
          </cell>
        </row>
        <row r="15">
          <cell r="A15" t="str">
            <v>USA</v>
          </cell>
          <cell r="B15">
            <v>0</v>
          </cell>
          <cell r="C15">
            <v>0</v>
          </cell>
          <cell r="D15">
            <v>0</v>
          </cell>
          <cell r="E15">
            <v>4</v>
          </cell>
          <cell r="F15">
            <v>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1</v>
          </cell>
          <cell r="L15">
            <v>1</v>
          </cell>
          <cell r="M15">
            <v>0</v>
          </cell>
          <cell r="N15">
            <v>2</v>
          </cell>
          <cell r="O15">
            <v>2</v>
          </cell>
          <cell r="P15">
            <v>1</v>
          </cell>
          <cell r="Q15">
            <v>1</v>
          </cell>
          <cell r="R15">
            <v>0</v>
          </cell>
          <cell r="S15">
            <v>0</v>
          </cell>
          <cell r="T15">
            <v>1</v>
          </cell>
          <cell r="U15">
            <v>1</v>
          </cell>
          <cell r="V15">
            <v>2</v>
          </cell>
          <cell r="W15">
            <v>0</v>
          </cell>
          <cell r="X15">
            <v>0</v>
          </cell>
          <cell r="Y15">
            <v>10</v>
          </cell>
        </row>
        <row r="16">
          <cell r="A16" t="str">
            <v>UTA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1</v>
          </cell>
        </row>
        <row r="17">
          <cell r="A17" t="str">
            <v>UVA</v>
          </cell>
          <cell r="B17">
            <v>2</v>
          </cell>
          <cell r="C17">
            <v>2</v>
          </cell>
          <cell r="D17">
            <v>0</v>
          </cell>
          <cell r="E17">
            <v>2</v>
          </cell>
          <cell r="F17">
            <v>2</v>
          </cell>
          <cell r="G17">
            <v>2</v>
          </cell>
          <cell r="H17">
            <v>0</v>
          </cell>
          <cell r="I17">
            <v>2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7</v>
          </cell>
        </row>
        <row r="18">
          <cell r="A18" t="str">
            <v>CRUCH-Privada</v>
          </cell>
          <cell r="B18">
            <v>7</v>
          </cell>
          <cell r="C18">
            <v>7</v>
          </cell>
          <cell r="D18">
            <v>3</v>
          </cell>
          <cell r="E18">
            <v>16</v>
          </cell>
          <cell r="F18">
            <v>19</v>
          </cell>
          <cell r="G18">
            <v>3</v>
          </cell>
          <cell r="H18">
            <v>11</v>
          </cell>
          <cell r="I18">
            <v>14</v>
          </cell>
          <cell r="J18">
            <v>1</v>
          </cell>
          <cell r="K18">
            <v>12</v>
          </cell>
          <cell r="L18">
            <v>13</v>
          </cell>
          <cell r="M18">
            <v>6</v>
          </cell>
          <cell r="N18">
            <v>8</v>
          </cell>
          <cell r="O18">
            <v>14</v>
          </cell>
          <cell r="P18">
            <v>13</v>
          </cell>
          <cell r="Q18">
            <v>13</v>
          </cell>
          <cell r="R18">
            <v>6</v>
          </cell>
          <cell r="S18">
            <v>6</v>
          </cell>
          <cell r="T18">
            <v>0</v>
          </cell>
          <cell r="U18">
            <v>1</v>
          </cell>
          <cell r="V18">
            <v>1</v>
          </cell>
          <cell r="W18">
            <v>2</v>
          </cell>
          <cell r="X18">
            <v>2</v>
          </cell>
          <cell r="Y18">
            <v>89</v>
          </cell>
        </row>
        <row r="19">
          <cell r="A19" t="str">
            <v>AUS</v>
          </cell>
          <cell r="B19">
            <v>1</v>
          </cell>
          <cell r="C19">
            <v>1</v>
          </cell>
          <cell r="D19">
            <v>0</v>
          </cell>
          <cell r="E19">
            <v>3</v>
          </cell>
          <cell r="F19">
            <v>3</v>
          </cell>
          <cell r="G19">
            <v>0</v>
          </cell>
          <cell r="H19">
            <v>1</v>
          </cell>
          <cell r="I19">
            <v>1</v>
          </cell>
          <cell r="J19">
            <v>0</v>
          </cell>
          <cell r="K19">
            <v>1</v>
          </cell>
          <cell r="L19">
            <v>1</v>
          </cell>
          <cell r="M19">
            <v>0</v>
          </cell>
          <cell r="N19">
            <v>2</v>
          </cell>
          <cell r="O19">
            <v>2</v>
          </cell>
          <cell r="P19">
            <v>1</v>
          </cell>
          <cell r="Q19">
            <v>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9</v>
          </cell>
        </row>
        <row r="20">
          <cell r="A20" t="str">
            <v>FSM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2</v>
          </cell>
          <cell r="H20">
            <v>0</v>
          </cell>
          <cell r="I20">
            <v>2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O20">
            <v>1</v>
          </cell>
          <cell r="P20">
            <v>1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</v>
          </cell>
          <cell r="X20">
            <v>1</v>
          </cell>
          <cell r="Y20">
            <v>5</v>
          </cell>
        </row>
        <row r="21">
          <cell r="A21" t="str">
            <v>PUC</v>
          </cell>
          <cell r="B21">
            <v>1</v>
          </cell>
          <cell r="C21">
            <v>1</v>
          </cell>
          <cell r="D21">
            <v>0</v>
          </cell>
          <cell r="E21">
            <v>6</v>
          </cell>
          <cell r="F21">
            <v>6</v>
          </cell>
          <cell r="G21">
            <v>0</v>
          </cell>
          <cell r="H21">
            <v>5</v>
          </cell>
          <cell r="I21">
            <v>5</v>
          </cell>
          <cell r="J21">
            <v>0</v>
          </cell>
          <cell r="K21">
            <v>7</v>
          </cell>
          <cell r="L21">
            <v>7</v>
          </cell>
          <cell r="M21">
            <v>1</v>
          </cell>
          <cell r="N21">
            <v>3</v>
          </cell>
          <cell r="O21">
            <v>4</v>
          </cell>
          <cell r="P21">
            <v>7</v>
          </cell>
          <cell r="Q21">
            <v>7</v>
          </cell>
          <cell r="R21">
            <v>3</v>
          </cell>
          <cell r="S21">
            <v>3</v>
          </cell>
          <cell r="T21">
            <v>0</v>
          </cell>
          <cell r="U21">
            <v>1</v>
          </cell>
          <cell r="V21">
            <v>1</v>
          </cell>
          <cell r="W21">
            <v>0</v>
          </cell>
          <cell r="X21">
            <v>0</v>
          </cell>
          <cell r="Y21">
            <v>34</v>
          </cell>
        </row>
        <row r="22">
          <cell r="A22" t="str">
            <v>UCM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</v>
          </cell>
        </row>
        <row r="23">
          <cell r="A23" t="str">
            <v>UCN</v>
          </cell>
          <cell r="B23">
            <v>1</v>
          </cell>
          <cell r="C23">
            <v>1</v>
          </cell>
          <cell r="D23">
            <v>0</v>
          </cell>
          <cell r="E23">
            <v>1</v>
          </cell>
          <cell r="F23">
            <v>1</v>
          </cell>
          <cell r="G23">
            <v>0</v>
          </cell>
          <cell r="H23">
            <v>1</v>
          </cell>
          <cell r="I23">
            <v>1</v>
          </cell>
          <cell r="J23">
            <v>1</v>
          </cell>
          <cell r="K23">
            <v>0</v>
          </cell>
          <cell r="L23">
            <v>1</v>
          </cell>
          <cell r="M23">
            <v>2</v>
          </cell>
          <cell r="N23">
            <v>0</v>
          </cell>
          <cell r="O23">
            <v>2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6</v>
          </cell>
        </row>
        <row r="24">
          <cell r="A24" t="str">
            <v>UCO</v>
          </cell>
          <cell r="B24">
            <v>3</v>
          </cell>
          <cell r="C24">
            <v>3</v>
          </cell>
          <cell r="D24">
            <v>0</v>
          </cell>
          <cell r="E24">
            <v>5</v>
          </cell>
          <cell r="F24">
            <v>5</v>
          </cell>
          <cell r="G24">
            <v>0</v>
          </cell>
          <cell r="H24">
            <v>2</v>
          </cell>
          <cell r="I24">
            <v>2</v>
          </cell>
          <cell r="J24">
            <v>0</v>
          </cell>
          <cell r="K24">
            <v>4</v>
          </cell>
          <cell r="L24">
            <v>4</v>
          </cell>
          <cell r="M24">
            <v>0</v>
          </cell>
          <cell r="N24">
            <v>3</v>
          </cell>
          <cell r="O24">
            <v>3</v>
          </cell>
          <cell r="P24">
            <v>2</v>
          </cell>
          <cell r="Q24">
            <v>2</v>
          </cell>
          <cell r="R24">
            <v>3</v>
          </cell>
          <cell r="S24">
            <v>3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22</v>
          </cell>
        </row>
        <row r="25">
          <cell r="A25" t="str">
            <v>UCT</v>
          </cell>
          <cell r="B25">
            <v>1</v>
          </cell>
          <cell r="C25">
            <v>1</v>
          </cell>
          <cell r="D25">
            <v>1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</v>
          </cell>
        </row>
        <row r="26">
          <cell r="A26" t="str">
            <v>UCV</v>
          </cell>
          <cell r="B26">
            <v>0</v>
          </cell>
          <cell r="C26">
            <v>0</v>
          </cell>
          <cell r="D26">
            <v>0</v>
          </cell>
          <cell r="E26">
            <v>1</v>
          </cell>
          <cell r="F26">
            <v>1</v>
          </cell>
          <cell r="G26">
            <v>1</v>
          </cell>
          <cell r="H26">
            <v>2</v>
          </cell>
          <cell r="I26">
            <v>3</v>
          </cell>
          <cell r="J26">
            <v>0</v>
          </cell>
          <cell r="K26">
            <v>0</v>
          </cell>
          <cell r="L26">
            <v>0</v>
          </cell>
          <cell r="M26">
            <v>2</v>
          </cell>
          <cell r="N26">
            <v>0</v>
          </cell>
          <cell r="O26">
            <v>2</v>
          </cell>
          <cell r="P26">
            <v>2</v>
          </cell>
          <cell r="Q26">
            <v>2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</v>
          </cell>
          <cell r="X26">
            <v>1</v>
          </cell>
          <cell r="Y26">
            <v>9</v>
          </cell>
        </row>
        <row r="27">
          <cell r="A27" t="str">
            <v>USC</v>
          </cell>
          <cell r="B27">
            <v>0</v>
          </cell>
          <cell r="C27">
            <v>0</v>
          </cell>
          <cell r="D27">
            <v>1</v>
          </cell>
          <cell r="E27">
            <v>0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</v>
          </cell>
        </row>
        <row r="28">
          <cell r="A28" t="str">
            <v>U. PRIVADA</v>
          </cell>
          <cell r="B28">
            <v>3</v>
          </cell>
          <cell r="C28">
            <v>3</v>
          </cell>
          <cell r="D28">
            <v>0</v>
          </cell>
          <cell r="E28">
            <v>2</v>
          </cell>
          <cell r="F28">
            <v>2</v>
          </cell>
          <cell r="G28">
            <v>2</v>
          </cell>
          <cell r="H28">
            <v>0</v>
          </cell>
          <cell r="I28">
            <v>2</v>
          </cell>
          <cell r="J28">
            <v>0</v>
          </cell>
          <cell r="K28">
            <v>1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8</v>
          </cell>
        </row>
        <row r="29">
          <cell r="A29" t="str">
            <v>UAH</v>
          </cell>
          <cell r="B29">
            <v>0</v>
          </cell>
          <cell r="C29">
            <v>0</v>
          </cell>
          <cell r="D29">
            <v>0</v>
          </cell>
          <cell r="E29">
            <v>1</v>
          </cell>
          <cell r="F29">
            <v>1</v>
          </cell>
          <cell r="G29">
            <v>1</v>
          </cell>
          <cell r="H29">
            <v>0</v>
          </cell>
          <cell r="I29">
            <v>1</v>
          </cell>
          <cell r="J29">
            <v>0</v>
          </cell>
          <cell r="K29">
            <v>1</v>
          </cell>
          <cell r="L29">
            <v>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3</v>
          </cell>
        </row>
        <row r="30">
          <cell r="A30" t="str">
            <v>UAU</v>
          </cell>
          <cell r="B30">
            <v>1</v>
          </cell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1</v>
          </cell>
        </row>
        <row r="31">
          <cell r="A31" t="str">
            <v>UDP</v>
          </cell>
          <cell r="B31">
            <v>2</v>
          </cell>
          <cell r="C31">
            <v>2</v>
          </cell>
          <cell r="D31">
            <v>0</v>
          </cell>
          <cell r="E31">
            <v>1</v>
          </cell>
          <cell r="F31">
            <v>1</v>
          </cell>
          <cell r="G31">
            <v>1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4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ielo.Chile"/>
      <sheetName val="WOS"/>
      <sheetName val="SCOPUS"/>
    </sheetNames>
    <sheetDataSet>
      <sheetData sheetId="0"/>
      <sheetData sheetId="1"/>
      <sheetData sheetId="2">
        <row r="6">
          <cell r="B6" t="str">
            <v>Código</v>
          </cell>
          <cell r="C6" t="str">
            <v>PAPER</v>
          </cell>
          <cell r="D6" t="str">
            <v>CITAS</v>
          </cell>
          <cell r="E6" t="str">
            <v>PAPER</v>
          </cell>
          <cell r="F6" t="str">
            <v>CITAS</v>
          </cell>
          <cell r="G6" t="str">
            <v>PAPER</v>
          </cell>
          <cell r="H6" t="str">
            <v>CITAS</v>
          </cell>
          <cell r="I6" t="str">
            <v>PAPER</v>
          </cell>
          <cell r="J6" t="str">
            <v>CITAS</v>
          </cell>
          <cell r="K6" t="str">
            <v>PAPER</v>
          </cell>
        </row>
        <row r="7">
          <cell r="B7" t="str">
            <v>UCH</v>
          </cell>
          <cell r="C7">
            <v>1949</v>
          </cell>
          <cell r="D7">
            <v>24577</v>
          </cell>
          <cell r="E7">
            <v>1945</v>
          </cell>
          <cell r="F7">
            <v>19357</v>
          </cell>
          <cell r="G7">
            <v>2324</v>
          </cell>
          <cell r="H7">
            <v>15312</v>
          </cell>
          <cell r="I7">
            <v>2487</v>
          </cell>
          <cell r="J7">
            <v>9745</v>
          </cell>
          <cell r="K7">
            <v>2598</v>
          </cell>
          <cell r="L7">
            <v>4391</v>
          </cell>
          <cell r="M7">
            <v>11303</v>
          </cell>
          <cell r="N7">
            <v>73382</v>
          </cell>
        </row>
        <row r="8">
          <cell r="B8" t="str">
            <v>PUC</v>
          </cell>
          <cell r="C8">
            <v>1731</v>
          </cell>
          <cell r="D8">
            <v>30466</v>
          </cell>
          <cell r="E8">
            <v>1735</v>
          </cell>
          <cell r="F8">
            <v>19641</v>
          </cell>
          <cell r="G8">
            <v>2007</v>
          </cell>
          <cell r="H8">
            <v>15727</v>
          </cell>
          <cell r="I8">
            <v>2012</v>
          </cell>
          <cell r="J8">
            <v>9772</v>
          </cell>
          <cell r="K8">
            <v>2233</v>
          </cell>
          <cell r="L8">
            <v>4775</v>
          </cell>
          <cell r="M8">
            <v>9718</v>
          </cell>
          <cell r="N8">
            <v>80381</v>
          </cell>
        </row>
        <row r="9">
          <cell r="B9" t="str">
            <v>UCO</v>
          </cell>
          <cell r="C9">
            <v>922</v>
          </cell>
          <cell r="D9">
            <v>9338</v>
          </cell>
          <cell r="E9">
            <v>903</v>
          </cell>
          <cell r="F9">
            <v>8408</v>
          </cell>
          <cell r="G9">
            <v>981</v>
          </cell>
          <cell r="H9">
            <v>5808</v>
          </cell>
          <cell r="I9">
            <v>1001</v>
          </cell>
          <cell r="J9">
            <v>3539</v>
          </cell>
          <cell r="K9">
            <v>1085</v>
          </cell>
          <cell r="L9">
            <v>1418</v>
          </cell>
          <cell r="M9">
            <v>4892</v>
          </cell>
          <cell r="N9">
            <v>28511</v>
          </cell>
        </row>
        <row r="10">
          <cell r="B10" t="str">
            <v>FSM</v>
          </cell>
          <cell r="C10">
            <v>572</v>
          </cell>
          <cell r="D10">
            <v>13658</v>
          </cell>
          <cell r="E10">
            <v>438</v>
          </cell>
          <cell r="F10">
            <v>6645</v>
          </cell>
          <cell r="G10">
            <v>468</v>
          </cell>
          <cell r="H10">
            <v>4294</v>
          </cell>
          <cell r="I10">
            <v>546</v>
          </cell>
          <cell r="J10">
            <v>3424</v>
          </cell>
          <cell r="K10">
            <v>598</v>
          </cell>
          <cell r="L10">
            <v>1556</v>
          </cell>
          <cell r="M10">
            <v>2622</v>
          </cell>
          <cell r="N10">
            <v>29577</v>
          </cell>
        </row>
        <row r="11">
          <cell r="B11" t="str">
            <v>USA</v>
          </cell>
          <cell r="C11">
            <v>430</v>
          </cell>
          <cell r="D11">
            <v>3940</v>
          </cell>
          <cell r="E11">
            <v>448</v>
          </cell>
          <cell r="F11">
            <v>2655</v>
          </cell>
          <cell r="G11">
            <v>504</v>
          </cell>
          <cell r="H11">
            <v>1911</v>
          </cell>
          <cell r="I11">
            <v>500</v>
          </cell>
          <cell r="J11">
            <v>1358</v>
          </cell>
          <cell r="K11">
            <v>624</v>
          </cell>
          <cell r="L11">
            <v>742</v>
          </cell>
          <cell r="M11">
            <v>2506</v>
          </cell>
          <cell r="N11">
            <v>10606</v>
          </cell>
        </row>
        <row r="12">
          <cell r="B12" t="str">
            <v>AUS</v>
          </cell>
          <cell r="C12">
            <v>402</v>
          </cell>
          <cell r="D12">
            <v>4423</v>
          </cell>
          <cell r="E12">
            <v>445</v>
          </cell>
          <cell r="F12">
            <v>3544</v>
          </cell>
          <cell r="G12">
            <v>461</v>
          </cell>
          <cell r="H12">
            <v>2752</v>
          </cell>
          <cell r="I12">
            <v>481</v>
          </cell>
          <cell r="J12">
            <v>1440</v>
          </cell>
          <cell r="K12">
            <v>522</v>
          </cell>
          <cell r="L12">
            <v>686</v>
          </cell>
          <cell r="M12">
            <v>2311</v>
          </cell>
          <cell r="N12">
            <v>12845</v>
          </cell>
        </row>
        <row r="13">
          <cell r="B13" t="str">
            <v>UCV</v>
          </cell>
          <cell r="C13">
            <v>303</v>
          </cell>
          <cell r="D13">
            <v>2376</v>
          </cell>
          <cell r="E13">
            <v>375</v>
          </cell>
          <cell r="F13">
            <v>2334</v>
          </cell>
          <cell r="G13">
            <v>462</v>
          </cell>
          <cell r="H13">
            <v>2362</v>
          </cell>
          <cell r="I13">
            <v>526</v>
          </cell>
          <cell r="J13">
            <v>1348</v>
          </cell>
          <cell r="K13">
            <v>619</v>
          </cell>
          <cell r="L13">
            <v>596</v>
          </cell>
          <cell r="M13">
            <v>2285</v>
          </cell>
          <cell r="N13">
            <v>9016</v>
          </cell>
        </row>
        <row r="14">
          <cell r="B14" t="str">
            <v>FRO</v>
          </cell>
          <cell r="C14">
            <v>300</v>
          </cell>
          <cell r="D14">
            <v>2066</v>
          </cell>
          <cell r="E14">
            <v>304</v>
          </cell>
          <cell r="F14">
            <v>2576</v>
          </cell>
          <cell r="G14">
            <v>376</v>
          </cell>
          <cell r="H14">
            <v>2711</v>
          </cell>
          <cell r="I14">
            <v>440</v>
          </cell>
          <cell r="J14">
            <v>1388</v>
          </cell>
          <cell r="K14">
            <v>457</v>
          </cell>
          <cell r="L14">
            <v>585</v>
          </cell>
          <cell r="M14">
            <v>1877</v>
          </cell>
          <cell r="N14">
            <v>9326</v>
          </cell>
        </row>
        <row r="15">
          <cell r="B15" t="str">
            <v>UVA</v>
          </cell>
          <cell r="C15">
            <v>274</v>
          </cell>
          <cell r="D15">
            <v>5343</v>
          </cell>
          <cell r="E15">
            <v>283</v>
          </cell>
          <cell r="F15">
            <v>2353</v>
          </cell>
          <cell r="G15">
            <v>339</v>
          </cell>
          <cell r="H15">
            <v>2033</v>
          </cell>
          <cell r="I15">
            <v>370</v>
          </cell>
          <cell r="J15">
            <v>1476</v>
          </cell>
          <cell r="K15">
            <v>399</v>
          </cell>
          <cell r="L15">
            <v>741</v>
          </cell>
          <cell r="M15">
            <v>1665</v>
          </cell>
          <cell r="N15">
            <v>11946</v>
          </cell>
        </row>
        <row r="16">
          <cell r="B16" t="str">
            <v>TAL</v>
          </cell>
          <cell r="C16">
            <v>209</v>
          </cell>
          <cell r="D16">
            <v>1379</v>
          </cell>
          <cell r="E16">
            <v>292</v>
          </cell>
          <cell r="F16">
            <v>1957</v>
          </cell>
          <cell r="G16">
            <v>307</v>
          </cell>
          <cell r="H16">
            <v>1370</v>
          </cell>
          <cell r="I16">
            <v>365</v>
          </cell>
          <cell r="J16">
            <v>994</v>
          </cell>
          <cell r="K16">
            <v>377</v>
          </cell>
          <cell r="L16">
            <v>344</v>
          </cell>
          <cell r="M16">
            <v>1550</v>
          </cell>
          <cell r="N16">
            <v>6044</v>
          </cell>
        </row>
        <row r="17">
          <cell r="B17" t="str">
            <v>UCN</v>
          </cell>
          <cell r="C17">
            <v>264</v>
          </cell>
          <cell r="D17">
            <v>2093</v>
          </cell>
          <cell r="E17">
            <v>265</v>
          </cell>
          <cell r="F17">
            <v>1728</v>
          </cell>
          <cell r="G17">
            <v>302</v>
          </cell>
          <cell r="H17">
            <v>1476</v>
          </cell>
          <cell r="I17">
            <v>329</v>
          </cell>
          <cell r="J17">
            <v>841</v>
          </cell>
          <cell r="K17">
            <v>305</v>
          </cell>
          <cell r="L17">
            <v>275</v>
          </cell>
          <cell r="M17">
            <v>1465</v>
          </cell>
          <cell r="N17">
            <v>6413</v>
          </cell>
        </row>
        <row r="18">
          <cell r="B18" t="str">
            <v>UTA</v>
          </cell>
          <cell r="C18">
            <v>131</v>
          </cell>
          <cell r="D18">
            <v>1235</v>
          </cell>
          <cell r="E18">
            <v>167</v>
          </cell>
          <cell r="F18">
            <v>877</v>
          </cell>
          <cell r="G18">
            <v>199</v>
          </cell>
          <cell r="H18">
            <v>912</v>
          </cell>
          <cell r="I18">
            <v>200</v>
          </cell>
          <cell r="J18">
            <v>482</v>
          </cell>
          <cell r="K18">
            <v>203</v>
          </cell>
          <cell r="L18">
            <v>173</v>
          </cell>
          <cell r="M18">
            <v>900</v>
          </cell>
          <cell r="N18">
            <v>3679</v>
          </cell>
        </row>
        <row r="19">
          <cell r="B19" t="str">
            <v>UBB</v>
          </cell>
          <cell r="C19">
            <v>142</v>
          </cell>
          <cell r="D19">
            <v>1030</v>
          </cell>
          <cell r="E19">
            <v>147</v>
          </cell>
          <cell r="F19">
            <v>704</v>
          </cell>
          <cell r="G19">
            <v>169</v>
          </cell>
          <cell r="H19">
            <v>604</v>
          </cell>
          <cell r="I19">
            <v>184</v>
          </cell>
          <cell r="J19">
            <v>310</v>
          </cell>
          <cell r="K19">
            <v>227</v>
          </cell>
          <cell r="L19">
            <v>202</v>
          </cell>
          <cell r="M19">
            <v>869</v>
          </cell>
          <cell r="N19">
            <v>2850</v>
          </cell>
        </row>
        <row r="20">
          <cell r="B20" t="str">
            <v>ANT</v>
          </cell>
          <cell r="C20">
            <v>110</v>
          </cell>
          <cell r="D20">
            <v>684</v>
          </cell>
          <cell r="E20">
            <v>109</v>
          </cell>
          <cell r="F20">
            <v>781</v>
          </cell>
          <cell r="G20">
            <v>131</v>
          </cell>
          <cell r="H20">
            <v>708</v>
          </cell>
          <cell r="I20">
            <v>154</v>
          </cell>
          <cell r="J20">
            <v>679</v>
          </cell>
          <cell r="K20">
            <v>191</v>
          </cell>
          <cell r="L20">
            <v>388</v>
          </cell>
          <cell r="M20">
            <v>695</v>
          </cell>
          <cell r="N20">
            <v>3240</v>
          </cell>
        </row>
        <row r="21">
          <cell r="B21" t="str">
            <v>ULS</v>
          </cell>
          <cell r="C21">
            <v>110</v>
          </cell>
          <cell r="D21">
            <v>1678</v>
          </cell>
          <cell r="E21">
            <v>97</v>
          </cell>
          <cell r="F21">
            <v>703</v>
          </cell>
          <cell r="G21">
            <v>109</v>
          </cell>
          <cell r="H21">
            <v>633</v>
          </cell>
          <cell r="I21">
            <v>113</v>
          </cell>
          <cell r="J21">
            <v>343</v>
          </cell>
          <cell r="K21">
            <v>129</v>
          </cell>
          <cell r="L21">
            <v>200</v>
          </cell>
          <cell r="M21">
            <v>558</v>
          </cell>
          <cell r="N21">
            <v>3557</v>
          </cell>
        </row>
        <row r="22">
          <cell r="B22" t="str">
            <v>UCT</v>
          </cell>
          <cell r="C22">
            <v>86</v>
          </cell>
          <cell r="D22">
            <v>378</v>
          </cell>
          <cell r="E22">
            <v>92</v>
          </cell>
          <cell r="F22">
            <v>320</v>
          </cell>
          <cell r="G22">
            <v>98</v>
          </cell>
          <cell r="H22">
            <v>248</v>
          </cell>
          <cell r="I22">
            <v>119</v>
          </cell>
          <cell r="J22">
            <v>262</v>
          </cell>
          <cell r="K22">
            <v>121</v>
          </cell>
          <cell r="L22">
            <v>88</v>
          </cell>
          <cell r="M22">
            <v>516</v>
          </cell>
          <cell r="N22">
            <v>1296</v>
          </cell>
        </row>
        <row r="23">
          <cell r="B23" t="str">
            <v>ULA</v>
          </cell>
          <cell r="C23">
            <v>66</v>
          </cell>
          <cell r="D23">
            <v>375</v>
          </cell>
          <cell r="E23">
            <v>55</v>
          </cell>
          <cell r="F23">
            <v>332</v>
          </cell>
          <cell r="G23">
            <v>69</v>
          </cell>
          <cell r="H23">
            <v>282</v>
          </cell>
          <cell r="I23">
            <v>90</v>
          </cell>
          <cell r="J23">
            <v>183</v>
          </cell>
          <cell r="K23">
            <v>101</v>
          </cell>
          <cell r="L23">
            <v>93</v>
          </cell>
          <cell r="M23">
            <v>381</v>
          </cell>
          <cell r="N23">
            <v>1265</v>
          </cell>
        </row>
        <row r="24">
          <cell r="B24" t="str">
            <v>USC</v>
          </cell>
          <cell r="C24">
            <v>65</v>
          </cell>
          <cell r="D24">
            <v>412</v>
          </cell>
          <cell r="E24">
            <v>60</v>
          </cell>
          <cell r="F24">
            <v>202</v>
          </cell>
          <cell r="G24">
            <v>66</v>
          </cell>
          <cell r="H24">
            <v>221</v>
          </cell>
          <cell r="I24">
            <v>83</v>
          </cell>
          <cell r="J24">
            <v>115</v>
          </cell>
          <cell r="K24">
            <v>95</v>
          </cell>
          <cell r="L24">
            <v>105</v>
          </cell>
          <cell r="M24">
            <v>369</v>
          </cell>
          <cell r="N24">
            <v>1055</v>
          </cell>
        </row>
        <row r="25">
          <cell r="B25" t="str">
            <v>UCM</v>
          </cell>
          <cell r="C25">
            <v>72</v>
          </cell>
          <cell r="D25">
            <v>358</v>
          </cell>
          <cell r="E25">
            <v>68</v>
          </cell>
          <cell r="F25">
            <v>478</v>
          </cell>
          <cell r="G25">
            <v>70</v>
          </cell>
          <cell r="H25">
            <v>327</v>
          </cell>
          <cell r="I25">
            <v>67</v>
          </cell>
          <cell r="J25">
            <v>115</v>
          </cell>
          <cell r="K25">
            <v>83</v>
          </cell>
          <cell r="L25">
            <v>45</v>
          </cell>
          <cell r="M25">
            <v>360</v>
          </cell>
          <cell r="N25">
            <v>1323</v>
          </cell>
        </row>
        <row r="26">
          <cell r="B26" t="str">
            <v>MAG</v>
          </cell>
          <cell r="C26">
            <v>49</v>
          </cell>
          <cell r="D26">
            <v>304</v>
          </cell>
          <cell r="E26">
            <v>33</v>
          </cell>
          <cell r="F26">
            <v>120</v>
          </cell>
          <cell r="G26">
            <v>63</v>
          </cell>
          <cell r="H26">
            <v>254</v>
          </cell>
          <cell r="I26">
            <v>87</v>
          </cell>
          <cell r="J26">
            <v>297</v>
          </cell>
          <cell r="K26">
            <v>118</v>
          </cell>
          <cell r="L26">
            <v>180</v>
          </cell>
          <cell r="M26">
            <v>350</v>
          </cell>
          <cell r="N26">
            <v>1155</v>
          </cell>
        </row>
        <row r="27">
          <cell r="B27" t="str">
            <v>UPA</v>
          </cell>
          <cell r="C27">
            <v>18</v>
          </cell>
          <cell r="D27">
            <v>120</v>
          </cell>
          <cell r="E27">
            <v>32</v>
          </cell>
          <cell r="F27">
            <v>94</v>
          </cell>
          <cell r="G27">
            <v>67</v>
          </cell>
          <cell r="H27">
            <v>144</v>
          </cell>
          <cell r="I27">
            <v>113</v>
          </cell>
          <cell r="J27">
            <v>226</v>
          </cell>
          <cell r="K27">
            <v>103</v>
          </cell>
          <cell r="L27">
            <v>55</v>
          </cell>
          <cell r="M27">
            <v>333</v>
          </cell>
          <cell r="N27">
            <v>639</v>
          </cell>
        </row>
        <row r="28">
          <cell r="B28" t="str">
            <v>UAP</v>
          </cell>
          <cell r="C28">
            <v>51</v>
          </cell>
          <cell r="D28">
            <v>529</v>
          </cell>
          <cell r="E28">
            <v>49</v>
          </cell>
          <cell r="F28">
            <v>441</v>
          </cell>
          <cell r="G28">
            <v>58</v>
          </cell>
          <cell r="H28">
            <v>141</v>
          </cell>
          <cell r="I28">
            <v>58</v>
          </cell>
          <cell r="J28">
            <v>144</v>
          </cell>
          <cell r="K28">
            <v>75</v>
          </cell>
          <cell r="L28">
            <v>58</v>
          </cell>
          <cell r="M28">
            <v>291</v>
          </cell>
          <cell r="N28">
            <v>1313</v>
          </cell>
        </row>
        <row r="29">
          <cell r="B29" t="str">
            <v>UMC</v>
          </cell>
          <cell r="C29">
            <v>38</v>
          </cell>
          <cell r="D29">
            <v>150</v>
          </cell>
          <cell r="E29">
            <v>40</v>
          </cell>
          <cell r="F29">
            <v>238</v>
          </cell>
          <cell r="G29">
            <v>46</v>
          </cell>
          <cell r="H29">
            <v>78</v>
          </cell>
          <cell r="I29">
            <v>72</v>
          </cell>
          <cell r="J29">
            <v>186</v>
          </cell>
          <cell r="K29">
            <v>75</v>
          </cell>
          <cell r="L29">
            <v>21</v>
          </cell>
          <cell r="M29">
            <v>271</v>
          </cell>
          <cell r="N29">
            <v>673</v>
          </cell>
        </row>
        <row r="30">
          <cell r="B30" t="str">
            <v>ATA</v>
          </cell>
          <cell r="C30">
            <v>17</v>
          </cell>
          <cell r="D30">
            <v>77</v>
          </cell>
          <cell r="E30">
            <v>19</v>
          </cell>
          <cell r="F30">
            <v>75</v>
          </cell>
          <cell r="G30">
            <v>28</v>
          </cell>
          <cell r="H30">
            <v>102</v>
          </cell>
          <cell r="I30">
            <v>27</v>
          </cell>
          <cell r="J30">
            <v>63</v>
          </cell>
          <cell r="K30">
            <v>51</v>
          </cell>
          <cell r="L30">
            <v>75</v>
          </cell>
          <cell r="M30">
            <v>142</v>
          </cell>
          <cell r="N30">
            <v>392</v>
          </cell>
        </row>
        <row r="31">
          <cell r="B31" t="str">
            <v>UTM</v>
          </cell>
          <cell r="C31">
            <v>8</v>
          </cell>
          <cell r="D31">
            <v>48</v>
          </cell>
          <cell r="E31">
            <v>17</v>
          </cell>
          <cell r="F31">
            <v>267</v>
          </cell>
          <cell r="G31">
            <v>10</v>
          </cell>
          <cell r="H31">
            <v>28</v>
          </cell>
          <cell r="I31">
            <v>20</v>
          </cell>
          <cell r="J31">
            <v>35</v>
          </cell>
          <cell r="K31">
            <v>36</v>
          </cell>
          <cell r="L31">
            <v>17</v>
          </cell>
          <cell r="M31">
            <v>91</v>
          </cell>
          <cell r="N31">
            <v>395</v>
          </cell>
        </row>
        <row r="36">
          <cell r="B36" t="str">
            <v>UAB</v>
          </cell>
          <cell r="C36">
            <v>316</v>
          </cell>
          <cell r="D36">
            <v>3511</v>
          </cell>
          <cell r="E36">
            <v>377</v>
          </cell>
          <cell r="F36">
            <v>4448</v>
          </cell>
          <cell r="G36">
            <v>480</v>
          </cell>
          <cell r="H36">
            <v>3561</v>
          </cell>
          <cell r="I36">
            <v>502</v>
          </cell>
          <cell r="J36">
            <v>2105</v>
          </cell>
          <cell r="K36">
            <v>525</v>
          </cell>
          <cell r="L36">
            <v>1046</v>
          </cell>
        </row>
        <row r="37">
          <cell r="B37" t="str">
            <v>UDP</v>
          </cell>
          <cell r="C37">
            <v>159</v>
          </cell>
          <cell r="D37">
            <v>6</v>
          </cell>
          <cell r="E37">
            <v>185</v>
          </cell>
          <cell r="F37">
            <v>7</v>
          </cell>
          <cell r="G37">
            <v>257</v>
          </cell>
          <cell r="H37">
            <v>57</v>
          </cell>
          <cell r="I37">
            <v>356</v>
          </cell>
          <cell r="J37">
            <v>88</v>
          </cell>
          <cell r="K37">
            <v>264</v>
          </cell>
          <cell r="L37">
            <v>850</v>
          </cell>
        </row>
        <row r="38">
          <cell r="B38" t="str">
            <v>UAU</v>
          </cell>
          <cell r="C38">
            <v>31</v>
          </cell>
          <cell r="D38">
            <v>145</v>
          </cell>
          <cell r="E38">
            <v>97</v>
          </cell>
          <cell r="F38">
            <v>465</v>
          </cell>
          <cell r="G38">
            <v>239</v>
          </cell>
          <cell r="H38">
            <v>863</v>
          </cell>
          <cell r="I38">
            <v>375</v>
          </cell>
          <cell r="J38">
            <v>1317</v>
          </cell>
          <cell r="K38">
            <v>351</v>
          </cell>
          <cell r="L38">
            <v>386</v>
          </cell>
        </row>
        <row r="39">
          <cell r="B39" t="str">
            <v>UDD</v>
          </cell>
          <cell r="C39">
            <v>145</v>
          </cell>
          <cell r="D39">
            <v>1127</v>
          </cell>
          <cell r="E39">
            <v>167</v>
          </cell>
          <cell r="F39">
            <v>1554</v>
          </cell>
          <cell r="G39">
            <v>200</v>
          </cell>
          <cell r="H39">
            <v>1153</v>
          </cell>
          <cell r="I39">
            <v>213</v>
          </cell>
          <cell r="J39">
            <v>2966</v>
          </cell>
          <cell r="K39">
            <v>206</v>
          </cell>
          <cell r="L39">
            <v>400</v>
          </cell>
        </row>
        <row r="40">
          <cell r="B40" t="str">
            <v>UAN</v>
          </cell>
          <cell r="C40">
            <v>138</v>
          </cell>
          <cell r="D40">
            <v>1116</v>
          </cell>
          <cell r="E40">
            <v>142</v>
          </cell>
          <cell r="F40">
            <v>1204</v>
          </cell>
          <cell r="G40">
            <v>173</v>
          </cell>
          <cell r="H40">
            <v>1035</v>
          </cell>
          <cell r="I40">
            <v>207</v>
          </cell>
          <cell r="J40">
            <v>722</v>
          </cell>
          <cell r="K40">
            <v>201</v>
          </cell>
          <cell r="L40">
            <v>430</v>
          </cell>
        </row>
        <row r="41">
          <cell r="B41" t="str">
            <v>UAI</v>
          </cell>
          <cell r="C41">
            <v>89</v>
          </cell>
          <cell r="D41">
            <v>743</v>
          </cell>
          <cell r="E41">
            <v>99</v>
          </cell>
          <cell r="F41">
            <v>907</v>
          </cell>
          <cell r="G41">
            <v>131</v>
          </cell>
          <cell r="H41">
            <v>576</v>
          </cell>
          <cell r="I41">
            <v>162</v>
          </cell>
          <cell r="J41">
            <v>371</v>
          </cell>
          <cell r="K41">
            <v>212</v>
          </cell>
          <cell r="L41">
            <v>354</v>
          </cell>
        </row>
        <row r="42">
          <cell r="B42">
            <v>0</v>
          </cell>
          <cell r="C42">
            <v>13</v>
          </cell>
          <cell r="D42">
            <v>81</v>
          </cell>
          <cell r="E42">
            <v>32</v>
          </cell>
          <cell r="F42">
            <v>256</v>
          </cell>
          <cell r="G42">
            <v>77</v>
          </cell>
          <cell r="H42">
            <v>402</v>
          </cell>
          <cell r="I42">
            <v>201</v>
          </cell>
          <cell r="J42">
            <v>405</v>
          </cell>
          <cell r="K42">
            <v>206</v>
          </cell>
          <cell r="L42">
            <v>171</v>
          </cell>
        </row>
        <row r="43">
          <cell r="B43" t="str">
            <v>UAH</v>
          </cell>
          <cell r="C43">
            <v>38</v>
          </cell>
          <cell r="D43">
            <v>79</v>
          </cell>
          <cell r="E43">
            <v>75</v>
          </cell>
          <cell r="F43">
            <v>120</v>
          </cell>
          <cell r="G43">
            <v>78</v>
          </cell>
          <cell r="H43">
            <v>107</v>
          </cell>
          <cell r="I43">
            <v>75</v>
          </cell>
          <cell r="J43">
            <v>83</v>
          </cell>
          <cell r="K43">
            <v>92</v>
          </cell>
          <cell r="L43">
            <v>22</v>
          </cell>
        </row>
        <row r="44">
          <cell r="B44" t="str">
            <v>UST</v>
          </cell>
          <cell r="C44">
            <v>39</v>
          </cell>
          <cell r="D44">
            <v>397</v>
          </cell>
          <cell r="E44">
            <v>46</v>
          </cell>
          <cell r="F44">
            <v>835</v>
          </cell>
          <cell r="G44">
            <v>73</v>
          </cell>
          <cell r="H44">
            <v>360</v>
          </cell>
          <cell r="I44">
            <v>101</v>
          </cell>
          <cell r="J44">
            <v>210</v>
          </cell>
          <cell r="K44">
            <v>94</v>
          </cell>
          <cell r="L44">
            <v>85</v>
          </cell>
        </row>
        <row r="45">
          <cell r="B45" t="str">
            <v>UMA</v>
          </cell>
          <cell r="C45">
            <v>43</v>
          </cell>
          <cell r="D45">
            <v>169</v>
          </cell>
          <cell r="E45">
            <v>44</v>
          </cell>
          <cell r="F45">
            <v>178</v>
          </cell>
          <cell r="G45">
            <v>55</v>
          </cell>
          <cell r="H45">
            <v>329</v>
          </cell>
          <cell r="I45">
            <v>71</v>
          </cell>
          <cell r="J45">
            <v>249</v>
          </cell>
          <cell r="K45">
            <v>73</v>
          </cell>
          <cell r="L45">
            <v>110</v>
          </cell>
        </row>
        <row r="46">
          <cell r="B46" t="str">
            <v>UFT</v>
          </cell>
          <cell r="C46">
            <v>13</v>
          </cell>
          <cell r="D46">
            <v>67</v>
          </cell>
          <cell r="E46">
            <v>49</v>
          </cell>
          <cell r="F46">
            <v>241</v>
          </cell>
          <cell r="G46">
            <v>58</v>
          </cell>
          <cell r="H46">
            <v>262</v>
          </cell>
          <cell r="I46">
            <v>95</v>
          </cell>
          <cell r="J46">
            <v>233</v>
          </cell>
          <cell r="K46">
            <v>42</v>
          </cell>
          <cell r="L46">
            <v>32</v>
          </cell>
        </row>
        <row r="47">
          <cell r="B47" t="str">
            <v>UCE</v>
          </cell>
          <cell r="C47">
            <v>24</v>
          </cell>
          <cell r="D47">
            <v>107</v>
          </cell>
          <cell r="E47">
            <v>31</v>
          </cell>
          <cell r="F47">
            <v>170</v>
          </cell>
          <cell r="G47">
            <v>26</v>
          </cell>
          <cell r="H47">
            <v>80</v>
          </cell>
          <cell r="I47">
            <v>69</v>
          </cell>
          <cell r="J47">
            <v>151</v>
          </cell>
          <cell r="K47">
            <v>91</v>
          </cell>
          <cell r="L47">
            <v>27</v>
          </cell>
        </row>
        <row r="48">
          <cell r="B48">
            <v>0</v>
          </cell>
          <cell r="C48">
            <v>7</v>
          </cell>
          <cell r="D48">
            <v>30</v>
          </cell>
          <cell r="E48">
            <v>11</v>
          </cell>
          <cell r="F48">
            <v>15</v>
          </cell>
          <cell r="G48">
            <v>39</v>
          </cell>
          <cell r="H48">
            <v>174</v>
          </cell>
          <cell r="I48">
            <v>56</v>
          </cell>
          <cell r="J48">
            <v>113</v>
          </cell>
          <cell r="K48">
            <v>63</v>
          </cell>
          <cell r="L48">
            <v>72</v>
          </cell>
        </row>
        <row r="49">
          <cell r="B49" t="str">
            <v>UCS</v>
          </cell>
          <cell r="C49">
            <v>10</v>
          </cell>
          <cell r="D49">
            <v>4</v>
          </cell>
          <cell r="E49">
            <v>23</v>
          </cell>
          <cell r="F49">
            <v>35</v>
          </cell>
          <cell r="G49">
            <v>13</v>
          </cell>
          <cell r="H49">
            <v>19</v>
          </cell>
          <cell r="I49">
            <v>13</v>
          </cell>
          <cell r="J49">
            <v>16</v>
          </cell>
          <cell r="K49">
            <v>12</v>
          </cell>
          <cell r="L49">
            <v>3</v>
          </cell>
        </row>
        <row r="50">
          <cell r="B50" t="str">
            <v>AHC</v>
          </cell>
          <cell r="C50">
            <v>2</v>
          </cell>
          <cell r="D50">
            <v>6</v>
          </cell>
          <cell r="E50">
            <v>16</v>
          </cell>
          <cell r="F50">
            <v>22</v>
          </cell>
          <cell r="G50">
            <v>9</v>
          </cell>
          <cell r="H50">
            <v>5</v>
          </cell>
          <cell r="I50">
            <v>14</v>
          </cell>
          <cell r="J50">
            <v>12</v>
          </cell>
          <cell r="K50">
            <v>29</v>
          </cell>
          <cell r="L50">
            <v>3</v>
          </cell>
        </row>
        <row r="51">
          <cell r="B51" t="str">
            <v>UVM</v>
          </cell>
          <cell r="C51">
            <v>7</v>
          </cell>
          <cell r="D51">
            <v>8</v>
          </cell>
          <cell r="E51">
            <v>10</v>
          </cell>
          <cell r="F51">
            <v>41</v>
          </cell>
          <cell r="G51">
            <v>12</v>
          </cell>
          <cell r="H51">
            <v>24</v>
          </cell>
          <cell r="I51">
            <v>9</v>
          </cell>
          <cell r="J51">
            <v>5</v>
          </cell>
          <cell r="K51">
            <v>11</v>
          </cell>
          <cell r="L51">
            <v>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 a)"/>
      <sheetName val="Indicador b)"/>
      <sheetName val="Indicador b.1)"/>
      <sheetName val="Indicador c)"/>
      <sheetName val="Indicador c.1)"/>
      <sheetName val="Indicador g)"/>
      <sheetName val="Indicador h)"/>
      <sheetName val="Indicador i)"/>
      <sheetName val="Indicador i.1)"/>
      <sheetName val="Indicador j)"/>
    </sheetNames>
    <sheetDataSet>
      <sheetData sheetId="0">
        <row r="2">
          <cell r="D2">
            <v>0</v>
          </cell>
          <cell r="E2" t="str">
            <v>NO</v>
          </cell>
          <cell r="F2">
            <v>22</v>
          </cell>
          <cell r="G2">
            <v>982</v>
          </cell>
        </row>
        <row r="3">
          <cell r="D3" t="str">
            <v>UFT</v>
          </cell>
          <cell r="E3" t="str">
            <v>Sí</v>
          </cell>
          <cell r="F3">
            <v>109</v>
          </cell>
          <cell r="G3">
            <v>8145</v>
          </cell>
        </row>
        <row r="4">
          <cell r="D4" t="str">
            <v>UDP</v>
          </cell>
          <cell r="E4" t="str">
            <v>Sí</v>
          </cell>
          <cell r="F4">
            <v>317</v>
          </cell>
          <cell r="G4">
            <v>16901</v>
          </cell>
        </row>
        <row r="5">
          <cell r="D5" t="str">
            <v>UCE</v>
          </cell>
          <cell r="E5" t="str">
            <v>NO</v>
          </cell>
          <cell r="F5">
            <v>219</v>
          </cell>
          <cell r="G5">
            <v>12375</v>
          </cell>
        </row>
        <row r="6">
          <cell r="D6">
            <v>0</v>
          </cell>
          <cell r="E6" t="str">
            <v>NO</v>
          </cell>
          <cell r="F6">
            <v>28</v>
          </cell>
          <cell r="G6">
            <v>4618</v>
          </cell>
        </row>
        <row r="7">
          <cell r="D7">
            <v>0</v>
          </cell>
          <cell r="E7" t="str">
            <v>NO</v>
          </cell>
          <cell r="F7">
            <v>40</v>
          </cell>
          <cell r="G7">
            <v>7014</v>
          </cell>
        </row>
        <row r="8">
          <cell r="D8" t="str">
            <v>UMA</v>
          </cell>
          <cell r="E8" t="str">
            <v>NO</v>
          </cell>
          <cell r="F8">
            <v>464</v>
          </cell>
          <cell r="G8">
            <v>22308</v>
          </cell>
        </row>
        <row r="9">
          <cell r="D9" t="str">
            <v>AHC</v>
          </cell>
          <cell r="E9" t="str">
            <v>Sí</v>
          </cell>
          <cell r="F9">
            <v>39</v>
          </cell>
          <cell r="G9">
            <v>3699</v>
          </cell>
        </row>
        <row r="10">
          <cell r="D10" t="str">
            <v>UST</v>
          </cell>
          <cell r="E10" t="str">
            <v>NO</v>
          </cell>
          <cell r="F10">
            <v>447</v>
          </cell>
          <cell r="G10">
            <v>30195</v>
          </cell>
        </row>
        <row r="11">
          <cell r="D11">
            <v>0</v>
          </cell>
          <cell r="E11" t="str">
            <v>NO</v>
          </cell>
          <cell r="F11">
            <v>64</v>
          </cell>
          <cell r="G11">
            <v>4914</v>
          </cell>
        </row>
        <row r="12">
          <cell r="D12">
            <v>0</v>
          </cell>
          <cell r="E12" t="str">
            <v>NO</v>
          </cell>
          <cell r="F12">
            <v>60</v>
          </cell>
          <cell r="G12">
            <v>5655</v>
          </cell>
        </row>
        <row r="13">
          <cell r="D13">
            <v>0</v>
          </cell>
          <cell r="E13" t="str">
            <v>NO</v>
          </cell>
          <cell r="F13">
            <v>524</v>
          </cell>
          <cell r="G13">
            <v>24400</v>
          </cell>
        </row>
        <row r="14">
          <cell r="D14" t="str">
            <v>UAB</v>
          </cell>
          <cell r="E14" t="str">
            <v>NO</v>
          </cell>
          <cell r="F14">
            <v>903</v>
          </cell>
          <cell r="G14">
            <v>46804</v>
          </cell>
        </row>
        <row r="15">
          <cell r="D15" t="str">
            <v>UVM</v>
          </cell>
          <cell r="E15" t="str">
            <v>NO</v>
          </cell>
          <cell r="F15">
            <v>177</v>
          </cell>
          <cell r="G15">
            <v>9035</v>
          </cell>
        </row>
        <row r="16">
          <cell r="D16" t="str">
            <v>UAI</v>
          </cell>
          <cell r="E16" t="str">
            <v>NO</v>
          </cell>
          <cell r="F16">
            <v>273</v>
          </cell>
          <cell r="G16">
            <v>11496</v>
          </cell>
        </row>
        <row r="17">
          <cell r="D17" t="str">
            <v>UIB</v>
          </cell>
          <cell r="E17" t="str">
            <v>NO</v>
          </cell>
          <cell r="F17">
            <v>91</v>
          </cell>
          <cell r="G17">
            <v>2667</v>
          </cell>
        </row>
        <row r="18">
          <cell r="D18">
            <v>0</v>
          </cell>
          <cell r="E18" t="str">
            <v>NO</v>
          </cell>
          <cell r="F18">
            <v>41</v>
          </cell>
          <cell r="G18">
            <v>4130</v>
          </cell>
        </row>
        <row r="19">
          <cell r="D19">
            <v>0</v>
          </cell>
          <cell r="E19" t="str">
            <v>NO</v>
          </cell>
          <cell r="F19">
            <v>7</v>
          </cell>
          <cell r="G19">
            <v>168</v>
          </cell>
        </row>
        <row r="20">
          <cell r="D20">
            <v>0</v>
          </cell>
          <cell r="E20" t="str">
            <v>NO</v>
          </cell>
          <cell r="F20">
            <v>28</v>
          </cell>
          <cell r="G20">
            <v>2855</v>
          </cell>
        </row>
        <row r="21">
          <cell r="D21" t="str">
            <v>UAU</v>
          </cell>
          <cell r="E21" t="str">
            <v>Sí</v>
          </cell>
          <cell r="F21">
            <v>434</v>
          </cell>
          <cell r="G21">
            <v>22236</v>
          </cell>
        </row>
        <row r="22">
          <cell r="D22" t="str">
            <v>UAN</v>
          </cell>
          <cell r="E22" t="str">
            <v>NO</v>
          </cell>
          <cell r="F22">
            <v>185</v>
          </cell>
          <cell r="G22">
            <v>8625</v>
          </cell>
        </row>
        <row r="23">
          <cell r="D23">
            <v>0</v>
          </cell>
          <cell r="E23" t="str">
            <v>NO</v>
          </cell>
          <cell r="F23">
            <v>83</v>
          </cell>
          <cell r="G23">
            <v>1954</v>
          </cell>
        </row>
        <row r="24">
          <cell r="D24" t="str">
            <v>USS</v>
          </cell>
          <cell r="E24" t="str">
            <v>NO</v>
          </cell>
          <cell r="F24">
            <v>655</v>
          </cell>
          <cell r="G24">
            <v>28425</v>
          </cell>
        </row>
        <row r="25">
          <cell r="D25">
            <v>0</v>
          </cell>
          <cell r="E25" t="str">
            <v>NO</v>
          </cell>
          <cell r="F25">
            <v>17</v>
          </cell>
          <cell r="G25">
            <v>926</v>
          </cell>
        </row>
        <row r="26">
          <cell r="D26" t="str">
            <v>UCS</v>
          </cell>
          <cell r="E26" t="str">
            <v>Sí</v>
          </cell>
          <cell r="F26">
            <v>38</v>
          </cell>
          <cell r="G26">
            <v>5955</v>
          </cell>
        </row>
        <row r="27">
          <cell r="D27" t="str">
            <v>UDD</v>
          </cell>
          <cell r="E27" t="str">
            <v>NO</v>
          </cell>
          <cell r="F27">
            <v>400</v>
          </cell>
          <cell r="G27">
            <v>16280</v>
          </cell>
        </row>
        <row r="28">
          <cell r="D28">
            <v>0</v>
          </cell>
          <cell r="E28" t="str">
            <v>NO</v>
          </cell>
          <cell r="F28">
            <v>16</v>
          </cell>
          <cell r="G28">
            <v>7178</v>
          </cell>
        </row>
        <row r="29">
          <cell r="D29" t="str">
            <v>UPO</v>
          </cell>
          <cell r="E29" t="str">
            <v>NO</v>
          </cell>
          <cell r="F29">
            <v>85</v>
          </cell>
          <cell r="G29">
            <v>3953</v>
          </cell>
        </row>
        <row r="30">
          <cell r="D30">
            <v>0</v>
          </cell>
          <cell r="E30" t="str">
            <v>NO</v>
          </cell>
          <cell r="F30">
            <v>8</v>
          </cell>
          <cell r="G30">
            <v>1973</v>
          </cell>
        </row>
        <row r="31">
          <cell r="D31" t="str">
            <v>UBO</v>
          </cell>
          <cell r="E31" t="str">
            <v>NO</v>
          </cell>
          <cell r="F31">
            <v>153</v>
          </cell>
          <cell r="G31">
            <v>5565</v>
          </cell>
        </row>
        <row r="32">
          <cell r="D32" t="str">
            <v>UTC</v>
          </cell>
          <cell r="E32" t="str">
            <v>NO</v>
          </cell>
          <cell r="F32">
            <v>12</v>
          </cell>
          <cell r="G32">
            <v>35366</v>
          </cell>
        </row>
        <row r="33">
          <cell r="D33">
            <v>0</v>
          </cell>
          <cell r="E33" t="str">
            <v>NO</v>
          </cell>
          <cell r="F33">
            <v>12</v>
          </cell>
          <cell r="G33">
            <v>1803</v>
          </cell>
        </row>
        <row r="34">
          <cell r="D34" t="str">
            <v>UAH</v>
          </cell>
          <cell r="E34" t="str">
            <v>Sí</v>
          </cell>
          <cell r="F34">
            <v>134</v>
          </cell>
          <cell r="G34">
            <v>7456</v>
          </cell>
        </row>
        <row r="35">
          <cell r="D35" t="str">
            <v>UCH</v>
          </cell>
          <cell r="E35" t="str">
            <v>Sí</v>
          </cell>
          <cell r="F35">
            <v>1522</v>
          </cell>
          <cell r="G35">
            <v>38687</v>
          </cell>
        </row>
        <row r="36">
          <cell r="D36" t="str">
            <v>USA</v>
          </cell>
          <cell r="E36" t="str">
            <v>Sí</v>
          </cell>
          <cell r="F36">
            <v>604</v>
          </cell>
          <cell r="G36">
            <v>23003</v>
          </cell>
        </row>
        <row r="37">
          <cell r="D37" t="str">
            <v>UVA</v>
          </cell>
          <cell r="E37" t="str">
            <v>Sí</v>
          </cell>
          <cell r="F37">
            <v>567</v>
          </cell>
          <cell r="G37">
            <v>16207</v>
          </cell>
        </row>
        <row r="38">
          <cell r="D38" t="str">
            <v>ANT</v>
          </cell>
          <cell r="E38" t="str">
            <v>Sí</v>
          </cell>
          <cell r="F38">
            <v>316</v>
          </cell>
          <cell r="G38">
            <v>7239</v>
          </cell>
        </row>
        <row r="39">
          <cell r="D39" t="str">
            <v>ULS</v>
          </cell>
          <cell r="E39" t="str">
            <v>Sí</v>
          </cell>
          <cell r="F39">
            <v>213</v>
          </cell>
          <cell r="G39">
            <v>7235</v>
          </cell>
        </row>
        <row r="40">
          <cell r="D40" t="str">
            <v>UBB</v>
          </cell>
          <cell r="E40" t="str">
            <v>Sí</v>
          </cell>
          <cell r="F40">
            <v>451</v>
          </cell>
          <cell r="G40">
            <v>12335</v>
          </cell>
        </row>
        <row r="41">
          <cell r="D41" t="str">
            <v>FRO</v>
          </cell>
          <cell r="E41" t="str">
            <v>Sí</v>
          </cell>
          <cell r="F41">
            <v>288</v>
          </cell>
          <cell r="G41">
            <v>10292</v>
          </cell>
        </row>
        <row r="42">
          <cell r="D42" t="str">
            <v>MAG</v>
          </cell>
          <cell r="E42" t="str">
            <v>Sí</v>
          </cell>
          <cell r="F42">
            <v>179</v>
          </cell>
          <cell r="G42">
            <v>4521</v>
          </cell>
        </row>
        <row r="43">
          <cell r="D43" t="str">
            <v>TAL</v>
          </cell>
          <cell r="E43" t="str">
            <v>Sí</v>
          </cell>
          <cell r="F43">
            <v>352</v>
          </cell>
          <cell r="G43">
            <v>10624</v>
          </cell>
        </row>
        <row r="44">
          <cell r="D44" t="str">
            <v>ATA</v>
          </cell>
          <cell r="E44" t="str">
            <v>Sí</v>
          </cell>
          <cell r="F44">
            <v>239</v>
          </cell>
          <cell r="G44">
            <v>6373</v>
          </cell>
        </row>
        <row r="45">
          <cell r="D45" t="str">
            <v>UTA</v>
          </cell>
          <cell r="E45" t="str">
            <v>Sí</v>
          </cell>
          <cell r="F45">
            <v>316</v>
          </cell>
          <cell r="G45">
            <v>8502</v>
          </cell>
        </row>
        <row r="46">
          <cell r="D46" t="str">
            <v>UAP</v>
          </cell>
          <cell r="E46" t="str">
            <v>Sí</v>
          </cell>
          <cell r="F46">
            <v>244</v>
          </cell>
          <cell r="G46">
            <v>13869</v>
          </cell>
        </row>
        <row r="47">
          <cell r="D47" t="str">
            <v>UMC</v>
          </cell>
          <cell r="E47" t="str">
            <v>Sí</v>
          </cell>
          <cell r="F47">
            <v>211</v>
          </cell>
          <cell r="G47">
            <v>4769</v>
          </cell>
        </row>
        <row r="48">
          <cell r="D48" t="str">
            <v>UPA</v>
          </cell>
          <cell r="E48" t="str">
            <v>Sí</v>
          </cell>
          <cell r="F48">
            <v>315</v>
          </cell>
          <cell r="G48">
            <v>8329</v>
          </cell>
        </row>
        <row r="49">
          <cell r="D49" t="str">
            <v>ULA</v>
          </cell>
          <cell r="E49" t="str">
            <v>Sí</v>
          </cell>
          <cell r="F49">
            <v>266</v>
          </cell>
          <cell r="G49">
            <v>9371</v>
          </cell>
        </row>
        <row r="50">
          <cell r="D50" t="str">
            <v>UTM</v>
          </cell>
          <cell r="E50" t="str">
            <v>Sí</v>
          </cell>
          <cell r="F50">
            <v>191</v>
          </cell>
          <cell r="G50">
            <v>8427</v>
          </cell>
        </row>
        <row r="51">
          <cell r="D51" t="str">
            <v>PUC</v>
          </cell>
          <cell r="E51" t="str">
            <v>Sí</v>
          </cell>
          <cell r="F51">
            <v>1547</v>
          </cell>
          <cell r="G51">
            <v>32795</v>
          </cell>
        </row>
        <row r="52">
          <cell r="D52" t="str">
            <v>UCO</v>
          </cell>
          <cell r="E52" t="str">
            <v>Sí</v>
          </cell>
          <cell r="F52">
            <v>1106</v>
          </cell>
          <cell r="G52">
            <v>27044</v>
          </cell>
        </row>
        <row r="53">
          <cell r="D53" t="str">
            <v>FSM</v>
          </cell>
          <cell r="E53" t="str">
            <v>Sí</v>
          </cell>
          <cell r="F53">
            <v>442</v>
          </cell>
          <cell r="G53">
            <v>19058</v>
          </cell>
        </row>
        <row r="54">
          <cell r="D54" t="str">
            <v>UCV</v>
          </cell>
          <cell r="E54" t="str">
            <v>Sí</v>
          </cell>
          <cell r="F54">
            <v>494</v>
          </cell>
          <cell r="G54">
            <v>15494</v>
          </cell>
        </row>
        <row r="55">
          <cell r="D55" t="str">
            <v>AUS</v>
          </cell>
          <cell r="E55" t="str">
            <v>Sí</v>
          </cell>
          <cell r="F55">
            <v>765</v>
          </cell>
          <cell r="G55">
            <v>14472</v>
          </cell>
        </row>
        <row r="56">
          <cell r="D56" t="str">
            <v>UCN</v>
          </cell>
          <cell r="E56" t="str">
            <v>Sí</v>
          </cell>
          <cell r="F56">
            <v>416</v>
          </cell>
          <cell r="G56">
            <v>10830</v>
          </cell>
        </row>
        <row r="57">
          <cell r="D57" t="str">
            <v>UCM</v>
          </cell>
          <cell r="E57" t="str">
            <v>Sí</v>
          </cell>
          <cell r="F57">
            <v>286</v>
          </cell>
          <cell r="G57">
            <v>7663</v>
          </cell>
        </row>
        <row r="58">
          <cell r="D58" t="str">
            <v>USC</v>
          </cell>
          <cell r="E58" t="str">
            <v>Sí</v>
          </cell>
          <cell r="F58">
            <v>283</v>
          </cell>
          <cell r="G58">
            <v>13985</v>
          </cell>
        </row>
        <row r="59">
          <cell r="D59" t="str">
            <v>UCT</v>
          </cell>
          <cell r="E59" t="str">
            <v>Sí</v>
          </cell>
          <cell r="F59">
            <v>310</v>
          </cell>
          <cell r="G59">
            <v>10282</v>
          </cell>
        </row>
        <row r="60">
          <cell r="D60">
            <v>0</v>
          </cell>
          <cell r="E60" t="str">
            <v>NO</v>
          </cell>
          <cell r="F60">
            <v>6</v>
          </cell>
          <cell r="G60">
            <v>416</v>
          </cell>
        </row>
      </sheetData>
      <sheetData sheetId="1">
        <row r="2">
          <cell r="D2">
            <v>0</v>
          </cell>
          <cell r="E2" t="str">
            <v>NO</v>
          </cell>
          <cell r="F2">
            <v>12.15</v>
          </cell>
          <cell r="G2">
            <v>56.903295454545507</v>
          </cell>
        </row>
        <row r="3">
          <cell r="D3" t="str">
            <v>UFT</v>
          </cell>
          <cell r="E3" t="str">
            <v>Sí</v>
          </cell>
          <cell r="F3">
            <v>38.217613174431833</v>
          </cell>
          <cell r="G3">
            <v>416.67761712547269</v>
          </cell>
        </row>
        <row r="4">
          <cell r="D4" t="str">
            <v>UDP</v>
          </cell>
          <cell r="E4" t="str">
            <v>Sí</v>
          </cell>
          <cell r="F4">
            <v>194.47113636363639</v>
          </cell>
          <cell r="G4">
            <v>653.40081664865022</v>
          </cell>
        </row>
        <row r="5">
          <cell r="D5" t="str">
            <v>UCE</v>
          </cell>
          <cell r="E5" t="str">
            <v>NO</v>
          </cell>
          <cell r="F5">
            <v>48.409090909090907</v>
          </cell>
          <cell r="G5">
            <v>424.06818181817908</v>
          </cell>
        </row>
        <row r="6">
          <cell r="D6">
            <v>0</v>
          </cell>
          <cell r="E6" t="str">
            <v>NO</v>
          </cell>
          <cell r="F6">
            <v>2.1363636363636362</v>
          </cell>
          <cell r="G6">
            <v>128.71954545454608</v>
          </cell>
        </row>
        <row r="7">
          <cell r="D7">
            <v>0</v>
          </cell>
          <cell r="E7" t="str">
            <v>NO</v>
          </cell>
          <cell r="F7">
            <v>7.0681818181818175</v>
          </cell>
          <cell r="G7">
            <v>320.65931818181588</v>
          </cell>
        </row>
        <row r="8">
          <cell r="D8" t="str">
            <v>UMA</v>
          </cell>
          <cell r="E8" t="str">
            <v>NO</v>
          </cell>
          <cell r="F8">
            <v>60.503452805909092</v>
          </cell>
          <cell r="G8">
            <v>1316.0549610945905</v>
          </cell>
        </row>
        <row r="9">
          <cell r="D9" t="str">
            <v>AHC</v>
          </cell>
          <cell r="E9" t="str">
            <v>Sí</v>
          </cell>
          <cell r="F9">
            <v>20.977272727272723</v>
          </cell>
          <cell r="G9">
            <v>117.63636363636408</v>
          </cell>
        </row>
        <row r="10">
          <cell r="D10" t="str">
            <v>UST</v>
          </cell>
          <cell r="E10" t="str">
            <v>NO</v>
          </cell>
          <cell r="F10">
            <v>83.45221590909081</v>
          </cell>
          <cell r="G10">
            <v>1124.9167943174791</v>
          </cell>
        </row>
        <row r="11">
          <cell r="D11">
            <v>0</v>
          </cell>
          <cell r="E11" t="str">
            <v>NO</v>
          </cell>
          <cell r="F11">
            <v>10.477272727272728</v>
          </cell>
          <cell r="G11">
            <v>174.72727272727209</v>
          </cell>
        </row>
        <row r="12">
          <cell r="D12">
            <v>0</v>
          </cell>
          <cell r="E12" t="str">
            <v>NO</v>
          </cell>
          <cell r="F12">
            <v>14.113636363636363</v>
          </cell>
          <cell r="G12">
            <v>140.88727272727218</v>
          </cell>
        </row>
        <row r="13">
          <cell r="D13">
            <v>0</v>
          </cell>
          <cell r="E13" t="str">
            <v>NO</v>
          </cell>
          <cell r="F13">
            <v>17.830909090909099</v>
          </cell>
          <cell r="G13">
            <v>980.20837121201862</v>
          </cell>
        </row>
        <row r="14">
          <cell r="D14" t="str">
            <v>UAB</v>
          </cell>
          <cell r="E14" t="str">
            <v>NO</v>
          </cell>
          <cell r="F14">
            <v>343.95454545454515</v>
          </cell>
          <cell r="G14">
            <v>1891.0939204545139</v>
          </cell>
        </row>
        <row r="15">
          <cell r="D15" t="str">
            <v>UVM</v>
          </cell>
          <cell r="E15" t="str">
            <v>NO</v>
          </cell>
          <cell r="F15">
            <v>24.955454545454554</v>
          </cell>
          <cell r="G15">
            <v>344.86026724699542</v>
          </cell>
        </row>
        <row r="16">
          <cell r="D16" t="str">
            <v>UAI</v>
          </cell>
          <cell r="E16" t="str">
            <v>NO</v>
          </cell>
          <cell r="F16">
            <v>197.31840909090988</v>
          </cell>
          <cell r="G16">
            <v>324.88772727273283</v>
          </cell>
        </row>
        <row r="17">
          <cell r="D17" t="str">
            <v>UIB</v>
          </cell>
          <cell r="E17" t="str">
            <v>NO</v>
          </cell>
          <cell r="F17">
            <v>8.6590909090909083</v>
          </cell>
          <cell r="G17">
            <v>170.31818181818207</v>
          </cell>
        </row>
        <row r="18">
          <cell r="D18">
            <v>0</v>
          </cell>
          <cell r="E18" t="str">
            <v>NO</v>
          </cell>
          <cell r="F18">
            <v>2.7431201156818181</v>
          </cell>
          <cell r="G18">
            <v>135.42805073299988</v>
          </cell>
        </row>
        <row r="19">
          <cell r="D19">
            <v>0</v>
          </cell>
          <cell r="E19" t="str">
            <v>NO</v>
          </cell>
          <cell r="F19">
            <v>0.59090909090909094</v>
          </cell>
          <cell r="G19">
            <v>20.217727272727263</v>
          </cell>
        </row>
        <row r="20">
          <cell r="D20">
            <v>0</v>
          </cell>
          <cell r="E20" t="str">
            <v>NO</v>
          </cell>
          <cell r="F20">
            <v>2.0318181818181822</v>
          </cell>
          <cell r="G20">
            <v>77.575227272727886</v>
          </cell>
        </row>
        <row r="21">
          <cell r="D21" t="str">
            <v>UAU</v>
          </cell>
          <cell r="E21" t="str">
            <v>Sí</v>
          </cell>
          <cell r="F21">
            <v>113.56818181818176</v>
          </cell>
          <cell r="G21">
            <v>857.93181818181006</v>
          </cell>
        </row>
        <row r="22">
          <cell r="D22" t="str">
            <v>UAN</v>
          </cell>
          <cell r="E22" t="str">
            <v>NO</v>
          </cell>
          <cell r="F22">
            <v>146.67068181818183</v>
          </cell>
          <cell r="G22">
            <v>573.50045454544284</v>
          </cell>
        </row>
        <row r="23">
          <cell r="D23">
            <v>0</v>
          </cell>
          <cell r="E23" t="str">
            <v>NO</v>
          </cell>
          <cell r="F23">
            <v>10.295454545454545</v>
          </cell>
          <cell r="G23">
            <v>129.38636363636368</v>
          </cell>
        </row>
        <row r="24">
          <cell r="D24" t="str">
            <v>USS</v>
          </cell>
          <cell r="E24" t="str">
            <v>NO</v>
          </cell>
          <cell r="F24">
            <v>102.7376325756816</v>
          </cell>
          <cell r="G24">
            <v>1699.7131756443441</v>
          </cell>
        </row>
        <row r="25">
          <cell r="D25">
            <v>0</v>
          </cell>
          <cell r="E25" t="str">
            <v>NO</v>
          </cell>
          <cell r="F25">
            <v>1.8420454545454543</v>
          </cell>
          <cell r="G25">
            <v>43.920380943409157</v>
          </cell>
        </row>
        <row r="26">
          <cell r="D26" t="str">
            <v>UCS</v>
          </cell>
          <cell r="E26" t="str">
            <v>Sí</v>
          </cell>
          <cell r="F26">
            <v>27.613636363636353</v>
          </cell>
          <cell r="G26">
            <v>280.22772727272559</v>
          </cell>
        </row>
        <row r="27">
          <cell r="D27" t="str">
            <v>UDD</v>
          </cell>
          <cell r="E27" t="str">
            <v>NO</v>
          </cell>
          <cell r="F27">
            <v>121.95613636363609</v>
          </cell>
          <cell r="G27">
            <v>1022.9347727272585</v>
          </cell>
        </row>
        <row r="28">
          <cell r="D28">
            <v>0</v>
          </cell>
          <cell r="E28" t="str">
            <v>NO</v>
          </cell>
          <cell r="F28">
            <v>1.0454545454545454</v>
          </cell>
          <cell r="G28">
            <v>187.60272727272786</v>
          </cell>
        </row>
        <row r="29">
          <cell r="D29" t="str">
            <v>UPO</v>
          </cell>
          <cell r="E29" t="str">
            <v>NO</v>
          </cell>
          <cell r="F29">
            <v>9.2352272727272737</v>
          </cell>
          <cell r="G29">
            <v>155.85982007574893</v>
          </cell>
        </row>
        <row r="30">
          <cell r="D30">
            <v>0</v>
          </cell>
          <cell r="E30" t="str">
            <v>NO</v>
          </cell>
          <cell r="F30">
            <v>0</v>
          </cell>
          <cell r="G30">
            <v>49.579090909090816</v>
          </cell>
        </row>
        <row r="31">
          <cell r="D31" t="str">
            <v>UBO</v>
          </cell>
          <cell r="E31" t="str">
            <v>NO</v>
          </cell>
          <cell r="F31">
            <v>42.960454545454546</v>
          </cell>
          <cell r="G31">
            <v>283.38001728431777</v>
          </cell>
        </row>
        <row r="32">
          <cell r="D32" t="str">
            <v>UTC</v>
          </cell>
          <cell r="E32" t="str">
            <v>NO</v>
          </cell>
          <cell r="F32">
            <v>6.4542269489562836</v>
          </cell>
          <cell r="G32">
            <v>833.06764626722975</v>
          </cell>
        </row>
        <row r="33">
          <cell r="D33">
            <v>0</v>
          </cell>
          <cell r="E33" t="str">
            <v>NO</v>
          </cell>
          <cell r="F33">
            <v>1.4545454545454546</v>
          </cell>
          <cell r="G33">
            <v>34.659090909090729</v>
          </cell>
        </row>
        <row r="34">
          <cell r="D34" t="str">
            <v>UAH</v>
          </cell>
          <cell r="E34" t="str">
            <v>Sí</v>
          </cell>
          <cell r="F34">
            <v>101.9573863636362</v>
          </cell>
          <cell r="G34">
            <v>225.42909090909353</v>
          </cell>
        </row>
        <row r="35">
          <cell r="D35" t="str">
            <v>UCH</v>
          </cell>
          <cell r="E35" t="str">
            <v>Sí</v>
          </cell>
          <cell r="F35">
            <v>1106.0574999999994</v>
          </cell>
          <cell r="G35">
            <v>2191.6145454544994</v>
          </cell>
        </row>
        <row r="36">
          <cell r="D36" t="str">
            <v>USA</v>
          </cell>
          <cell r="E36" t="str">
            <v>Sí</v>
          </cell>
          <cell r="F36">
            <v>442.61545454545433</v>
          </cell>
          <cell r="G36">
            <v>1074.8049206670617</v>
          </cell>
        </row>
        <row r="37">
          <cell r="D37" t="str">
            <v>UVA</v>
          </cell>
          <cell r="E37" t="str">
            <v>Sí</v>
          </cell>
          <cell r="F37">
            <v>219.48409090909092</v>
          </cell>
          <cell r="G37">
            <v>923.35325068871066</v>
          </cell>
        </row>
        <row r="38">
          <cell r="D38" t="str">
            <v>ANT</v>
          </cell>
          <cell r="E38" t="str">
            <v>Sí</v>
          </cell>
          <cell r="F38">
            <v>128.09090909090909</v>
          </cell>
          <cell r="G38">
            <v>380.80704545454535</v>
          </cell>
        </row>
        <row r="39">
          <cell r="D39" t="str">
            <v>ULS</v>
          </cell>
          <cell r="E39" t="str">
            <v>Sí</v>
          </cell>
          <cell r="F39">
            <v>102.29568181818183</v>
          </cell>
          <cell r="G39">
            <v>353.50022727272528</v>
          </cell>
        </row>
        <row r="40">
          <cell r="D40" t="str">
            <v>UBB</v>
          </cell>
          <cell r="E40" t="str">
            <v>Sí</v>
          </cell>
          <cell r="F40">
            <v>214.18181818181819</v>
          </cell>
          <cell r="G40">
            <v>506.97727272727258</v>
          </cell>
        </row>
        <row r="41">
          <cell r="D41" t="str">
            <v>FRO</v>
          </cell>
          <cell r="E41" t="str">
            <v>Sí</v>
          </cell>
          <cell r="F41">
            <v>185.04545454545456</v>
          </cell>
          <cell r="G41">
            <v>389.06840909090903</v>
          </cell>
        </row>
        <row r="42">
          <cell r="D42" t="str">
            <v>MAG</v>
          </cell>
          <cell r="E42" t="str">
            <v>Sí</v>
          </cell>
          <cell r="F42">
            <v>55.615000000000002</v>
          </cell>
          <cell r="G42">
            <v>265.12272747440812</v>
          </cell>
        </row>
        <row r="43">
          <cell r="D43" t="str">
            <v>TAL</v>
          </cell>
          <cell r="E43" t="str">
            <v>Sí</v>
          </cell>
          <cell r="F43">
            <v>219.47727272727272</v>
          </cell>
          <cell r="G43">
            <v>449.95499999999885</v>
          </cell>
        </row>
        <row r="44">
          <cell r="D44" t="str">
            <v>ATA</v>
          </cell>
          <cell r="E44" t="str">
            <v>Sí</v>
          </cell>
          <cell r="F44">
            <v>47.93181818181818</v>
          </cell>
          <cell r="G44">
            <v>261.18181818181813</v>
          </cell>
        </row>
        <row r="45">
          <cell r="D45" t="str">
            <v>UTA</v>
          </cell>
          <cell r="E45" t="str">
            <v>Sí</v>
          </cell>
          <cell r="F45">
            <v>119.5</v>
          </cell>
          <cell r="G45">
            <v>355.54545454545411</v>
          </cell>
        </row>
        <row r="46">
          <cell r="D46" t="str">
            <v>UAP</v>
          </cell>
          <cell r="E46" t="str">
            <v>Sí</v>
          </cell>
          <cell r="F46">
            <v>64.340909090909093</v>
          </cell>
          <cell r="G46">
            <v>443.13636363636192</v>
          </cell>
        </row>
        <row r="47">
          <cell r="D47" t="str">
            <v>UMC</v>
          </cell>
          <cell r="E47" t="str">
            <v>Sí</v>
          </cell>
          <cell r="F47">
            <v>70.92613636363636</v>
          </cell>
          <cell r="G47">
            <v>306.05306818181759</v>
          </cell>
        </row>
        <row r="48">
          <cell r="D48" t="str">
            <v>UPA</v>
          </cell>
          <cell r="E48" t="str">
            <v>Sí</v>
          </cell>
          <cell r="F48">
            <v>119.60045454545454</v>
          </cell>
          <cell r="G48">
            <v>452.82724370986261</v>
          </cell>
        </row>
        <row r="49">
          <cell r="D49" t="str">
            <v>ULA</v>
          </cell>
          <cell r="E49" t="str">
            <v>Sí</v>
          </cell>
          <cell r="F49">
            <v>78.65921409204546</v>
          </cell>
          <cell r="G49">
            <v>407.16585665401942</v>
          </cell>
        </row>
        <row r="50">
          <cell r="D50" t="str">
            <v>UTM</v>
          </cell>
          <cell r="E50" t="str">
            <v>Sí</v>
          </cell>
          <cell r="F50">
            <v>55.66477272727272</v>
          </cell>
          <cell r="G50">
            <v>299.57431818181692</v>
          </cell>
        </row>
        <row r="51">
          <cell r="D51" t="str">
            <v>PUC</v>
          </cell>
          <cell r="E51" t="str">
            <v>Sí</v>
          </cell>
          <cell r="F51">
            <v>1008.2046021222045</v>
          </cell>
          <cell r="G51">
            <v>2197.0455112130708</v>
          </cell>
        </row>
        <row r="52">
          <cell r="D52" t="str">
            <v>UCO</v>
          </cell>
          <cell r="E52" t="str">
            <v>Sí</v>
          </cell>
          <cell r="F52">
            <v>712.93181818181824</v>
          </cell>
          <cell r="G52">
            <v>1406.4775000000002</v>
          </cell>
        </row>
        <row r="53">
          <cell r="D53" t="str">
            <v>FSM</v>
          </cell>
          <cell r="E53" t="str">
            <v>Sí</v>
          </cell>
          <cell r="F53">
            <v>233.03176136363675</v>
          </cell>
          <cell r="G53">
            <v>689.78201954531869</v>
          </cell>
        </row>
        <row r="54">
          <cell r="D54" t="str">
            <v>UCV</v>
          </cell>
          <cell r="E54" t="str">
            <v>Sí</v>
          </cell>
          <cell r="F54">
            <v>363.26727272727271</v>
          </cell>
          <cell r="G54">
            <v>629.42090909092508</v>
          </cell>
        </row>
        <row r="55">
          <cell r="D55" t="str">
            <v>AUS</v>
          </cell>
          <cell r="E55" t="str">
            <v>Sí</v>
          </cell>
          <cell r="F55">
            <v>370.52272727272725</v>
          </cell>
          <cell r="G55">
            <v>983.18181818181677</v>
          </cell>
        </row>
        <row r="56">
          <cell r="D56" t="str">
            <v>UCN</v>
          </cell>
          <cell r="E56" t="str">
            <v>Sí</v>
          </cell>
          <cell r="F56">
            <v>197.81818181818181</v>
          </cell>
          <cell r="G56">
            <v>570.45454545454629</v>
          </cell>
        </row>
        <row r="57">
          <cell r="D57" t="str">
            <v>UCM</v>
          </cell>
          <cell r="E57" t="str">
            <v>Sí</v>
          </cell>
          <cell r="F57">
            <v>122</v>
          </cell>
          <cell r="G57">
            <v>393.49999999999864</v>
          </cell>
        </row>
        <row r="58">
          <cell r="D58" t="str">
            <v>USC</v>
          </cell>
          <cell r="E58" t="str">
            <v>Sí</v>
          </cell>
          <cell r="F58">
            <v>131.06818181818181</v>
          </cell>
          <cell r="G58">
            <v>581.02272727271691</v>
          </cell>
        </row>
        <row r="59">
          <cell r="D59" t="str">
            <v>UCT</v>
          </cell>
          <cell r="E59" t="str">
            <v>Sí</v>
          </cell>
          <cell r="F59">
            <v>141.48909090909092</v>
          </cell>
          <cell r="G59">
            <v>462.63207649113673</v>
          </cell>
        </row>
        <row r="60">
          <cell r="D60">
            <v>0</v>
          </cell>
          <cell r="E60" t="str">
            <v>NO</v>
          </cell>
          <cell r="F60">
            <v>1.4545454545454546</v>
          </cell>
          <cell r="G60">
            <v>16.954545454545471</v>
          </cell>
        </row>
      </sheetData>
      <sheetData sheetId="2"/>
      <sheetData sheetId="3">
        <row r="2">
          <cell r="D2">
            <v>0</v>
          </cell>
          <cell r="E2" t="str">
            <v>NO</v>
          </cell>
          <cell r="F2">
            <v>12.15</v>
          </cell>
          <cell r="G2">
            <v>22.016704545454544</v>
          </cell>
          <cell r="H2">
            <v>0.12045454545454545</v>
          </cell>
        </row>
        <row r="3">
          <cell r="D3" t="str">
            <v>UFT</v>
          </cell>
          <cell r="E3" t="str">
            <v>Sí</v>
          </cell>
          <cell r="F3">
            <v>38.217613174431804</v>
          </cell>
          <cell r="G3">
            <v>125.90916760265983</v>
          </cell>
          <cell r="H3">
            <v>50.356453184681833</v>
          </cell>
        </row>
        <row r="4">
          <cell r="D4" t="str">
            <v>UDP</v>
          </cell>
          <cell r="E4" t="str">
            <v>Sí</v>
          </cell>
          <cell r="F4">
            <v>194.47113636363619</v>
          </cell>
          <cell r="G4">
            <v>252.79980227020343</v>
          </cell>
          <cell r="H4">
            <v>51.504586190454539</v>
          </cell>
        </row>
        <row r="5">
          <cell r="D5" t="str">
            <v>UCE</v>
          </cell>
          <cell r="E5" t="str">
            <v>NO</v>
          </cell>
          <cell r="F5">
            <v>48.409090909090921</v>
          </cell>
          <cell r="G5">
            <v>250.97727272727298</v>
          </cell>
          <cell r="H5">
            <v>1</v>
          </cell>
        </row>
        <row r="6">
          <cell r="D6">
            <v>0</v>
          </cell>
          <cell r="E6" t="str">
            <v>NO</v>
          </cell>
          <cell r="F6">
            <v>2.1363636363636362</v>
          </cell>
          <cell r="G6">
            <v>29.594545454545496</v>
          </cell>
          <cell r="H6">
            <v>7.1818181818181799</v>
          </cell>
        </row>
        <row r="7">
          <cell r="D7">
            <v>0</v>
          </cell>
          <cell r="E7" t="str">
            <v>NO</v>
          </cell>
          <cell r="F7">
            <v>7.0681818181818175</v>
          </cell>
          <cell r="G7">
            <v>87.068409090908702</v>
          </cell>
          <cell r="H7">
            <v>28.977272727272709</v>
          </cell>
        </row>
        <row r="8">
          <cell r="D8" t="str">
            <v>UMA</v>
          </cell>
          <cell r="E8" t="str">
            <v>NO</v>
          </cell>
          <cell r="F8">
            <v>60.503452805909085</v>
          </cell>
          <cell r="G8">
            <v>399.21867976513511</v>
          </cell>
          <cell r="H8">
            <v>119.86497522825002</v>
          </cell>
        </row>
        <row r="9">
          <cell r="D9" t="str">
            <v>AHC</v>
          </cell>
          <cell r="E9" t="str">
            <v>Sí</v>
          </cell>
          <cell r="F9">
            <v>20.977272727272741</v>
          </cell>
          <cell r="G9">
            <v>42.204545454545475</v>
          </cell>
          <cell r="H9">
            <v>0.29545454545454547</v>
          </cell>
        </row>
        <row r="10">
          <cell r="D10" t="str">
            <v>UST</v>
          </cell>
          <cell r="E10" t="str">
            <v>NO</v>
          </cell>
          <cell r="F10">
            <v>83.452215909091052</v>
          </cell>
          <cell r="G10">
            <v>444.75681750399724</v>
          </cell>
          <cell r="H10">
            <v>1.3704545454545456</v>
          </cell>
        </row>
        <row r="11">
          <cell r="D11">
            <v>0</v>
          </cell>
          <cell r="E11" t="str">
            <v>NO</v>
          </cell>
          <cell r="F11">
            <v>10.47727272727273</v>
          </cell>
          <cell r="G11">
            <v>51.499999999999972</v>
          </cell>
          <cell r="H11">
            <v>1.1590909090909092</v>
          </cell>
        </row>
        <row r="12">
          <cell r="D12">
            <v>0</v>
          </cell>
          <cell r="E12" t="str">
            <v>NO</v>
          </cell>
          <cell r="F12">
            <v>14.113636363636363</v>
          </cell>
          <cell r="G12">
            <v>66.762499999999847</v>
          </cell>
          <cell r="H12">
            <v>0.30681818181818177</v>
          </cell>
        </row>
        <row r="13">
          <cell r="D13">
            <v>0</v>
          </cell>
          <cell r="E13" t="str">
            <v>NO</v>
          </cell>
          <cell r="F13">
            <v>17.830909090909088</v>
          </cell>
          <cell r="G13">
            <v>379.10325757568512</v>
          </cell>
          <cell r="H13">
            <v>1.1704545454545454</v>
          </cell>
        </row>
        <row r="14">
          <cell r="D14" t="str">
            <v>UAB</v>
          </cell>
          <cell r="E14" t="str">
            <v>NO</v>
          </cell>
          <cell r="F14">
            <v>343.95454545454436</v>
          </cell>
          <cell r="G14">
            <v>755.38801136362417</v>
          </cell>
          <cell r="H14">
            <v>156.52272727272793</v>
          </cell>
        </row>
        <row r="15">
          <cell r="D15" t="str">
            <v>UVM</v>
          </cell>
          <cell r="E15" t="str">
            <v>NO</v>
          </cell>
          <cell r="F15">
            <v>24.95545454545455</v>
          </cell>
          <cell r="G15">
            <v>129.6759226399092</v>
          </cell>
          <cell r="H15">
            <v>5.2897054280681823</v>
          </cell>
        </row>
        <row r="16">
          <cell r="D16" t="str">
            <v>UAI</v>
          </cell>
          <cell r="E16" t="str">
            <v>NO</v>
          </cell>
          <cell r="F16">
            <v>197.31840909090991</v>
          </cell>
          <cell r="G16">
            <v>99.796590909090824</v>
          </cell>
          <cell r="H16">
            <v>4.5454545454545456E-2</v>
          </cell>
        </row>
        <row r="17">
          <cell r="D17" t="str">
            <v>UIB</v>
          </cell>
          <cell r="E17" t="str">
            <v>NO</v>
          </cell>
          <cell r="F17">
            <v>8.6590909090909083</v>
          </cell>
          <cell r="G17">
            <v>40.522727272727266</v>
          </cell>
          <cell r="H17">
            <v>9.0909090909090912E-2</v>
          </cell>
        </row>
        <row r="18">
          <cell r="D18">
            <v>0</v>
          </cell>
          <cell r="E18" t="str">
            <v>NO</v>
          </cell>
          <cell r="F18">
            <v>2.7431201156818181</v>
          </cell>
          <cell r="G18">
            <v>49.630873599113727</v>
          </cell>
          <cell r="H18">
            <v>0.18204545454545454</v>
          </cell>
        </row>
        <row r="19">
          <cell r="D19">
            <v>0</v>
          </cell>
          <cell r="E19" t="str">
            <v>NO</v>
          </cell>
          <cell r="F19">
            <v>0.59090909090909094</v>
          </cell>
          <cell r="G19">
            <v>5.7840909090909083</v>
          </cell>
          <cell r="H19">
            <v>0</v>
          </cell>
        </row>
        <row r="20">
          <cell r="D20">
            <v>0</v>
          </cell>
          <cell r="E20" t="str">
            <v>NO</v>
          </cell>
          <cell r="F20">
            <v>2.0318181818181822</v>
          </cell>
          <cell r="G20">
            <v>38.345681818181816</v>
          </cell>
          <cell r="H20">
            <v>0.18181818181818182</v>
          </cell>
        </row>
        <row r="21">
          <cell r="D21" t="str">
            <v>UAU</v>
          </cell>
          <cell r="E21" t="str">
            <v>Sí</v>
          </cell>
          <cell r="F21">
            <v>113.56818181818193</v>
          </cell>
          <cell r="G21">
            <v>430.9772727272711</v>
          </cell>
          <cell r="H21">
            <v>37.613636363636374</v>
          </cell>
        </row>
        <row r="22">
          <cell r="D22" t="str">
            <v>UAN</v>
          </cell>
          <cell r="E22" t="str">
            <v>NO</v>
          </cell>
          <cell r="F22">
            <v>146.67068181818195</v>
          </cell>
          <cell r="G22">
            <v>136.89772727272765</v>
          </cell>
          <cell r="H22">
            <v>140.40909090909082</v>
          </cell>
        </row>
        <row r="23">
          <cell r="D23">
            <v>0</v>
          </cell>
          <cell r="E23" t="str">
            <v>NO</v>
          </cell>
          <cell r="F23">
            <v>10.295454545454547</v>
          </cell>
          <cell r="G23">
            <v>71.840909090909022</v>
          </cell>
          <cell r="H23">
            <v>0</v>
          </cell>
        </row>
        <row r="24">
          <cell r="D24" t="str">
            <v>USS</v>
          </cell>
          <cell r="E24" t="str">
            <v>NO</v>
          </cell>
          <cell r="F24">
            <v>102.73763257568193</v>
          </cell>
          <cell r="G24">
            <v>584.82601196090752</v>
          </cell>
          <cell r="H24">
            <v>115.29613581197718</v>
          </cell>
        </row>
        <row r="25">
          <cell r="D25">
            <v>0</v>
          </cell>
          <cell r="E25" t="str">
            <v>NO</v>
          </cell>
          <cell r="F25">
            <v>1.8420454545454543</v>
          </cell>
          <cell r="G25">
            <v>10.428087121136366</v>
          </cell>
          <cell r="H25">
            <v>0</v>
          </cell>
        </row>
        <row r="26">
          <cell r="D26" t="str">
            <v>UCS</v>
          </cell>
          <cell r="E26" t="str">
            <v>Sí</v>
          </cell>
          <cell r="F26">
            <v>27.613636363636388</v>
          </cell>
          <cell r="G26">
            <v>163.34113636363568</v>
          </cell>
          <cell r="H26">
            <v>0</v>
          </cell>
        </row>
        <row r="27">
          <cell r="D27" t="str">
            <v>UDD</v>
          </cell>
          <cell r="E27" t="str">
            <v>NO</v>
          </cell>
          <cell r="F27">
            <v>121.95613636363643</v>
          </cell>
          <cell r="G27">
            <v>413.36477272727558</v>
          </cell>
          <cell r="H27">
            <v>223.06840909090997</v>
          </cell>
        </row>
        <row r="28">
          <cell r="D28">
            <v>0</v>
          </cell>
          <cell r="E28" t="str">
            <v>NO</v>
          </cell>
          <cell r="F28">
            <v>1.0454545454545454</v>
          </cell>
          <cell r="G28">
            <v>20.613863636363636</v>
          </cell>
          <cell r="H28">
            <v>0</v>
          </cell>
        </row>
        <row r="29">
          <cell r="D29" t="str">
            <v>UPO</v>
          </cell>
          <cell r="E29" t="str">
            <v>NO</v>
          </cell>
          <cell r="F29">
            <v>9.2352272727272737</v>
          </cell>
          <cell r="G29">
            <v>82.88224431818179</v>
          </cell>
          <cell r="H29">
            <v>0</v>
          </cell>
        </row>
        <row r="30">
          <cell r="D30">
            <v>0</v>
          </cell>
          <cell r="E30" t="str">
            <v>NO</v>
          </cell>
          <cell r="F30">
            <v>0</v>
          </cell>
          <cell r="G30">
            <v>17.534090909090907</v>
          </cell>
          <cell r="H30">
            <v>0.18181818181818182</v>
          </cell>
        </row>
        <row r="31">
          <cell r="D31" t="str">
            <v>UBO</v>
          </cell>
          <cell r="E31" t="str">
            <v>NO</v>
          </cell>
          <cell r="F31">
            <v>42.960454545454546</v>
          </cell>
          <cell r="G31">
            <v>123.12001728431781</v>
          </cell>
          <cell r="H31">
            <v>0</v>
          </cell>
        </row>
        <row r="32">
          <cell r="D32" t="str">
            <v>UTC</v>
          </cell>
          <cell r="E32" t="str">
            <v>NO</v>
          </cell>
          <cell r="F32">
            <v>6.4542269489562845</v>
          </cell>
          <cell r="G32">
            <v>183.35203578656836</v>
          </cell>
          <cell r="H32">
            <v>0</v>
          </cell>
        </row>
        <row r="33">
          <cell r="D33">
            <v>0</v>
          </cell>
          <cell r="E33" t="str">
            <v>NO</v>
          </cell>
          <cell r="F33">
            <v>1.4545454545454546</v>
          </cell>
          <cell r="G33">
            <v>24.522727272727273</v>
          </cell>
          <cell r="H33">
            <v>0</v>
          </cell>
        </row>
        <row r="34">
          <cell r="D34" t="str">
            <v>UAH</v>
          </cell>
          <cell r="E34" t="str">
            <v>Sí</v>
          </cell>
          <cell r="F34">
            <v>101.95738636363625</v>
          </cell>
          <cell r="G34">
            <v>79.600909090908999</v>
          </cell>
          <cell r="H34">
            <v>0.10795454545454544</v>
          </cell>
        </row>
        <row r="35">
          <cell r="D35" t="str">
            <v>UCH</v>
          </cell>
          <cell r="E35" t="str">
            <v>Sí</v>
          </cell>
          <cell r="F35">
            <v>1106.057500000006</v>
          </cell>
          <cell r="G35">
            <v>405.04545454545342</v>
          </cell>
          <cell r="H35">
            <v>132.61363636363603</v>
          </cell>
        </row>
        <row r="36">
          <cell r="D36" t="str">
            <v>USA</v>
          </cell>
          <cell r="E36" t="str">
            <v>Sí</v>
          </cell>
          <cell r="F36">
            <v>442.61545454545308</v>
          </cell>
          <cell r="G36">
            <v>250.71045454545529</v>
          </cell>
          <cell r="H36">
            <v>43.290375212477272</v>
          </cell>
        </row>
        <row r="37">
          <cell r="D37" t="str">
            <v>UVA</v>
          </cell>
          <cell r="E37" t="str">
            <v>Sí</v>
          </cell>
          <cell r="F37">
            <v>219.48409090909092</v>
          </cell>
          <cell r="G37">
            <v>336.32568181818078</v>
          </cell>
          <cell r="H37">
            <v>74.852272727272705</v>
          </cell>
        </row>
        <row r="38">
          <cell r="D38" t="str">
            <v>ANT</v>
          </cell>
          <cell r="E38" t="str">
            <v>Sí</v>
          </cell>
          <cell r="F38">
            <v>128.09090909090909</v>
          </cell>
          <cell r="G38">
            <v>116.38636363636365</v>
          </cell>
          <cell r="H38">
            <v>17.863636363636363</v>
          </cell>
        </row>
        <row r="39">
          <cell r="D39" t="str">
            <v>ULS</v>
          </cell>
          <cell r="E39" t="str">
            <v>Sí</v>
          </cell>
          <cell r="F39">
            <v>102.29568181818181</v>
          </cell>
          <cell r="G39">
            <v>102.20454545454545</v>
          </cell>
          <cell r="H39">
            <v>4.1363636363636358</v>
          </cell>
        </row>
        <row r="40">
          <cell r="D40" t="str">
            <v>UBB</v>
          </cell>
          <cell r="E40" t="str">
            <v>Sí</v>
          </cell>
          <cell r="F40">
            <v>214.18181818181822</v>
          </cell>
          <cell r="G40">
            <v>214.45454545454555</v>
          </cell>
          <cell r="H40">
            <v>0</v>
          </cell>
        </row>
        <row r="41">
          <cell r="D41" t="str">
            <v>FRO</v>
          </cell>
          <cell r="E41" t="str">
            <v>Sí</v>
          </cell>
          <cell r="F41">
            <v>185.04545454545456</v>
          </cell>
          <cell r="G41">
            <v>97.749999999999986</v>
          </cell>
          <cell r="H41">
            <v>31.5</v>
          </cell>
        </row>
        <row r="42">
          <cell r="D42" t="str">
            <v>MAG</v>
          </cell>
          <cell r="E42" t="str">
            <v>Sí</v>
          </cell>
          <cell r="F42">
            <v>55.614999999999995</v>
          </cell>
          <cell r="G42">
            <v>68.05642210945453</v>
          </cell>
          <cell r="H42">
            <v>0.78340909090909094</v>
          </cell>
        </row>
        <row r="43">
          <cell r="D43" t="str">
            <v>TAL</v>
          </cell>
          <cell r="E43" t="str">
            <v>Sí</v>
          </cell>
          <cell r="F43">
            <v>219.4772727272728</v>
          </cell>
          <cell r="G43">
            <v>195.47772727272741</v>
          </cell>
          <cell r="H43">
            <v>20.181818181818176</v>
          </cell>
        </row>
        <row r="44">
          <cell r="D44" t="str">
            <v>ATA</v>
          </cell>
          <cell r="E44" t="str">
            <v>Sí</v>
          </cell>
          <cell r="F44">
            <v>47.93181818181818</v>
          </cell>
          <cell r="G44">
            <v>69.545454545454561</v>
          </cell>
          <cell r="H44">
            <v>0.11363636363636363</v>
          </cell>
        </row>
        <row r="45">
          <cell r="D45" t="str">
            <v>UTA</v>
          </cell>
          <cell r="E45" t="str">
            <v>Sí</v>
          </cell>
          <cell r="F45">
            <v>119.5</v>
          </cell>
          <cell r="G45">
            <v>176.47727272727275</v>
          </cell>
          <cell r="H45">
            <v>2.1818181818181817</v>
          </cell>
        </row>
        <row r="46">
          <cell r="D46" t="str">
            <v>UAP</v>
          </cell>
          <cell r="E46" t="str">
            <v>Sí</v>
          </cell>
          <cell r="F46">
            <v>64.340909090909093</v>
          </cell>
          <cell r="G46">
            <v>157.68181818181813</v>
          </cell>
          <cell r="H46">
            <v>0</v>
          </cell>
        </row>
        <row r="47">
          <cell r="D47" t="str">
            <v>UMC</v>
          </cell>
          <cell r="E47" t="str">
            <v>Sí</v>
          </cell>
          <cell r="F47">
            <v>70.926136363636346</v>
          </cell>
          <cell r="G47">
            <v>144.6365909090909</v>
          </cell>
          <cell r="H47">
            <v>5.113636363636364E-2</v>
          </cell>
        </row>
        <row r="48">
          <cell r="D48" t="str">
            <v>UPA</v>
          </cell>
          <cell r="E48" t="str">
            <v>Sí</v>
          </cell>
          <cell r="F48">
            <v>119.60045454545444</v>
          </cell>
          <cell r="G48">
            <v>211.76071969697759</v>
          </cell>
          <cell r="H48">
            <v>2.9984090909090906</v>
          </cell>
        </row>
        <row r="49">
          <cell r="D49" t="str">
            <v>ULA</v>
          </cell>
          <cell r="E49" t="str">
            <v>Sí</v>
          </cell>
          <cell r="F49">
            <v>78.659214092045474</v>
          </cell>
          <cell r="G49">
            <v>153.40931818181835</v>
          </cell>
          <cell r="H49">
            <v>0</v>
          </cell>
        </row>
        <row r="50">
          <cell r="D50" t="str">
            <v>UTM</v>
          </cell>
          <cell r="E50" t="str">
            <v>Sí</v>
          </cell>
          <cell r="F50">
            <v>55.664772727272712</v>
          </cell>
          <cell r="G50">
            <v>133.10840909090919</v>
          </cell>
          <cell r="H50">
            <v>0</v>
          </cell>
        </row>
        <row r="51">
          <cell r="D51" t="str">
            <v>PUC</v>
          </cell>
          <cell r="E51" t="str">
            <v>Sí</v>
          </cell>
          <cell r="F51">
            <v>1008.2046021222039</v>
          </cell>
          <cell r="G51">
            <v>502.74999999999977</v>
          </cell>
          <cell r="H51">
            <v>404.74999999999994</v>
          </cell>
        </row>
        <row r="52">
          <cell r="D52" t="str">
            <v>UCO</v>
          </cell>
          <cell r="E52" t="str">
            <v>Sí</v>
          </cell>
          <cell r="F52">
            <v>712.9318181818179</v>
          </cell>
          <cell r="G52">
            <v>398.74999999999983</v>
          </cell>
          <cell r="H52">
            <v>89.522954545454382</v>
          </cell>
        </row>
        <row r="53">
          <cell r="D53" t="str">
            <v>FSM</v>
          </cell>
          <cell r="E53" t="str">
            <v>Sí</v>
          </cell>
          <cell r="F53">
            <v>233.03176136363638</v>
          </cell>
          <cell r="G53">
            <v>181.67680190659109</v>
          </cell>
          <cell r="H53">
            <v>0</v>
          </cell>
        </row>
        <row r="54">
          <cell r="D54" t="str">
            <v>UCV</v>
          </cell>
          <cell r="E54" t="str">
            <v>Sí</v>
          </cell>
          <cell r="F54">
            <v>363.26727272727271</v>
          </cell>
          <cell r="G54">
            <v>151.25590909090971</v>
          </cell>
          <cell r="H54">
            <v>0.5625</v>
          </cell>
        </row>
        <row r="55">
          <cell r="D55" t="str">
            <v>AUS</v>
          </cell>
          <cell r="E55" t="str">
            <v>Sí</v>
          </cell>
          <cell r="F55">
            <v>370.52272727272702</v>
          </cell>
          <cell r="G55">
            <v>257.27272727272737</v>
          </cell>
          <cell r="H55">
            <v>69.590909090909079</v>
          </cell>
        </row>
        <row r="56">
          <cell r="D56" t="str">
            <v>UCN</v>
          </cell>
          <cell r="E56" t="str">
            <v>Sí</v>
          </cell>
          <cell r="F56">
            <v>197.81818181818181</v>
          </cell>
          <cell r="G56">
            <v>158.47727272727283</v>
          </cell>
          <cell r="H56">
            <v>20</v>
          </cell>
        </row>
        <row r="57">
          <cell r="D57" t="str">
            <v>UCM</v>
          </cell>
          <cell r="E57" t="str">
            <v>Sí</v>
          </cell>
          <cell r="F57">
            <v>122</v>
          </cell>
          <cell r="G57">
            <v>155.06818181818193</v>
          </cell>
          <cell r="H57">
            <v>32.86363636363636</v>
          </cell>
        </row>
        <row r="58">
          <cell r="D58" t="str">
            <v>USC</v>
          </cell>
          <cell r="E58" t="str">
            <v>Sí</v>
          </cell>
          <cell r="F58">
            <v>131.0681818181819</v>
          </cell>
          <cell r="G58">
            <v>198.02272727272728</v>
          </cell>
          <cell r="H58">
            <v>25.886363636363644</v>
          </cell>
        </row>
        <row r="59">
          <cell r="D59" t="str">
            <v>UCT</v>
          </cell>
          <cell r="E59" t="str">
            <v>Sí</v>
          </cell>
          <cell r="F59">
            <v>141.48909090909089</v>
          </cell>
          <cell r="G59">
            <v>176.41729458113636</v>
          </cell>
          <cell r="H59">
            <v>0.20454545454545456</v>
          </cell>
        </row>
        <row r="60">
          <cell r="D60">
            <v>0</v>
          </cell>
          <cell r="E60" t="str">
            <v>NO</v>
          </cell>
          <cell r="F60">
            <v>1.4545454545454546</v>
          </cell>
          <cell r="G60">
            <v>9.8636363636363615</v>
          </cell>
          <cell r="H60">
            <v>0</v>
          </cell>
        </row>
      </sheetData>
      <sheetData sheetId="4"/>
      <sheetData sheetId="5">
        <row r="7">
          <cell r="F7" t="str">
            <v>Código</v>
          </cell>
          <cell r="G7" t="str">
            <v>Gratuidad</v>
          </cell>
          <cell r="I7">
            <v>2012</v>
          </cell>
          <cell r="J7">
            <v>2013</v>
          </cell>
          <cell r="K7">
            <v>2014</v>
          </cell>
          <cell r="L7">
            <v>2015</v>
          </cell>
          <cell r="M7">
            <v>2016</v>
          </cell>
          <cell r="N7">
            <v>2012</v>
          </cell>
          <cell r="O7">
            <v>2013</v>
          </cell>
          <cell r="P7">
            <v>2014</v>
          </cell>
          <cell r="Q7">
            <v>2015</v>
          </cell>
          <cell r="R7">
            <v>2016</v>
          </cell>
          <cell r="S7">
            <v>2012</v>
          </cell>
          <cell r="T7">
            <v>2013</v>
          </cell>
          <cell r="U7">
            <v>2014</v>
          </cell>
          <cell r="V7">
            <v>2015</v>
          </cell>
          <cell r="W7">
            <v>2016</v>
          </cell>
        </row>
        <row r="8">
          <cell r="F8" t="str">
            <v>PUC</v>
          </cell>
          <cell r="G8" t="str">
            <v>Sí</v>
          </cell>
          <cell r="I8">
            <v>0.20474837662337661</v>
          </cell>
          <cell r="J8">
            <v>0.24707462113945905</v>
          </cell>
          <cell r="K8">
            <v>0.25753792971000578</v>
          </cell>
          <cell r="L8">
            <v>0.23735555976510703</v>
          </cell>
          <cell r="M8">
            <v>0.27635899306822326</v>
          </cell>
          <cell r="N8">
            <v>4928</v>
          </cell>
          <cell r="O8">
            <v>5213</v>
          </cell>
          <cell r="P8">
            <v>5207</v>
          </cell>
          <cell r="Q8">
            <v>5279</v>
          </cell>
          <cell r="R8">
            <v>5482</v>
          </cell>
          <cell r="S8">
            <v>1009</v>
          </cell>
          <cell r="T8">
            <v>1288</v>
          </cell>
          <cell r="U8">
            <v>1341</v>
          </cell>
          <cell r="V8">
            <v>1253</v>
          </cell>
          <cell r="W8">
            <v>1515</v>
          </cell>
        </row>
        <row r="9">
          <cell r="F9" t="str">
            <v>UCV</v>
          </cell>
          <cell r="G9" t="str">
            <v>Sí</v>
          </cell>
          <cell r="I9">
            <v>0.55459098497495829</v>
          </cell>
          <cell r="J9">
            <v>0.58203368683718026</v>
          </cell>
          <cell r="K9">
            <v>0.5748987854251012</v>
          </cell>
          <cell r="L9">
            <v>0.57042896257986009</v>
          </cell>
          <cell r="M9">
            <v>0.5692036438436674</v>
          </cell>
          <cell r="N9">
            <v>2995</v>
          </cell>
          <cell r="O9">
            <v>3206</v>
          </cell>
          <cell r="P9">
            <v>3211</v>
          </cell>
          <cell r="Q9">
            <v>3287</v>
          </cell>
          <cell r="R9">
            <v>3403</v>
          </cell>
          <cell r="S9">
            <v>1661</v>
          </cell>
          <cell r="T9">
            <v>1866</v>
          </cell>
          <cell r="U9">
            <v>1846</v>
          </cell>
          <cell r="V9">
            <v>1875</v>
          </cell>
          <cell r="W9">
            <v>1937</v>
          </cell>
        </row>
        <row r="10">
          <cell r="F10" t="str">
            <v>UAP</v>
          </cell>
          <cell r="G10" t="str">
            <v>Sí</v>
          </cell>
          <cell r="I10">
            <v>0.52252252252252251</v>
          </cell>
          <cell r="J10">
            <v>0.57024793388429751</v>
          </cell>
          <cell r="K10">
            <v>0.63697967086156826</v>
          </cell>
          <cell r="L10">
            <v>0.64012738853503182</v>
          </cell>
          <cell r="M10">
            <v>0.68143459915611815</v>
          </cell>
          <cell r="N10">
            <v>999</v>
          </cell>
          <cell r="O10">
            <v>968</v>
          </cell>
          <cell r="P10">
            <v>1033</v>
          </cell>
          <cell r="Q10">
            <v>942</v>
          </cell>
          <cell r="R10">
            <v>948</v>
          </cell>
          <cell r="S10">
            <v>522</v>
          </cell>
          <cell r="T10">
            <v>552</v>
          </cell>
          <cell r="U10">
            <v>658</v>
          </cell>
          <cell r="V10">
            <v>603</v>
          </cell>
          <cell r="W10">
            <v>646</v>
          </cell>
        </row>
        <row r="11">
          <cell r="F11" t="str">
            <v>AUS</v>
          </cell>
          <cell r="G11" t="str">
            <v>Sí</v>
          </cell>
          <cell r="I11">
            <v>0.62584175084175087</v>
          </cell>
          <cell r="J11">
            <v>0.63309885227693452</v>
          </cell>
          <cell r="K11">
            <v>0.64667393675027263</v>
          </cell>
          <cell r="L11">
            <v>0.61967994552264216</v>
          </cell>
          <cell r="M11">
            <v>0.65958200495926322</v>
          </cell>
          <cell r="N11">
            <v>2376</v>
          </cell>
          <cell r="O11">
            <v>2701</v>
          </cell>
          <cell r="P11">
            <v>2751</v>
          </cell>
          <cell r="Q11">
            <v>2937</v>
          </cell>
          <cell r="R11">
            <v>2823</v>
          </cell>
          <cell r="S11">
            <v>1487</v>
          </cell>
          <cell r="T11">
            <v>1710</v>
          </cell>
          <cell r="U11">
            <v>1779</v>
          </cell>
          <cell r="V11">
            <v>1820</v>
          </cell>
          <cell r="W11">
            <v>1862</v>
          </cell>
        </row>
        <row r="12">
          <cell r="F12" t="str">
            <v>USC</v>
          </cell>
          <cell r="G12" t="str">
            <v>Sí</v>
          </cell>
          <cell r="I12">
            <v>0.75</v>
          </cell>
          <cell r="J12">
            <v>0.79628400796284005</v>
          </cell>
          <cell r="K12">
            <v>0.83381924198250734</v>
          </cell>
          <cell r="L12">
            <v>0.77976523197316938</v>
          </cell>
          <cell r="M12">
            <v>0.76919060052219324</v>
          </cell>
          <cell r="N12">
            <v>1876</v>
          </cell>
          <cell r="O12">
            <v>1507</v>
          </cell>
          <cell r="P12">
            <v>1715</v>
          </cell>
          <cell r="Q12">
            <v>1789</v>
          </cell>
          <cell r="R12">
            <v>1915</v>
          </cell>
          <cell r="S12">
            <v>1407</v>
          </cell>
          <cell r="T12">
            <v>1200</v>
          </cell>
          <cell r="U12">
            <v>1430</v>
          </cell>
          <cell r="V12">
            <v>1395</v>
          </cell>
          <cell r="W12">
            <v>1473</v>
          </cell>
        </row>
        <row r="13">
          <cell r="F13" t="str">
            <v>UCT</v>
          </cell>
          <cell r="G13" t="str">
            <v>Sí</v>
          </cell>
          <cell r="I13">
            <v>0.76699029126213591</v>
          </cell>
          <cell r="J13">
            <v>0.79551667577911422</v>
          </cell>
          <cell r="K13">
            <v>0.80553918680023573</v>
          </cell>
          <cell r="L13">
            <v>0.7954309449636553</v>
          </cell>
          <cell r="M13">
            <v>0.8040130657956136</v>
          </cell>
          <cell r="N13">
            <v>1648</v>
          </cell>
          <cell r="O13">
            <v>1829</v>
          </cell>
          <cell r="P13">
            <v>1697</v>
          </cell>
          <cell r="Q13">
            <v>1926</v>
          </cell>
          <cell r="R13">
            <v>2143</v>
          </cell>
          <cell r="S13">
            <v>1264</v>
          </cell>
          <cell r="T13">
            <v>1455</v>
          </cell>
          <cell r="U13">
            <v>1367</v>
          </cell>
          <cell r="V13">
            <v>1532</v>
          </cell>
          <cell r="W13">
            <v>1723</v>
          </cell>
        </row>
        <row r="14">
          <cell r="F14" t="str">
            <v>UCM</v>
          </cell>
          <cell r="G14" t="str">
            <v>Sí</v>
          </cell>
          <cell r="I14">
            <v>0.75</v>
          </cell>
          <cell r="J14">
            <v>0.765474552957359</v>
          </cell>
          <cell r="K14">
            <v>0.79557195571955719</v>
          </cell>
          <cell r="L14">
            <v>0.77298444130127297</v>
          </cell>
          <cell r="M14">
            <v>0.79132473622508792</v>
          </cell>
          <cell r="N14">
            <v>1308</v>
          </cell>
          <cell r="O14">
            <v>1454</v>
          </cell>
          <cell r="P14">
            <v>1355</v>
          </cell>
          <cell r="Q14">
            <v>1414</v>
          </cell>
          <cell r="R14">
            <v>1706</v>
          </cell>
          <cell r="S14">
            <v>981</v>
          </cell>
          <cell r="T14">
            <v>1113</v>
          </cell>
          <cell r="U14">
            <v>1078</v>
          </cell>
          <cell r="V14">
            <v>1093</v>
          </cell>
          <cell r="W14">
            <v>1350</v>
          </cell>
        </row>
        <row r="15">
          <cell r="F15" t="str">
            <v>UCN</v>
          </cell>
          <cell r="G15" t="str">
            <v>Sí</v>
          </cell>
          <cell r="I15">
            <v>0.43885714285714283</v>
          </cell>
          <cell r="J15">
            <v>0.45280082987551867</v>
          </cell>
          <cell r="K15">
            <v>0.4891015417331207</v>
          </cell>
          <cell r="L15">
            <v>0.46512820512820513</v>
          </cell>
          <cell r="M15">
            <v>0.51402321083172142</v>
          </cell>
          <cell r="N15">
            <v>1750</v>
          </cell>
          <cell r="O15">
            <v>1928</v>
          </cell>
          <cell r="P15">
            <v>1881</v>
          </cell>
          <cell r="Q15">
            <v>1950</v>
          </cell>
          <cell r="R15">
            <v>2068</v>
          </cell>
          <cell r="S15">
            <v>768</v>
          </cell>
          <cell r="T15">
            <v>873</v>
          </cell>
          <cell r="U15">
            <v>920</v>
          </cell>
          <cell r="V15">
            <v>907</v>
          </cell>
          <cell r="W15">
            <v>1063</v>
          </cell>
        </row>
        <row r="16">
          <cell r="F16" t="str">
            <v>ANT</v>
          </cell>
          <cell r="G16" t="str">
            <v>Sí</v>
          </cell>
          <cell r="I16">
            <v>0.37237237237237236</v>
          </cell>
          <cell r="J16">
            <v>0.41467889908256883</v>
          </cell>
          <cell r="K16">
            <v>0.42173913043478262</v>
          </cell>
          <cell r="L16">
            <v>0.38935810810810811</v>
          </cell>
          <cell r="M16">
            <v>0.46887009992313605</v>
          </cell>
          <cell r="N16">
            <v>999</v>
          </cell>
          <cell r="O16">
            <v>1090</v>
          </cell>
          <cell r="P16">
            <v>1150</v>
          </cell>
          <cell r="Q16">
            <v>1184</v>
          </cell>
          <cell r="R16">
            <v>1301</v>
          </cell>
          <cell r="S16">
            <v>372</v>
          </cell>
          <cell r="T16">
            <v>452</v>
          </cell>
          <cell r="U16">
            <v>485</v>
          </cell>
          <cell r="V16">
            <v>461</v>
          </cell>
          <cell r="W16">
            <v>610</v>
          </cell>
        </row>
        <row r="17">
          <cell r="F17" t="str">
            <v>ATA</v>
          </cell>
          <cell r="G17" t="str">
            <v>Sí</v>
          </cell>
          <cell r="I17">
            <v>0.56559766763848396</v>
          </cell>
          <cell r="J17">
            <v>0.54754754754754753</v>
          </cell>
          <cell r="K17">
            <v>0.56735496558505405</v>
          </cell>
          <cell r="L17">
            <v>0.56243854473942967</v>
          </cell>
          <cell r="M17">
            <v>0.64114832535885169</v>
          </cell>
          <cell r="N17">
            <v>686</v>
          </cell>
          <cell r="O17">
            <v>999</v>
          </cell>
          <cell r="P17">
            <v>1017</v>
          </cell>
          <cell r="Q17">
            <v>1017</v>
          </cell>
          <cell r="R17">
            <v>1045</v>
          </cell>
          <cell r="S17">
            <v>388</v>
          </cell>
          <cell r="T17">
            <v>547</v>
          </cell>
          <cell r="U17">
            <v>577</v>
          </cell>
          <cell r="V17">
            <v>572</v>
          </cell>
          <cell r="W17">
            <v>670</v>
          </cell>
        </row>
        <row r="18">
          <cell r="F18" t="str">
            <v>UCH</v>
          </cell>
          <cell r="G18" t="str">
            <v>Sí</v>
          </cell>
          <cell r="I18">
            <v>0.41156530408773678</v>
          </cell>
          <cell r="J18">
            <v>0.44507683551508254</v>
          </cell>
          <cell r="K18">
            <v>0.45997140814867765</v>
          </cell>
          <cell r="L18">
            <v>0.45439659407237598</v>
          </cell>
          <cell r="M18">
            <v>0.48905738411166638</v>
          </cell>
          <cell r="N18">
            <v>5015</v>
          </cell>
          <cell r="O18">
            <v>5271</v>
          </cell>
          <cell r="P18">
            <v>5596</v>
          </cell>
          <cell r="Q18">
            <v>6107</v>
          </cell>
          <cell r="R18">
            <v>5803</v>
          </cell>
          <cell r="S18">
            <v>2064</v>
          </cell>
          <cell r="T18">
            <v>2346</v>
          </cell>
          <cell r="U18">
            <v>2574</v>
          </cell>
          <cell r="V18">
            <v>2775</v>
          </cell>
          <cell r="W18">
            <v>2838</v>
          </cell>
        </row>
        <row r="19">
          <cell r="F19" t="str">
            <v>UCO</v>
          </cell>
          <cell r="G19" t="str">
            <v>Sí</v>
          </cell>
          <cell r="I19">
            <v>0.68837209302325586</v>
          </cell>
          <cell r="J19">
            <v>0.6852334201562813</v>
          </cell>
          <cell r="K19">
            <v>0.70620748299319724</v>
          </cell>
          <cell r="L19">
            <v>0.67432321575061527</v>
          </cell>
          <cell r="M19">
            <v>0.66373450619752095</v>
          </cell>
          <cell r="N19">
            <v>4730</v>
          </cell>
          <cell r="O19">
            <v>4991</v>
          </cell>
          <cell r="P19">
            <v>4704</v>
          </cell>
          <cell r="Q19">
            <v>4876</v>
          </cell>
          <cell r="R19">
            <v>5002</v>
          </cell>
          <cell r="S19">
            <v>3256</v>
          </cell>
          <cell r="T19">
            <v>3420</v>
          </cell>
          <cell r="U19">
            <v>3322</v>
          </cell>
          <cell r="V19">
            <v>3288</v>
          </cell>
          <cell r="W19">
            <v>3320</v>
          </cell>
        </row>
        <row r="20">
          <cell r="F20" t="str">
            <v>FRO</v>
          </cell>
          <cell r="G20" t="str">
            <v>Sí</v>
          </cell>
          <cell r="I20">
            <v>0.66393022062596208</v>
          </cell>
          <cell r="J20">
            <v>0.67006629270780216</v>
          </cell>
          <cell r="K20">
            <v>0.73853452820242493</v>
          </cell>
          <cell r="L20">
            <v>0.70067372473532241</v>
          </cell>
          <cell r="M20">
            <v>0.70987951807228911</v>
          </cell>
          <cell r="N20">
            <v>1949</v>
          </cell>
          <cell r="O20">
            <v>1961</v>
          </cell>
          <cell r="P20">
            <v>1897</v>
          </cell>
          <cell r="Q20">
            <v>2078</v>
          </cell>
          <cell r="R20">
            <v>2075</v>
          </cell>
          <cell r="S20">
            <v>1294</v>
          </cell>
          <cell r="T20">
            <v>1314</v>
          </cell>
          <cell r="U20">
            <v>1401</v>
          </cell>
          <cell r="V20">
            <v>1456</v>
          </cell>
          <cell r="W20">
            <v>1473</v>
          </cell>
        </row>
        <row r="21">
          <cell r="F21" t="str">
            <v>ULS</v>
          </cell>
          <cell r="G21" t="str">
            <v>Sí</v>
          </cell>
          <cell r="I21">
            <v>0.62411347517730498</v>
          </cell>
          <cell r="J21">
            <v>0.63164400494437578</v>
          </cell>
          <cell r="K21">
            <v>0.66666666666666663</v>
          </cell>
          <cell r="L21">
            <v>0.64916615194564542</v>
          </cell>
          <cell r="M21">
            <v>0.70626865671641792</v>
          </cell>
          <cell r="N21">
            <v>1551</v>
          </cell>
          <cell r="O21">
            <v>1618</v>
          </cell>
          <cell r="P21">
            <v>1548</v>
          </cell>
          <cell r="Q21">
            <v>1619</v>
          </cell>
          <cell r="R21">
            <v>1675</v>
          </cell>
          <cell r="S21">
            <v>968</v>
          </cell>
          <cell r="T21">
            <v>1022</v>
          </cell>
          <cell r="U21">
            <v>1032</v>
          </cell>
          <cell r="V21">
            <v>1051</v>
          </cell>
          <cell r="W21">
            <v>1183</v>
          </cell>
        </row>
        <row r="22">
          <cell r="F22" t="str">
            <v>ULA</v>
          </cell>
          <cell r="G22" t="str">
            <v>Sí</v>
          </cell>
          <cell r="I22">
            <v>0.77881619937694702</v>
          </cell>
          <cell r="J22">
            <v>0.79407806191117092</v>
          </cell>
          <cell r="K22">
            <v>0.81355932203389836</v>
          </cell>
          <cell r="L22">
            <v>0.81936245572609212</v>
          </cell>
          <cell r="M22">
            <v>0.82191780821917804</v>
          </cell>
          <cell r="N22">
            <v>642</v>
          </cell>
          <cell r="O22">
            <v>743</v>
          </cell>
          <cell r="P22">
            <v>885</v>
          </cell>
          <cell r="Q22">
            <v>847</v>
          </cell>
          <cell r="R22">
            <v>1022</v>
          </cell>
          <cell r="S22">
            <v>500</v>
          </cell>
          <cell r="T22">
            <v>590</v>
          </cell>
          <cell r="U22">
            <v>720</v>
          </cell>
          <cell r="V22">
            <v>694</v>
          </cell>
          <cell r="W22">
            <v>840</v>
          </cell>
        </row>
        <row r="23">
          <cell r="F23" t="str">
            <v>MAG</v>
          </cell>
          <cell r="G23" t="str">
            <v>Sí</v>
          </cell>
          <cell r="I23">
            <v>0.4375</v>
          </cell>
          <cell r="J23">
            <v>0.48929159802306427</v>
          </cell>
          <cell r="K23">
            <v>0.51520572450805013</v>
          </cell>
          <cell r="L23">
            <v>0.48652694610778441</v>
          </cell>
          <cell r="M23">
            <v>0.5879194630872483</v>
          </cell>
          <cell r="N23">
            <v>448</v>
          </cell>
          <cell r="O23">
            <v>607</v>
          </cell>
          <cell r="P23">
            <v>559</v>
          </cell>
          <cell r="Q23">
            <v>668</v>
          </cell>
          <cell r="R23">
            <v>745</v>
          </cell>
          <cell r="S23">
            <v>196</v>
          </cell>
          <cell r="T23">
            <v>297</v>
          </cell>
          <cell r="U23">
            <v>288</v>
          </cell>
          <cell r="V23">
            <v>325</v>
          </cell>
          <cell r="W23">
            <v>438</v>
          </cell>
        </row>
        <row r="24">
          <cell r="F24" t="str">
            <v>UPA</v>
          </cell>
          <cell r="G24" t="str">
            <v>Sí</v>
          </cell>
          <cell r="I24">
            <v>0.73523421588594706</v>
          </cell>
          <cell r="J24">
            <v>0.75209497206703912</v>
          </cell>
          <cell r="K24">
            <v>0.74582172701949856</v>
          </cell>
          <cell r="L24">
            <v>0.71997690531177827</v>
          </cell>
          <cell r="M24">
            <v>0.77956690727373679</v>
          </cell>
          <cell r="N24">
            <v>1473</v>
          </cell>
          <cell r="O24">
            <v>1432</v>
          </cell>
          <cell r="P24">
            <v>1436</v>
          </cell>
          <cell r="Q24">
            <v>1732</v>
          </cell>
          <cell r="R24">
            <v>1801</v>
          </cell>
          <cell r="S24">
            <v>1083</v>
          </cell>
          <cell r="T24">
            <v>1077</v>
          </cell>
          <cell r="U24">
            <v>1071</v>
          </cell>
          <cell r="V24">
            <v>1247</v>
          </cell>
          <cell r="W24">
            <v>1404</v>
          </cell>
        </row>
        <row r="25">
          <cell r="F25" t="str">
            <v>USA</v>
          </cell>
          <cell r="G25" t="str">
            <v>Sí</v>
          </cell>
          <cell r="I25">
            <v>0.59645351961311122</v>
          </cell>
          <cell r="J25">
            <v>0.65202598206000617</v>
          </cell>
          <cell r="K25">
            <v>0.70588235294117652</v>
          </cell>
          <cell r="L25">
            <v>0.65954346770276828</v>
          </cell>
          <cell r="M25">
            <v>0.68323504633529908</v>
          </cell>
          <cell r="N25">
            <v>3722</v>
          </cell>
          <cell r="O25">
            <v>3233</v>
          </cell>
          <cell r="P25">
            <v>3791</v>
          </cell>
          <cell r="Q25">
            <v>4118</v>
          </cell>
          <cell r="R25">
            <v>3561</v>
          </cell>
          <cell r="S25">
            <v>2220</v>
          </cell>
          <cell r="T25">
            <v>2108</v>
          </cell>
          <cell r="U25">
            <v>2676</v>
          </cell>
          <cell r="V25">
            <v>2716</v>
          </cell>
          <cell r="W25">
            <v>2433</v>
          </cell>
        </row>
        <row r="26">
          <cell r="F26" t="str">
            <v>TAL</v>
          </cell>
          <cell r="G26" t="str">
            <v>Sí</v>
          </cell>
          <cell r="I26">
            <v>0.71533258173618941</v>
          </cell>
          <cell r="J26">
            <v>0.73406694176983034</v>
          </cell>
          <cell r="K26">
            <v>0.73735632183908051</v>
          </cell>
          <cell r="L26">
            <v>0.70734341252699784</v>
          </cell>
          <cell r="M26">
            <v>0.72519893899204246</v>
          </cell>
          <cell r="N26">
            <v>1774</v>
          </cell>
          <cell r="O26">
            <v>2181</v>
          </cell>
          <cell r="P26">
            <v>1740</v>
          </cell>
          <cell r="Q26">
            <v>1852</v>
          </cell>
          <cell r="R26">
            <v>1885</v>
          </cell>
          <cell r="S26">
            <v>1269</v>
          </cell>
          <cell r="T26">
            <v>1601</v>
          </cell>
          <cell r="U26">
            <v>1283</v>
          </cell>
          <cell r="V26">
            <v>1310</v>
          </cell>
          <cell r="W26">
            <v>1367</v>
          </cell>
        </row>
        <row r="27">
          <cell r="F27" t="str">
            <v>UTA</v>
          </cell>
          <cell r="G27" t="str">
            <v>Sí</v>
          </cell>
          <cell r="I27">
            <v>0.67118644067796607</v>
          </cell>
          <cell r="J27">
            <v>0.66928618205631962</v>
          </cell>
          <cell r="K27">
            <v>0.6847405112316034</v>
          </cell>
          <cell r="L27">
            <v>0.66709928617780667</v>
          </cell>
          <cell r="M27">
            <v>0.72246153846153849</v>
          </cell>
          <cell r="N27">
            <v>1475</v>
          </cell>
          <cell r="O27">
            <v>1527</v>
          </cell>
          <cell r="P27">
            <v>1291</v>
          </cell>
          <cell r="Q27">
            <v>1541</v>
          </cell>
          <cell r="R27">
            <v>1625</v>
          </cell>
          <cell r="S27">
            <v>990</v>
          </cell>
          <cell r="T27">
            <v>1022</v>
          </cell>
          <cell r="U27">
            <v>884</v>
          </cell>
          <cell r="V27">
            <v>1028</v>
          </cell>
          <cell r="W27">
            <v>1174</v>
          </cell>
        </row>
        <row r="28">
          <cell r="F28" t="str">
            <v>UVA</v>
          </cell>
          <cell r="G28" t="str">
            <v>Sí</v>
          </cell>
          <cell r="I28">
            <v>0.62751065124771754</v>
          </cell>
          <cell r="J28">
            <v>0.64366290643662905</v>
          </cell>
          <cell r="K28">
            <v>0.64736842105263159</v>
          </cell>
          <cell r="L28">
            <v>0.60130718954248363</v>
          </cell>
          <cell r="M28">
            <v>0.6721548238012709</v>
          </cell>
          <cell r="N28">
            <v>3286</v>
          </cell>
          <cell r="O28">
            <v>3014</v>
          </cell>
          <cell r="P28">
            <v>2850</v>
          </cell>
          <cell r="Q28">
            <v>3060</v>
          </cell>
          <cell r="R28">
            <v>3462</v>
          </cell>
          <cell r="S28">
            <v>2062</v>
          </cell>
          <cell r="T28">
            <v>1940</v>
          </cell>
          <cell r="U28">
            <v>1845</v>
          </cell>
          <cell r="V28">
            <v>1840</v>
          </cell>
          <cell r="W28">
            <v>2327</v>
          </cell>
        </row>
        <row r="29">
          <cell r="F29" t="str">
            <v>UBB</v>
          </cell>
          <cell r="G29" t="str">
            <v>Sí</v>
          </cell>
          <cell r="I29">
            <v>0.79146919431279616</v>
          </cell>
          <cell r="J29">
            <v>0.82854617764030047</v>
          </cell>
          <cell r="K29">
            <v>0.84066193853427895</v>
          </cell>
          <cell r="L29">
            <v>0.79973935708079935</v>
          </cell>
          <cell r="M29">
            <v>0.79578392621870886</v>
          </cell>
          <cell r="N29">
            <v>2110</v>
          </cell>
          <cell r="O29">
            <v>2263</v>
          </cell>
          <cell r="P29">
            <v>2115</v>
          </cell>
          <cell r="Q29">
            <v>2302</v>
          </cell>
          <cell r="R29">
            <v>2277</v>
          </cell>
          <cell r="S29">
            <v>1670</v>
          </cell>
          <cell r="T29">
            <v>1875</v>
          </cell>
          <cell r="U29">
            <v>1778</v>
          </cell>
          <cell r="V29">
            <v>1841</v>
          </cell>
          <cell r="W29">
            <v>1812</v>
          </cell>
        </row>
        <row r="30">
          <cell r="F30" t="str">
            <v>UMC</v>
          </cell>
          <cell r="G30" t="str">
            <v>Sí</v>
          </cell>
          <cell r="I30">
            <v>0.65916069600818838</v>
          </cell>
          <cell r="J30">
            <v>0.67375231053604434</v>
          </cell>
          <cell r="K30">
            <v>0.64559386973180077</v>
          </cell>
          <cell r="L30">
            <v>0.65847457627118644</v>
          </cell>
          <cell r="M30">
            <v>0.66479400749063666</v>
          </cell>
          <cell r="N30">
            <v>977</v>
          </cell>
          <cell r="O30">
            <v>1082</v>
          </cell>
          <cell r="P30">
            <v>1044</v>
          </cell>
          <cell r="Q30">
            <v>1180</v>
          </cell>
          <cell r="R30">
            <v>1068</v>
          </cell>
          <cell r="S30">
            <v>644</v>
          </cell>
          <cell r="T30">
            <v>729</v>
          </cell>
          <cell r="U30">
            <v>674</v>
          </cell>
          <cell r="V30">
            <v>777</v>
          </cell>
          <cell r="W30">
            <v>710</v>
          </cell>
        </row>
        <row r="31">
          <cell r="F31" t="str">
            <v>FSM</v>
          </cell>
          <cell r="G31" t="str">
            <v>Sí</v>
          </cell>
          <cell r="I31">
            <v>0.47096774193548385</v>
          </cell>
          <cell r="J31">
            <v>0.49862863411958308</v>
          </cell>
          <cell r="K31">
            <v>0.51072961373390557</v>
          </cell>
          <cell r="L31">
            <v>0.49270664505672607</v>
          </cell>
          <cell r="M31">
            <v>0.54303278688524592</v>
          </cell>
          <cell r="N31">
            <v>2170</v>
          </cell>
          <cell r="O31">
            <v>1823</v>
          </cell>
          <cell r="P31">
            <v>1864</v>
          </cell>
          <cell r="Q31">
            <v>1851</v>
          </cell>
          <cell r="R31">
            <v>1952</v>
          </cell>
          <cell r="S31">
            <v>1022</v>
          </cell>
          <cell r="T31">
            <v>909</v>
          </cell>
          <cell r="U31">
            <v>952</v>
          </cell>
          <cell r="V31">
            <v>912</v>
          </cell>
          <cell r="W31">
            <v>1060</v>
          </cell>
        </row>
        <row r="32">
          <cell r="F32" t="str">
            <v>UTM</v>
          </cell>
          <cell r="G32" t="str">
            <v>Sí</v>
          </cell>
          <cell r="I32">
            <v>0.72512755102040816</v>
          </cell>
          <cell r="J32">
            <v>0.75057208237986273</v>
          </cell>
          <cell r="K32">
            <v>0.75785482123510295</v>
          </cell>
          <cell r="L32">
            <v>0.74829600778967864</v>
          </cell>
          <cell r="M32">
            <v>0.75609756097560976</v>
          </cell>
          <cell r="N32">
            <v>1568</v>
          </cell>
          <cell r="O32">
            <v>1748</v>
          </cell>
          <cell r="P32">
            <v>1846</v>
          </cell>
          <cell r="Q32">
            <v>2054</v>
          </cell>
          <cell r="R32">
            <v>2255</v>
          </cell>
          <cell r="S32">
            <v>1137</v>
          </cell>
          <cell r="T32">
            <v>1312</v>
          </cell>
          <cell r="U32">
            <v>1399</v>
          </cell>
          <cell r="V32">
            <v>1537</v>
          </cell>
          <cell r="W32">
            <v>1705</v>
          </cell>
        </row>
        <row r="33">
          <cell r="F33">
            <v>0</v>
          </cell>
          <cell r="G33">
            <v>0</v>
          </cell>
          <cell r="I33">
            <v>0.57637975407492137</v>
          </cell>
          <cell r="J33">
            <v>0.59971685451102241</v>
          </cell>
          <cell r="K33">
            <v>0.61606038794455831</v>
          </cell>
          <cell r="L33">
            <v>0.59552161083145283</v>
          </cell>
          <cell r="M33">
            <v>0.6255377527861522</v>
          </cell>
          <cell r="N33">
            <v>52455</v>
          </cell>
          <cell r="O33">
            <v>54389</v>
          </cell>
          <cell r="P33">
            <v>54183</v>
          </cell>
          <cell r="Q33">
            <v>57610</v>
          </cell>
          <cell r="R33">
            <v>59042</v>
          </cell>
          <cell r="S33">
            <v>30234</v>
          </cell>
          <cell r="T33">
            <v>32618</v>
          </cell>
          <cell r="U33">
            <v>33380</v>
          </cell>
          <cell r="V33">
            <v>34308</v>
          </cell>
          <cell r="W33">
            <v>36933</v>
          </cell>
        </row>
        <row r="34">
          <cell r="F34" t="str">
            <v>AHC</v>
          </cell>
          <cell r="G34" t="str">
            <v>Sí</v>
          </cell>
          <cell r="I34">
            <v>0.60610687022900767</v>
          </cell>
          <cell r="J34">
            <v>0.59277504105090317</v>
          </cell>
          <cell r="K34">
            <v>0.57954545454545459</v>
          </cell>
          <cell r="L34">
            <v>0.53125</v>
          </cell>
          <cell r="M34">
            <v>0.52682926829268295</v>
          </cell>
          <cell r="N34">
            <v>655</v>
          </cell>
          <cell r="O34">
            <v>609</v>
          </cell>
          <cell r="P34">
            <v>616</v>
          </cell>
          <cell r="Q34">
            <v>768</v>
          </cell>
          <cell r="R34">
            <v>615</v>
          </cell>
          <cell r="S34">
            <v>397</v>
          </cell>
          <cell r="T34">
            <v>361</v>
          </cell>
          <cell r="U34">
            <v>357</v>
          </cell>
          <cell r="V34">
            <v>408</v>
          </cell>
          <cell r="W34">
            <v>324</v>
          </cell>
        </row>
        <row r="35">
          <cell r="F35" t="str">
            <v>UAI</v>
          </cell>
          <cell r="G35" t="str">
            <v>NO</v>
          </cell>
          <cell r="I35">
            <v>7.758186397984887E-2</v>
          </cell>
          <cell r="J35">
            <v>0.11235059760956176</v>
          </cell>
          <cell r="K35">
            <v>0.11445279866332497</v>
          </cell>
          <cell r="L35">
            <v>0.1</v>
          </cell>
          <cell r="M35">
            <v>0.10378787878787879</v>
          </cell>
          <cell r="N35">
            <v>1985</v>
          </cell>
          <cell r="O35">
            <v>1255</v>
          </cell>
          <cell r="P35">
            <v>1197</v>
          </cell>
          <cell r="Q35">
            <v>1220</v>
          </cell>
          <cell r="R35">
            <v>1320</v>
          </cell>
          <cell r="S35">
            <v>154</v>
          </cell>
          <cell r="T35">
            <v>141</v>
          </cell>
          <cell r="U35">
            <v>137</v>
          </cell>
          <cell r="V35">
            <v>122</v>
          </cell>
          <cell r="W35">
            <v>137</v>
          </cell>
        </row>
        <row r="36">
          <cell r="F36">
            <v>0</v>
          </cell>
          <cell r="G36" t="str">
            <v>NO</v>
          </cell>
          <cell r="I36">
            <v>0.55631399317406138</v>
          </cell>
          <cell r="J36">
            <v>0.65957446808510634</v>
          </cell>
          <cell r="K36">
            <v>0.73421052631578942</v>
          </cell>
          <cell r="L36">
            <v>0.73087818696883855</v>
          </cell>
          <cell r="M36">
            <v>0.61197916666666663</v>
          </cell>
          <cell r="N36">
            <v>293</v>
          </cell>
          <cell r="O36">
            <v>376</v>
          </cell>
          <cell r="P36">
            <v>380</v>
          </cell>
          <cell r="Q36">
            <v>353</v>
          </cell>
          <cell r="R36">
            <v>384</v>
          </cell>
          <cell r="S36">
            <v>163</v>
          </cell>
          <cell r="T36">
            <v>248</v>
          </cell>
          <cell r="U36">
            <v>279</v>
          </cell>
          <cell r="V36">
            <v>258</v>
          </cell>
          <cell r="W36">
            <v>235</v>
          </cell>
        </row>
        <row r="37">
          <cell r="F37" t="str">
            <v>UAH</v>
          </cell>
          <cell r="G37" t="str">
            <v>Sí</v>
          </cell>
          <cell r="I37">
            <v>0.52495697074010328</v>
          </cell>
          <cell r="J37">
            <v>0.54051863857374394</v>
          </cell>
          <cell r="K37">
            <v>0.54968454258675081</v>
          </cell>
          <cell r="L37">
            <v>0.5496598639455782</v>
          </cell>
          <cell r="M37">
            <v>0.67025733093955719</v>
          </cell>
          <cell r="N37">
            <v>1162</v>
          </cell>
          <cell r="O37">
            <v>1234</v>
          </cell>
          <cell r="P37">
            <v>1268</v>
          </cell>
          <cell r="Q37">
            <v>1470</v>
          </cell>
          <cell r="R37">
            <v>1671</v>
          </cell>
          <cell r="S37">
            <v>610</v>
          </cell>
          <cell r="T37">
            <v>667</v>
          </cell>
          <cell r="U37">
            <v>697</v>
          </cell>
          <cell r="V37">
            <v>808</v>
          </cell>
          <cell r="W37">
            <v>1120</v>
          </cell>
        </row>
        <row r="38">
          <cell r="F38" t="str">
            <v>UAB</v>
          </cell>
          <cell r="G38" t="str">
            <v>NO</v>
          </cell>
          <cell r="I38">
            <v>0.43491799875441145</v>
          </cell>
          <cell r="J38">
            <v>0.50858263854830799</v>
          </cell>
          <cell r="K38">
            <v>0.52253866465484722</v>
          </cell>
          <cell r="L38">
            <v>0.52252151559181848</v>
          </cell>
          <cell r="M38">
            <v>0.46727048167970359</v>
          </cell>
          <cell r="N38">
            <v>9634</v>
          </cell>
          <cell r="O38">
            <v>10195</v>
          </cell>
          <cell r="P38">
            <v>10604</v>
          </cell>
          <cell r="Q38">
            <v>8947</v>
          </cell>
          <cell r="R38">
            <v>9716</v>
          </cell>
          <cell r="S38">
            <v>4190</v>
          </cell>
          <cell r="T38">
            <v>5185</v>
          </cell>
          <cell r="U38">
            <v>5541</v>
          </cell>
          <cell r="V38">
            <v>4675</v>
          </cell>
          <cell r="W38">
            <v>4540</v>
          </cell>
        </row>
        <row r="39">
          <cell r="F39" t="str">
            <v>UAU</v>
          </cell>
          <cell r="G39" t="str">
            <v>Sí</v>
          </cell>
          <cell r="I39">
            <v>0.70137795275590553</v>
          </cell>
          <cell r="J39">
            <v>0.71059954464963315</v>
          </cell>
          <cell r="K39">
            <v>0.69373988127361041</v>
          </cell>
          <cell r="L39">
            <v>0.66383701188455013</v>
          </cell>
          <cell r="M39">
            <v>0.79819161215852252</v>
          </cell>
          <cell r="N39">
            <v>5080</v>
          </cell>
          <cell r="O39">
            <v>3953</v>
          </cell>
          <cell r="P39">
            <v>3706</v>
          </cell>
          <cell r="Q39">
            <v>4123</v>
          </cell>
          <cell r="R39">
            <v>5198</v>
          </cell>
          <cell r="S39">
            <v>3563</v>
          </cell>
          <cell r="T39">
            <v>2809</v>
          </cell>
          <cell r="U39">
            <v>2571</v>
          </cell>
          <cell r="V39">
            <v>2737</v>
          </cell>
          <cell r="W39">
            <v>4149</v>
          </cell>
        </row>
        <row r="40">
          <cell r="F40" t="str">
            <v>UBO</v>
          </cell>
          <cell r="G40" t="str">
            <v>NO</v>
          </cell>
          <cell r="I40">
            <v>0.53852596314907875</v>
          </cell>
          <cell r="J40">
            <v>0.37</v>
          </cell>
          <cell r="K40">
            <v>0.52112676056338025</v>
          </cell>
          <cell r="L40">
            <v>0.57673667205169632</v>
          </cell>
          <cell r="M40">
            <v>0.58879184861717615</v>
          </cell>
          <cell r="N40">
            <v>1194</v>
          </cell>
          <cell r="O40">
            <v>400</v>
          </cell>
          <cell r="P40">
            <v>1278</v>
          </cell>
          <cell r="Q40">
            <v>1238</v>
          </cell>
          <cell r="R40">
            <v>1374</v>
          </cell>
          <cell r="S40">
            <v>643</v>
          </cell>
          <cell r="T40">
            <v>148</v>
          </cell>
          <cell r="U40">
            <v>666</v>
          </cell>
          <cell r="V40">
            <v>714</v>
          </cell>
          <cell r="W40">
            <v>809</v>
          </cell>
        </row>
        <row r="41">
          <cell r="F41">
            <v>0</v>
          </cell>
          <cell r="G41" t="str">
            <v>NO</v>
          </cell>
          <cell r="I41">
            <v>0.17765042979942694</v>
          </cell>
          <cell r="J41">
            <v>0.2058252427184466</v>
          </cell>
          <cell r="K41">
            <v>0.17391304347826086</v>
          </cell>
          <cell r="L41">
            <v>0.23798076923076922</v>
          </cell>
          <cell r="M41">
            <v>0.28729838709677419</v>
          </cell>
          <cell r="N41">
            <v>349</v>
          </cell>
          <cell r="O41">
            <v>1030</v>
          </cell>
          <cell r="P41">
            <v>460</v>
          </cell>
          <cell r="Q41">
            <v>416</v>
          </cell>
          <cell r="R41">
            <v>992</v>
          </cell>
          <cell r="S41">
            <v>62</v>
          </cell>
          <cell r="T41">
            <v>212</v>
          </cell>
          <cell r="U41">
            <v>80</v>
          </cell>
          <cell r="V41">
            <v>99</v>
          </cell>
          <cell r="W41">
            <v>285</v>
          </cell>
        </row>
        <row r="42">
          <cell r="F42" t="str">
            <v>UCS</v>
          </cell>
          <cell r="G42" t="str">
            <v>Sí</v>
          </cell>
          <cell r="I42">
            <v>0.44831223628691985</v>
          </cell>
          <cell r="J42">
            <v>0.55592105263157898</v>
          </cell>
          <cell r="K42">
            <v>0.54957507082152979</v>
          </cell>
          <cell r="L42">
            <v>0.58289241622574961</v>
          </cell>
          <cell r="M42">
            <v>0.81757656458055927</v>
          </cell>
          <cell r="N42">
            <v>948</v>
          </cell>
          <cell r="O42">
            <v>912</v>
          </cell>
          <cell r="P42">
            <v>1059</v>
          </cell>
          <cell r="Q42">
            <v>1134</v>
          </cell>
          <cell r="R42">
            <v>1502</v>
          </cell>
          <cell r="S42">
            <v>425</v>
          </cell>
          <cell r="T42">
            <v>507</v>
          </cell>
          <cell r="U42">
            <v>582</v>
          </cell>
          <cell r="V42">
            <v>661</v>
          </cell>
          <cell r="W42">
            <v>1228</v>
          </cell>
        </row>
        <row r="43">
          <cell r="F43" t="str">
            <v>UCE</v>
          </cell>
          <cell r="G43" t="str">
            <v>NO</v>
          </cell>
          <cell r="I43">
            <v>0.54289166331051153</v>
          </cell>
          <cell r="J43">
            <v>0.5735115431348724</v>
          </cell>
          <cell r="K43">
            <v>0.59445337620578775</v>
          </cell>
          <cell r="L43">
            <v>0.53638344226579515</v>
          </cell>
          <cell r="M43">
            <v>0.50074074074074071</v>
          </cell>
          <cell r="N43">
            <v>2483</v>
          </cell>
          <cell r="O43">
            <v>2469</v>
          </cell>
          <cell r="P43">
            <v>2488</v>
          </cell>
          <cell r="Q43">
            <v>2295</v>
          </cell>
          <cell r="R43">
            <v>2025</v>
          </cell>
          <cell r="S43">
            <v>1348</v>
          </cell>
          <cell r="T43">
            <v>1416</v>
          </cell>
          <cell r="U43">
            <v>1479</v>
          </cell>
          <cell r="V43">
            <v>1231</v>
          </cell>
          <cell r="W43">
            <v>1014</v>
          </cell>
        </row>
        <row r="44">
          <cell r="F44">
            <v>0</v>
          </cell>
          <cell r="G44" t="str">
            <v>NO</v>
          </cell>
          <cell r="I44">
            <v>0.10752688172043011</v>
          </cell>
          <cell r="J44">
            <v>0.12380952380952381</v>
          </cell>
          <cell r="K44">
            <v>0.20143884892086331</v>
          </cell>
          <cell r="L44">
            <v>0.18939393939393939</v>
          </cell>
          <cell r="M44">
            <v>0.20833333333333334</v>
          </cell>
          <cell r="N44">
            <v>93</v>
          </cell>
          <cell r="O44">
            <v>105</v>
          </cell>
          <cell r="P44">
            <v>139</v>
          </cell>
          <cell r="Q44">
            <v>132</v>
          </cell>
          <cell r="R44">
            <v>120</v>
          </cell>
          <cell r="S44">
            <v>10</v>
          </cell>
          <cell r="T44">
            <v>13</v>
          </cell>
          <cell r="U44">
            <v>28</v>
          </cell>
          <cell r="V44">
            <v>25</v>
          </cell>
          <cell r="W44">
            <v>25</v>
          </cell>
        </row>
        <row r="45">
          <cell r="F45">
            <v>0</v>
          </cell>
          <cell r="G45" t="str">
            <v>NO</v>
          </cell>
          <cell r="I45">
            <v>0.18237082066869301</v>
          </cell>
          <cell r="J45">
            <v>0.18704379562043796</v>
          </cell>
          <cell r="K45">
            <v>0.25979680696661828</v>
          </cell>
          <cell r="L45">
            <v>0.30434782608695654</v>
          </cell>
          <cell r="M45">
            <v>0.33590308370044053</v>
          </cell>
          <cell r="N45">
            <v>1316</v>
          </cell>
          <cell r="O45">
            <v>1096</v>
          </cell>
          <cell r="P45">
            <v>689</v>
          </cell>
          <cell r="Q45">
            <v>1081</v>
          </cell>
          <cell r="R45">
            <v>908</v>
          </cell>
          <cell r="S45">
            <v>240</v>
          </cell>
          <cell r="T45">
            <v>205</v>
          </cell>
          <cell r="U45">
            <v>179</v>
          </cell>
          <cell r="V45">
            <v>329</v>
          </cell>
          <cell r="W45">
            <v>305</v>
          </cell>
        </row>
        <row r="46">
          <cell r="F46">
            <v>0</v>
          </cell>
          <cell r="G46" t="str">
            <v>NO</v>
          </cell>
          <cell r="I46">
            <v>0.417940876656473</v>
          </cell>
          <cell r="J46">
            <v>0.46642246642246643</v>
          </cell>
          <cell r="K46">
            <v>0.4796854521625164</v>
          </cell>
          <cell r="L46">
            <v>0</v>
          </cell>
          <cell r="M46">
            <v>0.33333333333333331</v>
          </cell>
          <cell r="N46">
            <v>981</v>
          </cell>
          <cell r="O46">
            <v>819</v>
          </cell>
          <cell r="P46">
            <v>763</v>
          </cell>
          <cell r="Q46">
            <v>0</v>
          </cell>
          <cell r="R46">
            <v>33</v>
          </cell>
          <cell r="S46">
            <v>410</v>
          </cell>
          <cell r="T46">
            <v>382</v>
          </cell>
          <cell r="U46">
            <v>366</v>
          </cell>
          <cell r="V46">
            <v>0</v>
          </cell>
          <cell r="W46">
            <v>11</v>
          </cell>
        </row>
        <row r="47">
          <cell r="F47">
            <v>0</v>
          </cell>
          <cell r="G47" t="str">
            <v>NO</v>
          </cell>
          <cell r="I47">
            <v>0.11253196930946291</v>
          </cell>
          <cell r="J47">
            <v>0.14606741573033707</v>
          </cell>
          <cell r="K47">
            <v>0.20357142857142857</v>
          </cell>
          <cell r="L47">
            <v>0.22479564032697547</v>
          </cell>
          <cell r="M47">
            <v>0.24376731301939059</v>
          </cell>
          <cell r="N47">
            <v>782</v>
          </cell>
          <cell r="O47">
            <v>534</v>
          </cell>
          <cell r="P47">
            <v>560</v>
          </cell>
          <cell r="Q47">
            <v>734</v>
          </cell>
          <cell r="R47">
            <v>722</v>
          </cell>
          <cell r="S47">
            <v>88</v>
          </cell>
          <cell r="T47">
            <v>78</v>
          </cell>
          <cell r="U47">
            <v>114</v>
          </cell>
          <cell r="V47">
            <v>165</v>
          </cell>
          <cell r="W47">
            <v>176</v>
          </cell>
        </row>
        <row r="48">
          <cell r="F48">
            <v>0</v>
          </cell>
          <cell r="G48" t="str">
            <v>NO</v>
          </cell>
          <cell r="I48">
            <v>0.45065838141736941</v>
          </cell>
          <cell r="J48">
            <v>0.48454070201643018</v>
          </cell>
          <cell r="K48">
            <v>0.3836967808930426</v>
          </cell>
          <cell r="L48">
            <v>0.39352226720647776</v>
          </cell>
          <cell r="M48">
            <v>0.48015034061545692</v>
          </cell>
          <cell r="N48">
            <v>6759</v>
          </cell>
          <cell r="O48">
            <v>6695</v>
          </cell>
          <cell r="P48">
            <v>3852</v>
          </cell>
          <cell r="Q48">
            <v>3705</v>
          </cell>
          <cell r="R48">
            <v>4257</v>
          </cell>
          <cell r="S48">
            <v>3046</v>
          </cell>
          <cell r="T48">
            <v>3244</v>
          </cell>
          <cell r="U48">
            <v>1478</v>
          </cell>
          <cell r="V48">
            <v>1458</v>
          </cell>
          <cell r="W48">
            <v>2044</v>
          </cell>
        </row>
        <row r="49">
          <cell r="F49" t="str">
            <v>UAN</v>
          </cell>
          <cell r="G49" t="str">
            <v>NO</v>
          </cell>
          <cell r="I49">
            <v>0.10035419126328217</v>
          </cell>
          <cell r="J49">
            <v>9.9911582670203364E-2</v>
          </cell>
          <cell r="K49">
            <v>9.3648208469055375E-2</v>
          </cell>
          <cell r="L49">
            <v>9.5973154362416102E-2</v>
          </cell>
          <cell r="M49">
            <v>0.10396825396825397</v>
          </cell>
          <cell r="N49">
            <v>847</v>
          </cell>
          <cell r="O49">
            <v>1131</v>
          </cell>
          <cell r="P49">
            <v>1228</v>
          </cell>
          <cell r="Q49">
            <v>1490</v>
          </cell>
          <cell r="R49">
            <v>1260</v>
          </cell>
          <cell r="S49">
            <v>85</v>
          </cell>
          <cell r="T49">
            <v>113</v>
          </cell>
          <cell r="U49">
            <v>115</v>
          </cell>
          <cell r="V49">
            <v>143</v>
          </cell>
          <cell r="W49">
            <v>131</v>
          </cell>
        </row>
        <row r="50">
          <cell r="F50" t="str">
            <v>UVM</v>
          </cell>
          <cell r="G50" t="str">
            <v>NO</v>
          </cell>
          <cell r="I50">
            <v>0.48609625668449197</v>
          </cell>
          <cell r="J50">
            <v>0.54300168634064083</v>
          </cell>
          <cell r="K50">
            <v>0.56441717791411039</v>
          </cell>
          <cell r="L50">
            <v>0.56050955414012738</v>
          </cell>
          <cell r="M50">
            <v>0.57415355269432522</v>
          </cell>
          <cell r="N50">
            <v>1870</v>
          </cell>
          <cell r="O50">
            <v>1186</v>
          </cell>
          <cell r="P50">
            <v>1956</v>
          </cell>
          <cell r="Q50">
            <v>1884</v>
          </cell>
          <cell r="R50">
            <v>2097</v>
          </cell>
          <cell r="S50">
            <v>909</v>
          </cell>
          <cell r="T50">
            <v>644</v>
          </cell>
          <cell r="U50">
            <v>1104</v>
          </cell>
          <cell r="V50">
            <v>1056</v>
          </cell>
          <cell r="W50">
            <v>1204</v>
          </cell>
        </row>
        <row r="51">
          <cell r="F51" t="str">
            <v>UDD</v>
          </cell>
          <cell r="G51" t="str">
            <v>NO</v>
          </cell>
          <cell r="I51">
            <v>0.17700112739571588</v>
          </cell>
          <cell r="J51">
            <v>0.17885532591414943</v>
          </cell>
          <cell r="K51">
            <v>0.19187898089171976</v>
          </cell>
          <cell r="L51">
            <v>0.19924953095684803</v>
          </cell>
          <cell r="M51">
            <v>0.1906147690069116</v>
          </cell>
          <cell r="N51">
            <v>2661</v>
          </cell>
          <cell r="O51">
            <v>2516</v>
          </cell>
          <cell r="P51">
            <v>2512</v>
          </cell>
          <cell r="Q51">
            <v>2665</v>
          </cell>
          <cell r="R51">
            <v>2749</v>
          </cell>
          <cell r="S51">
            <v>471</v>
          </cell>
          <cell r="T51">
            <v>450</v>
          </cell>
          <cell r="U51">
            <v>482</v>
          </cell>
          <cell r="V51">
            <v>531</v>
          </cell>
          <cell r="W51">
            <v>524</v>
          </cell>
        </row>
        <row r="52">
          <cell r="F52">
            <v>0</v>
          </cell>
          <cell r="G52" t="str">
            <v>NO</v>
          </cell>
          <cell r="I52">
            <v>0.38678387390118218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3299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1276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F53" t="str">
            <v>UPO</v>
          </cell>
          <cell r="G53" t="str">
            <v>NO</v>
          </cell>
          <cell r="I53">
            <v>0.35604395604395606</v>
          </cell>
          <cell r="J53">
            <v>0.36319018404907977</v>
          </cell>
          <cell r="K53">
            <v>0.36484687083888151</v>
          </cell>
          <cell r="L53">
            <v>0.30078125</v>
          </cell>
          <cell r="M53">
            <v>0.35294117647058826</v>
          </cell>
          <cell r="N53">
            <v>910</v>
          </cell>
          <cell r="O53">
            <v>815</v>
          </cell>
          <cell r="P53">
            <v>751</v>
          </cell>
          <cell r="Q53">
            <v>512</v>
          </cell>
          <cell r="R53">
            <v>561</v>
          </cell>
          <cell r="S53">
            <v>324</v>
          </cell>
          <cell r="T53">
            <v>296</v>
          </cell>
          <cell r="U53">
            <v>274</v>
          </cell>
          <cell r="V53">
            <v>154</v>
          </cell>
          <cell r="W53">
            <v>198</v>
          </cell>
        </row>
        <row r="54">
          <cell r="F54" t="str">
            <v>UDP</v>
          </cell>
          <cell r="G54" t="str">
            <v>Sí</v>
          </cell>
          <cell r="I54">
            <v>0.29138276553106213</v>
          </cell>
          <cell r="J54">
            <v>0.36324479540559945</v>
          </cell>
          <cell r="K54">
            <v>0.39039887045534771</v>
          </cell>
          <cell r="L54">
            <v>0.36712425202393523</v>
          </cell>
          <cell r="M54">
            <v>0.54106280193236711</v>
          </cell>
          <cell r="N54">
            <v>2495</v>
          </cell>
          <cell r="O54">
            <v>2786</v>
          </cell>
          <cell r="P54">
            <v>2833</v>
          </cell>
          <cell r="Q54">
            <v>2841</v>
          </cell>
          <cell r="R54">
            <v>3105</v>
          </cell>
          <cell r="S54">
            <v>727</v>
          </cell>
          <cell r="T54">
            <v>1012</v>
          </cell>
          <cell r="U54">
            <v>1106</v>
          </cell>
          <cell r="V54">
            <v>1043</v>
          </cell>
          <cell r="W54">
            <v>1680</v>
          </cell>
        </row>
        <row r="55">
          <cell r="F55" t="str">
            <v>UFT</v>
          </cell>
          <cell r="G55" t="str">
            <v>Sí</v>
          </cell>
          <cell r="I55">
            <v>0.26178010471204188</v>
          </cell>
          <cell r="J55">
            <v>0.32300884955752213</v>
          </cell>
          <cell r="K55">
            <v>0.3080851063829787</v>
          </cell>
          <cell r="L55">
            <v>0.32340425531914896</v>
          </cell>
          <cell r="M55">
            <v>0.62418879056047194</v>
          </cell>
          <cell r="N55">
            <v>1146</v>
          </cell>
          <cell r="O55">
            <v>1130</v>
          </cell>
          <cell r="P55">
            <v>1175</v>
          </cell>
          <cell r="Q55">
            <v>1410</v>
          </cell>
          <cell r="R55">
            <v>1695</v>
          </cell>
          <cell r="S55">
            <v>300</v>
          </cell>
          <cell r="T55">
            <v>365</v>
          </cell>
          <cell r="U55">
            <v>362</v>
          </cell>
          <cell r="V55">
            <v>456</v>
          </cell>
          <cell r="W55">
            <v>1058</v>
          </cell>
        </row>
      </sheetData>
      <sheetData sheetId="6">
        <row r="10">
          <cell r="E10" t="str">
            <v>PUC</v>
          </cell>
          <cell r="F10" t="str">
            <v>Sí</v>
          </cell>
          <cell r="G10">
            <v>0.89298626174981921</v>
          </cell>
          <cell r="H10">
            <v>0.85682372055239642</v>
          </cell>
          <cell r="I10">
            <v>0.86888078325974272</v>
          </cell>
          <cell r="J10">
            <v>0.89136704479907714</v>
          </cell>
          <cell r="K10">
            <v>0.88490709139173307</v>
          </cell>
          <cell r="L10">
            <v>4149</v>
          </cell>
          <cell r="M10">
            <v>4924</v>
          </cell>
          <cell r="N10">
            <v>5209</v>
          </cell>
          <cell r="O10">
            <v>5201</v>
          </cell>
          <cell r="P10">
            <v>5274</v>
          </cell>
          <cell r="Q10">
            <v>3705</v>
          </cell>
          <cell r="R10">
            <v>4219</v>
          </cell>
          <cell r="S10">
            <v>4526</v>
          </cell>
          <cell r="T10">
            <v>4636</v>
          </cell>
          <cell r="U10">
            <v>4667</v>
          </cell>
        </row>
        <row r="11">
          <cell r="E11" t="str">
            <v>UCV</v>
          </cell>
          <cell r="F11" t="str">
            <v>Sí</v>
          </cell>
          <cell r="G11">
            <v>0.75047558655675328</v>
          </cell>
          <cell r="H11">
            <v>0.75885103540414167</v>
          </cell>
          <cell r="I11">
            <v>0.75530586766541818</v>
          </cell>
          <cell r="J11">
            <v>0.79987492182614128</v>
          </cell>
          <cell r="K11">
            <v>0.79939117199391174</v>
          </cell>
          <cell r="L11">
            <v>3154</v>
          </cell>
          <cell r="M11">
            <v>2994</v>
          </cell>
          <cell r="N11">
            <v>3204</v>
          </cell>
          <cell r="O11">
            <v>3198</v>
          </cell>
          <cell r="P11">
            <v>3285</v>
          </cell>
          <cell r="Q11">
            <v>2367</v>
          </cell>
          <cell r="R11">
            <v>2272</v>
          </cell>
          <cell r="S11">
            <v>2420</v>
          </cell>
          <cell r="T11">
            <v>2558</v>
          </cell>
          <cell r="U11">
            <v>2626</v>
          </cell>
        </row>
        <row r="12">
          <cell r="E12" t="str">
            <v>UAP</v>
          </cell>
          <cell r="F12" t="str">
            <v>Sí</v>
          </cell>
          <cell r="G12">
            <v>0.59238095238095234</v>
          </cell>
          <cell r="H12">
            <v>0.75375375375375375</v>
          </cell>
          <cell r="I12">
            <v>0.69700103412616343</v>
          </cell>
          <cell r="J12">
            <v>0.74806201550387597</v>
          </cell>
          <cell r="K12">
            <v>0.71413390010626998</v>
          </cell>
          <cell r="L12">
            <v>1050</v>
          </cell>
          <cell r="M12">
            <v>999</v>
          </cell>
          <cell r="N12">
            <v>967</v>
          </cell>
          <cell r="O12">
            <v>1032</v>
          </cell>
          <cell r="P12">
            <v>941</v>
          </cell>
          <cell r="Q12">
            <v>622</v>
          </cell>
          <cell r="R12">
            <v>753</v>
          </cell>
          <cell r="S12">
            <v>674</v>
          </cell>
          <cell r="T12">
            <v>772</v>
          </cell>
          <cell r="U12">
            <v>672</v>
          </cell>
        </row>
        <row r="13">
          <cell r="E13" t="str">
            <v>AUS</v>
          </cell>
          <cell r="F13" t="str">
            <v>Sí</v>
          </cell>
          <cell r="G13">
            <v>0.80495477782147073</v>
          </cell>
          <cell r="H13">
            <v>0.82813816343723679</v>
          </cell>
          <cell r="I13">
            <v>0.82636060718252502</v>
          </cell>
          <cell r="J13">
            <v>0.82806252271901126</v>
          </cell>
          <cell r="K13">
            <v>0.81880108991825618</v>
          </cell>
          <cell r="L13">
            <v>2543</v>
          </cell>
          <cell r="M13">
            <v>2374</v>
          </cell>
          <cell r="N13">
            <v>2701</v>
          </cell>
          <cell r="O13">
            <v>2751</v>
          </cell>
          <cell r="P13">
            <v>2936</v>
          </cell>
          <cell r="Q13">
            <v>2047</v>
          </cell>
          <cell r="R13">
            <v>1966</v>
          </cell>
          <cell r="S13">
            <v>2232</v>
          </cell>
          <cell r="T13">
            <v>2278</v>
          </cell>
          <cell r="U13">
            <v>2404</v>
          </cell>
        </row>
        <row r="14">
          <cell r="E14" t="str">
            <v>USC</v>
          </cell>
          <cell r="F14" t="str">
            <v>Sí</v>
          </cell>
          <cell r="G14">
            <v>0.81583287520615722</v>
          </cell>
          <cell r="H14">
            <v>0.8288912579957356</v>
          </cell>
          <cell r="I14">
            <v>0.83742534837425353</v>
          </cell>
          <cell r="J14">
            <v>0.85072886297376094</v>
          </cell>
          <cell r="K14">
            <v>0.83566238121855785</v>
          </cell>
          <cell r="L14">
            <v>1819</v>
          </cell>
          <cell r="M14">
            <v>1876</v>
          </cell>
          <cell r="N14">
            <v>1507</v>
          </cell>
          <cell r="O14">
            <v>1715</v>
          </cell>
          <cell r="P14">
            <v>1789</v>
          </cell>
          <cell r="Q14">
            <v>1484</v>
          </cell>
          <cell r="R14">
            <v>1555</v>
          </cell>
          <cell r="S14">
            <v>1262</v>
          </cell>
          <cell r="T14">
            <v>1459</v>
          </cell>
          <cell r="U14">
            <v>1495</v>
          </cell>
        </row>
        <row r="15">
          <cell r="E15" t="str">
            <v>UCT</v>
          </cell>
          <cell r="F15" t="str">
            <v>Sí</v>
          </cell>
          <cell r="G15">
            <v>0.75808457711442789</v>
          </cell>
          <cell r="H15">
            <v>0.80024286581663628</v>
          </cell>
          <cell r="I15">
            <v>0.82510964912280704</v>
          </cell>
          <cell r="J15">
            <v>0.84678845020624627</v>
          </cell>
          <cell r="K15">
            <v>0.81775700934579443</v>
          </cell>
          <cell r="L15">
            <v>1608</v>
          </cell>
          <cell r="M15">
            <v>1647</v>
          </cell>
          <cell r="N15">
            <v>1824</v>
          </cell>
          <cell r="O15">
            <v>1697</v>
          </cell>
          <cell r="P15">
            <v>1926</v>
          </cell>
          <cell r="Q15">
            <v>1219</v>
          </cell>
          <cell r="R15">
            <v>1318</v>
          </cell>
          <cell r="S15">
            <v>1505</v>
          </cell>
          <cell r="T15">
            <v>1437</v>
          </cell>
          <cell r="U15">
            <v>1575</v>
          </cell>
        </row>
        <row r="16">
          <cell r="E16" t="str">
            <v>UCM</v>
          </cell>
          <cell r="F16" t="str">
            <v>Sí</v>
          </cell>
          <cell r="G16">
            <v>0.83007047768206732</v>
          </cell>
          <cell r="H16">
            <v>0.90519877675840976</v>
          </cell>
          <cell r="I16">
            <v>0.86107290233837686</v>
          </cell>
          <cell r="J16">
            <v>0.85092250922509227</v>
          </cell>
          <cell r="K16">
            <v>0.8776520509193777</v>
          </cell>
          <cell r="L16">
            <v>1277</v>
          </cell>
          <cell r="M16">
            <v>1308</v>
          </cell>
          <cell r="N16">
            <v>1454</v>
          </cell>
          <cell r="O16">
            <v>1355</v>
          </cell>
          <cell r="P16">
            <v>1414</v>
          </cell>
          <cell r="Q16">
            <v>1060</v>
          </cell>
          <cell r="R16">
            <v>1184</v>
          </cell>
          <cell r="S16">
            <v>1252</v>
          </cell>
          <cell r="T16">
            <v>1153</v>
          </cell>
          <cell r="U16">
            <v>1241</v>
          </cell>
        </row>
        <row r="17">
          <cell r="E17" t="str">
            <v>UCN</v>
          </cell>
          <cell r="F17" t="str">
            <v>Sí</v>
          </cell>
          <cell r="G17">
            <v>0.74725877192982459</v>
          </cell>
          <cell r="H17">
            <v>0.79702687249857063</v>
          </cell>
          <cell r="I17">
            <v>0.82404997397188962</v>
          </cell>
          <cell r="J17">
            <v>0.80914407230196705</v>
          </cell>
          <cell r="K17">
            <v>0.81589743589743591</v>
          </cell>
          <cell r="L17">
            <v>1824</v>
          </cell>
          <cell r="M17">
            <v>1749</v>
          </cell>
          <cell r="N17">
            <v>1921</v>
          </cell>
          <cell r="O17">
            <v>1881</v>
          </cell>
          <cell r="P17">
            <v>1950</v>
          </cell>
          <cell r="Q17">
            <v>1363</v>
          </cell>
          <cell r="R17">
            <v>1394</v>
          </cell>
          <cell r="S17">
            <v>1583</v>
          </cell>
          <cell r="T17">
            <v>1522</v>
          </cell>
          <cell r="U17">
            <v>1591</v>
          </cell>
        </row>
        <row r="18">
          <cell r="E18" t="str">
            <v>ANT</v>
          </cell>
          <cell r="F18" t="str">
            <v>Sí</v>
          </cell>
          <cell r="G18">
            <v>0.76744186046511631</v>
          </cell>
          <cell r="H18">
            <v>0.84669338677354711</v>
          </cell>
          <cell r="I18">
            <v>0.81341911764705888</v>
          </cell>
          <cell r="J18">
            <v>0.8433420365535248</v>
          </cell>
          <cell r="K18">
            <v>0.80489864864864868</v>
          </cell>
          <cell r="L18">
            <v>817</v>
          </cell>
          <cell r="M18">
            <v>998</v>
          </cell>
          <cell r="N18">
            <v>1088</v>
          </cell>
          <cell r="O18">
            <v>1149</v>
          </cell>
          <cell r="P18">
            <v>1184</v>
          </cell>
          <cell r="Q18">
            <v>627</v>
          </cell>
          <cell r="R18">
            <v>845</v>
          </cell>
          <cell r="S18">
            <v>885</v>
          </cell>
          <cell r="T18">
            <v>969</v>
          </cell>
          <cell r="U18">
            <v>953</v>
          </cell>
        </row>
        <row r="19">
          <cell r="E19" t="str">
            <v>ATA</v>
          </cell>
          <cell r="F19" t="str">
            <v>Sí</v>
          </cell>
          <cell r="G19">
            <v>0.67192429022082023</v>
          </cell>
          <cell r="H19">
            <v>0.74014598540145982</v>
          </cell>
          <cell r="I19">
            <v>0.80804020100502516</v>
          </cell>
          <cell r="J19">
            <v>0.70819304152637486</v>
          </cell>
          <cell r="K19">
            <v>0.7467980295566502</v>
          </cell>
          <cell r="L19">
            <v>634</v>
          </cell>
          <cell r="M19">
            <v>685</v>
          </cell>
          <cell r="N19">
            <v>995</v>
          </cell>
          <cell r="O19">
            <v>891</v>
          </cell>
          <cell r="P19">
            <v>1015</v>
          </cell>
          <cell r="Q19">
            <v>426</v>
          </cell>
          <cell r="R19">
            <v>507</v>
          </cell>
          <cell r="S19">
            <v>804</v>
          </cell>
          <cell r="T19">
            <v>631</v>
          </cell>
          <cell r="U19">
            <v>758</v>
          </cell>
        </row>
        <row r="20">
          <cell r="E20" t="str">
            <v>UCH</v>
          </cell>
          <cell r="F20" t="str">
            <v>Sí</v>
          </cell>
          <cell r="G20">
            <v>0.8391969787318625</v>
          </cell>
          <cell r="H20">
            <v>0.84856344772545889</v>
          </cell>
          <cell r="I20">
            <v>0.82985187998480825</v>
          </cell>
          <cell r="J20">
            <v>0.83977110157367663</v>
          </cell>
          <cell r="K20">
            <v>0.83457249070631967</v>
          </cell>
          <cell r="L20">
            <v>5031</v>
          </cell>
          <cell r="M20">
            <v>5012</v>
          </cell>
          <cell r="N20">
            <v>5266</v>
          </cell>
          <cell r="O20">
            <v>5592</v>
          </cell>
          <cell r="P20">
            <v>5918</v>
          </cell>
          <cell r="Q20">
            <v>4222</v>
          </cell>
          <cell r="R20">
            <v>4253</v>
          </cell>
          <cell r="S20">
            <v>4370</v>
          </cell>
          <cell r="T20">
            <v>4696</v>
          </cell>
          <cell r="U20">
            <v>4939</v>
          </cell>
        </row>
        <row r="21">
          <cell r="E21" t="str">
            <v>UCO</v>
          </cell>
          <cell r="F21" t="str">
            <v>Sí</v>
          </cell>
          <cell r="G21">
            <v>0.79117835073513743</v>
          </cell>
          <cell r="H21">
            <v>0.80757031084795938</v>
          </cell>
          <cell r="I21">
            <v>0.8164328657314629</v>
          </cell>
          <cell r="J21">
            <v>0.80204125026578776</v>
          </cell>
          <cell r="K21">
            <v>0.8</v>
          </cell>
          <cell r="L21">
            <v>4693</v>
          </cell>
          <cell r="M21">
            <v>4729</v>
          </cell>
          <cell r="N21">
            <v>4990</v>
          </cell>
          <cell r="O21">
            <v>4703</v>
          </cell>
          <cell r="P21">
            <v>4875</v>
          </cell>
          <cell r="Q21">
            <v>3713</v>
          </cell>
          <cell r="R21">
            <v>3819</v>
          </cell>
          <cell r="S21">
            <v>4074</v>
          </cell>
          <cell r="T21">
            <v>3772</v>
          </cell>
          <cell r="U21">
            <v>3900</v>
          </cell>
        </row>
        <row r="22">
          <cell r="E22" t="str">
            <v>FRO</v>
          </cell>
          <cell r="F22" t="str">
            <v>Sí</v>
          </cell>
          <cell r="G22">
            <v>0.82997762863534674</v>
          </cell>
          <cell r="H22">
            <v>0.85479733196511032</v>
          </cell>
          <cell r="I22">
            <v>0.83732789393166751</v>
          </cell>
          <cell r="J22">
            <v>0.84185556141275697</v>
          </cell>
          <cell r="K22">
            <v>0.83824239497827135</v>
          </cell>
          <cell r="L22">
            <v>1788</v>
          </cell>
          <cell r="M22">
            <v>1949</v>
          </cell>
          <cell r="N22">
            <v>1961</v>
          </cell>
          <cell r="O22">
            <v>1897</v>
          </cell>
          <cell r="P22">
            <v>2071</v>
          </cell>
          <cell r="Q22">
            <v>1484</v>
          </cell>
          <cell r="R22">
            <v>1666</v>
          </cell>
          <cell r="S22">
            <v>1642</v>
          </cell>
          <cell r="T22">
            <v>1597</v>
          </cell>
          <cell r="U22">
            <v>1736</v>
          </cell>
        </row>
        <row r="23">
          <cell r="E23" t="str">
            <v>ULS</v>
          </cell>
          <cell r="F23" t="str">
            <v>Sí</v>
          </cell>
          <cell r="G23">
            <v>0.78412911903160731</v>
          </cell>
          <cell r="H23">
            <v>0.8282763072950291</v>
          </cell>
          <cell r="I23">
            <v>0.78045763760049469</v>
          </cell>
          <cell r="J23">
            <v>0.79430789133247093</v>
          </cell>
          <cell r="K23">
            <v>0.76452410383189118</v>
          </cell>
          <cell r="L23">
            <v>1487</v>
          </cell>
          <cell r="M23">
            <v>1549</v>
          </cell>
          <cell r="N23">
            <v>1617</v>
          </cell>
          <cell r="O23">
            <v>1546</v>
          </cell>
          <cell r="P23">
            <v>1618</v>
          </cell>
          <cell r="Q23">
            <v>1166</v>
          </cell>
          <cell r="R23">
            <v>1283</v>
          </cell>
          <cell r="S23">
            <v>1262</v>
          </cell>
          <cell r="T23">
            <v>1228</v>
          </cell>
          <cell r="U23">
            <v>1237</v>
          </cell>
        </row>
        <row r="24">
          <cell r="E24" t="str">
            <v>ULA</v>
          </cell>
          <cell r="F24" t="str">
            <v>Sí</v>
          </cell>
          <cell r="G24">
            <v>0.77974683544303802</v>
          </cell>
          <cell r="H24">
            <v>0.85825545171339568</v>
          </cell>
          <cell r="I24">
            <v>0.78331090174966356</v>
          </cell>
          <cell r="J24">
            <v>0.80564971751412429</v>
          </cell>
          <cell r="K24">
            <v>0.83471074380165289</v>
          </cell>
          <cell r="L24">
            <v>790</v>
          </cell>
          <cell r="M24">
            <v>642</v>
          </cell>
          <cell r="N24">
            <v>743</v>
          </cell>
          <cell r="O24">
            <v>885</v>
          </cell>
          <cell r="P24">
            <v>847</v>
          </cell>
          <cell r="Q24">
            <v>616</v>
          </cell>
          <cell r="R24">
            <v>551</v>
          </cell>
          <cell r="S24">
            <v>582</v>
          </cell>
          <cell r="T24">
            <v>713</v>
          </cell>
          <cell r="U24">
            <v>707</v>
          </cell>
        </row>
        <row r="25">
          <cell r="E25" t="str">
            <v>MAG</v>
          </cell>
          <cell r="F25" t="str">
            <v>Sí</v>
          </cell>
          <cell r="G25">
            <v>0.80842105263157893</v>
          </cell>
          <cell r="H25">
            <v>0.80090497737556565</v>
          </cell>
          <cell r="I25">
            <v>0.80991735537190079</v>
          </cell>
          <cell r="J25">
            <v>0.83542039355992848</v>
          </cell>
          <cell r="K25">
            <v>0.80059970014992499</v>
          </cell>
          <cell r="L25">
            <v>475</v>
          </cell>
          <cell r="M25">
            <v>442</v>
          </cell>
          <cell r="N25">
            <v>605</v>
          </cell>
          <cell r="O25">
            <v>559</v>
          </cell>
          <cell r="P25">
            <v>667</v>
          </cell>
          <cell r="Q25">
            <v>384</v>
          </cell>
          <cell r="R25">
            <v>354</v>
          </cell>
          <cell r="S25">
            <v>490</v>
          </cell>
          <cell r="T25">
            <v>467</v>
          </cell>
          <cell r="U25">
            <v>534</v>
          </cell>
        </row>
        <row r="26">
          <cell r="E26" t="str">
            <v>UPA</v>
          </cell>
          <cell r="F26" t="str">
            <v>Sí</v>
          </cell>
          <cell r="G26">
            <v>0.75848416289592757</v>
          </cell>
          <cell r="H26">
            <v>0.80068027210884352</v>
          </cell>
          <cell r="I26">
            <v>0.74563242487770787</v>
          </cell>
          <cell r="J26">
            <v>0.78206026629292225</v>
          </cell>
          <cell r="K26">
            <v>0.76256499133448874</v>
          </cell>
          <cell r="L26">
            <v>1768</v>
          </cell>
          <cell r="M26">
            <v>1470</v>
          </cell>
          <cell r="N26">
            <v>1431</v>
          </cell>
          <cell r="O26">
            <v>1427</v>
          </cell>
          <cell r="P26">
            <v>1731</v>
          </cell>
          <cell r="Q26">
            <v>1341</v>
          </cell>
          <cell r="R26">
            <v>1177</v>
          </cell>
          <cell r="S26">
            <v>1067</v>
          </cell>
          <cell r="T26">
            <v>1116</v>
          </cell>
          <cell r="U26">
            <v>1320</v>
          </cell>
        </row>
        <row r="27">
          <cell r="E27" t="str">
            <v>USA</v>
          </cell>
          <cell r="F27" t="str">
            <v>Sí</v>
          </cell>
          <cell r="G27">
            <v>0.75928143712574847</v>
          </cell>
          <cell r="H27">
            <v>0.8294005966910768</v>
          </cell>
          <cell r="I27">
            <v>0.80099040544722999</v>
          </cell>
          <cell r="J27">
            <v>0.79994721562417526</v>
          </cell>
          <cell r="K27">
            <v>0.75778210116731515</v>
          </cell>
          <cell r="L27">
            <v>3340</v>
          </cell>
          <cell r="M27">
            <v>3687</v>
          </cell>
          <cell r="N27">
            <v>3231</v>
          </cell>
          <cell r="O27">
            <v>3789</v>
          </cell>
          <cell r="P27">
            <v>4112</v>
          </cell>
          <cell r="Q27">
            <v>2536</v>
          </cell>
          <cell r="R27">
            <v>3058</v>
          </cell>
          <cell r="S27">
            <v>2588</v>
          </cell>
          <cell r="T27">
            <v>3031</v>
          </cell>
          <cell r="U27">
            <v>3116</v>
          </cell>
        </row>
        <row r="28">
          <cell r="E28" t="str">
            <v>TAL</v>
          </cell>
          <cell r="F28" t="str">
            <v>Sí</v>
          </cell>
          <cell r="G28">
            <v>0.83706563706563708</v>
          </cell>
          <cell r="H28">
            <v>0.86922209695603159</v>
          </cell>
          <cell r="I28">
            <v>0.86737035337310697</v>
          </cell>
          <cell r="J28">
            <v>0.86436781609195401</v>
          </cell>
          <cell r="K28">
            <v>0.85637149028077753</v>
          </cell>
          <cell r="L28">
            <v>1295</v>
          </cell>
          <cell r="M28">
            <v>1774</v>
          </cell>
          <cell r="N28">
            <v>2179</v>
          </cell>
          <cell r="O28">
            <v>1740</v>
          </cell>
          <cell r="P28">
            <v>1852</v>
          </cell>
          <cell r="Q28">
            <v>1084</v>
          </cell>
          <cell r="R28">
            <v>1542</v>
          </cell>
          <cell r="S28">
            <v>1890</v>
          </cell>
          <cell r="T28">
            <v>1504</v>
          </cell>
          <cell r="U28">
            <v>1586</v>
          </cell>
        </row>
        <row r="29">
          <cell r="E29" t="str">
            <v>UTA</v>
          </cell>
          <cell r="F29" t="str">
            <v>Sí</v>
          </cell>
          <cell r="G29">
            <v>0.75819672131147542</v>
          </cell>
          <cell r="H29">
            <v>0.80529172320217102</v>
          </cell>
          <cell r="I29">
            <v>0.80484610347085794</v>
          </cell>
          <cell r="J29">
            <v>0.80867544539116964</v>
          </cell>
          <cell r="K29">
            <v>0.79753406878650224</v>
          </cell>
          <cell r="L29">
            <v>1464</v>
          </cell>
          <cell r="M29">
            <v>1474</v>
          </cell>
          <cell r="N29">
            <v>1527</v>
          </cell>
          <cell r="O29">
            <v>1291</v>
          </cell>
          <cell r="P29">
            <v>1541</v>
          </cell>
          <cell r="Q29">
            <v>1110</v>
          </cell>
          <cell r="R29">
            <v>1187</v>
          </cell>
          <cell r="S29">
            <v>1229</v>
          </cell>
          <cell r="T29">
            <v>1044</v>
          </cell>
          <cell r="U29">
            <v>1229</v>
          </cell>
        </row>
        <row r="30">
          <cell r="E30" t="str">
            <v>UVA</v>
          </cell>
          <cell r="F30" t="str">
            <v>Sí</v>
          </cell>
          <cell r="G30">
            <v>0.78507164278573804</v>
          </cell>
          <cell r="H30">
            <v>0.81516443361753954</v>
          </cell>
          <cell r="I30">
            <v>0.77999335327351282</v>
          </cell>
          <cell r="J30">
            <v>0.80624780624780623</v>
          </cell>
          <cell r="K30">
            <v>0.8253189401373896</v>
          </cell>
          <cell r="L30">
            <v>3001</v>
          </cell>
          <cell r="M30">
            <v>3284</v>
          </cell>
          <cell r="N30">
            <v>3009</v>
          </cell>
          <cell r="O30">
            <v>2849</v>
          </cell>
          <cell r="P30">
            <v>3057</v>
          </cell>
          <cell r="Q30">
            <v>2356</v>
          </cell>
          <cell r="R30">
            <v>2677</v>
          </cell>
          <cell r="S30">
            <v>2347</v>
          </cell>
          <cell r="T30">
            <v>2297</v>
          </cell>
          <cell r="U30">
            <v>2523</v>
          </cell>
        </row>
        <row r="31">
          <cell r="E31" t="str">
            <v>UBB</v>
          </cell>
          <cell r="F31" t="str">
            <v>Sí</v>
          </cell>
          <cell r="G31">
            <v>0.8360352014821677</v>
          </cell>
          <cell r="H31">
            <v>0.88483412322274879</v>
          </cell>
          <cell r="I31">
            <v>0.86964206805125943</v>
          </cell>
          <cell r="J31">
            <v>0.85059101654846336</v>
          </cell>
          <cell r="K31">
            <v>0.8301476976542137</v>
          </cell>
          <cell r="L31">
            <v>2159</v>
          </cell>
          <cell r="M31">
            <v>2110</v>
          </cell>
          <cell r="N31">
            <v>2263</v>
          </cell>
          <cell r="O31">
            <v>2115</v>
          </cell>
          <cell r="P31">
            <v>2302</v>
          </cell>
          <cell r="Q31">
            <v>1805</v>
          </cell>
          <cell r="R31">
            <v>1867</v>
          </cell>
          <cell r="S31">
            <v>1968</v>
          </cell>
          <cell r="T31">
            <v>1799</v>
          </cell>
          <cell r="U31">
            <v>1911</v>
          </cell>
        </row>
        <row r="32">
          <cell r="E32" t="str">
            <v>UMC</v>
          </cell>
          <cell r="F32" t="str">
            <v>Sí</v>
          </cell>
          <cell r="G32">
            <v>0.83911368015414256</v>
          </cell>
          <cell r="H32">
            <v>0.82190378710337764</v>
          </cell>
          <cell r="I32">
            <v>0.80499075785582253</v>
          </cell>
          <cell r="J32">
            <v>0.83524904214559392</v>
          </cell>
          <cell r="K32">
            <v>0.78898305084745768</v>
          </cell>
          <cell r="L32">
            <v>1038</v>
          </cell>
          <cell r="M32">
            <v>977</v>
          </cell>
          <cell r="N32">
            <v>1082</v>
          </cell>
          <cell r="O32">
            <v>1044</v>
          </cell>
          <cell r="P32">
            <v>1180</v>
          </cell>
          <cell r="Q32">
            <v>871</v>
          </cell>
          <cell r="R32">
            <v>803</v>
          </cell>
          <cell r="S32">
            <v>871</v>
          </cell>
          <cell r="T32">
            <v>872</v>
          </cell>
          <cell r="U32">
            <v>931</v>
          </cell>
        </row>
        <row r="33">
          <cell r="E33" t="str">
            <v>FSM</v>
          </cell>
          <cell r="F33" t="str">
            <v>Sí</v>
          </cell>
          <cell r="G33">
            <v>0.83163571000599157</v>
          </cell>
          <cell r="H33">
            <v>0.81988636363636369</v>
          </cell>
          <cell r="I33">
            <v>0.80307185957213389</v>
          </cell>
          <cell r="J33">
            <v>0.80010746910263297</v>
          </cell>
          <cell r="K33">
            <v>0.82059620596205962</v>
          </cell>
          <cell r="L33">
            <v>1669</v>
          </cell>
          <cell r="M33">
            <v>1760</v>
          </cell>
          <cell r="N33">
            <v>1823</v>
          </cell>
          <cell r="O33">
            <v>1861</v>
          </cell>
          <cell r="P33">
            <v>1845</v>
          </cell>
          <cell r="Q33">
            <v>1388</v>
          </cell>
          <cell r="R33">
            <v>1443</v>
          </cell>
          <cell r="S33">
            <v>1464</v>
          </cell>
          <cell r="T33">
            <v>1489</v>
          </cell>
          <cell r="U33">
            <v>1514</v>
          </cell>
        </row>
        <row r="34">
          <cell r="E34" t="str">
            <v>UTM</v>
          </cell>
          <cell r="F34" t="str">
            <v>Sí</v>
          </cell>
          <cell r="G34">
            <v>0.75558099599313111</v>
          </cell>
          <cell r="H34">
            <v>0.70790816326530615</v>
          </cell>
          <cell r="I34">
            <v>0.73997709049255445</v>
          </cell>
          <cell r="J34">
            <v>0.80552546045503792</v>
          </cell>
          <cell r="K34">
            <v>0.80574488802336908</v>
          </cell>
          <cell r="L34">
            <v>1747</v>
          </cell>
          <cell r="M34">
            <v>1568</v>
          </cell>
          <cell r="N34">
            <v>1746</v>
          </cell>
          <cell r="O34">
            <v>1846</v>
          </cell>
          <cell r="P34">
            <v>2054</v>
          </cell>
          <cell r="Q34">
            <v>1320</v>
          </cell>
          <cell r="R34">
            <v>1110</v>
          </cell>
          <cell r="S34">
            <v>1292</v>
          </cell>
          <cell r="T34">
            <v>1487</v>
          </cell>
          <cell r="U34">
            <v>1655</v>
          </cell>
        </row>
        <row r="35">
          <cell r="E35">
            <v>0</v>
          </cell>
          <cell r="F35">
            <v>0</v>
          </cell>
          <cell r="G35">
            <v>0.79644409324377718</v>
          </cell>
          <cell r="H35">
            <v>0.82343548604297723</v>
          </cell>
          <cell r="I35">
            <v>0.81480595476878348</v>
          </cell>
          <cell r="J35">
            <v>0.82436035102010585</v>
          </cell>
          <cell r="K35">
            <v>0.8159068729959571</v>
          </cell>
          <cell r="L35">
            <v>50620</v>
          </cell>
          <cell r="M35">
            <v>51981</v>
          </cell>
          <cell r="N35">
            <v>54343</v>
          </cell>
          <cell r="O35">
            <v>54014</v>
          </cell>
          <cell r="P35">
            <v>57384</v>
          </cell>
          <cell r="Q35">
            <v>40316</v>
          </cell>
          <cell r="R35">
            <v>42803</v>
          </cell>
          <cell r="S35">
            <v>44279</v>
          </cell>
          <cell r="T35">
            <v>44527</v>
          </cell>
          <cell r="U35">
            <v>46820</v>
          </cell>
        </row>
        <row r="36">
          <cell r="E36" t="str">
            <v>AHC</v>
          </cell>
          <cell r="F36" t="str">
            <v>Sí</v>
          </cell>
          <cell r="G36">
            <v>0.69273743016759781</v>
          </cell>
          <cell r="H36">
            <v>0.69923664122137408</v>
          </cell>
          <cell r="I36">
            <v>0.68976897689768979</v>
          </cell>
          <cell r="J36">
            <v>0.74188311688311692</v>
          </cell>
          <cell r="K36">
            <v>0.66753585397653192</v>
          </cell>
          <cell r="L36">
            <v>716</v>
          </cell>
          <cell r="M36">
            <v>655</v>
          </cell>
          <cell r="N36">
            <v>606</v>
          </cell>
          <cell r="O36">
            <v>616</v>
          </cell>
          <cell r="P36">
            <v>767</v>
          </cell>
          <cell r="Q36">
            <v>496</v>
          </cell>
          <cell r="R36">
            <v>458</v>
          </cell>
          <cell r="S36">
            <v>418</v>
          </cell>
          <cell r="T36">
            <v>457</v>
          </cell>
          <cell r="U36">
            <v>512</v>
          </cell>
        </row>
        <row r="37">
          <cell r="E37" t="str">
            <v>UAI</v>
          </cell>
          <cell r="F37" t="str">
            <v>NO</v>
          </cell>
          <cell r="G37">
            <v>0.77836973894512518</v>
          </cell>
          <cell r="H37">
            <v>0.84471421345472941</v>
          </cell>
          <cell r="I37">
            <v>0.84223107569721112</v>
          </cell>
          <cell r="J37">
            <v>0.86883876357560563</v>
          </cell>
          <cell r="K37">
            <v>0.87213114754098364</v>
          </cell>
          <cell r="L37">
            <v>1877</v>
          </cell>
          <cell r="M37">
            <v>1977</v>
          </cell>
          <cell r="N37">
            <v>1255</v>
          </cell>
          <cell r="O37">
            <v>1197</v>
          </cell>
          <cell r="P37">
            <v>1220</v>
          </cell>
          <cell r="Q37">
            <v>1461</v>
          </cell>
          <cell r="R37">
            <v>1670</v>
          </cell>
          <cell r="S37">
            <v>1057</v>
          </cell>
          <cell r="T37">
            <v>1040</v>
          </cell>
          <cell r="U37">
            <v>1064</v>
          </cell>
        </row>
        <row r="38">
          <cell r="E38">
            <v>0</v>
          </cell>
          <cell r="F38" t="str">
            <v>NO</v>
          </cell>
          <cell r="G38">
            <v>0.82745098039215681</v>
          </cell>
          <cell r="H38">
            <v>0.81569965870307171</v>
          </cell>
          <cell r="I38">
            <v>0.8271276595744681</v>
          </cell>
          <cell r="J38">
            <v>0.83377308707124009</v>
          </cell>
          <cell r="K38">
            <v>0.84419263456090654</v>
          </cell>
          <cell r="L38">
            <v>255</v>
          </cell>
          <cell r="M38">
            <v>293</v>
          </cell>
          <cell r="N38">
            <v>376</v>
          </cell>
          <cell r="O38">
            <v>379</v>
          </cell>
          <cell r="P38">
            <v>353</v>
          </cell>
          <cell r="Q38">
            <v>211</v>
          </cell>
          <cell r="R38">
            <v>239</v>
          </cell>
          <cell r="S38">
            <v>311</v>
          </cell>
          <cell r="T38">
            <v>316</v>
          </cell>
          <cell r="U38">
            <v>298</v>
          </cell>
        </row>
        <row r="39">
          <cell r="E39" t="str">
            <v>UAH</v>
          </cell>
          <cell r="F39" t="str">
            <v>Sí</v>
          </cell>
          <cell r="G39">
            <v>0.78167420814479638</v>
          </cell>
          <cell r="H39">
            <v>0.78764142732811138</v>
          </cell>
          <cell r="I39">
            <v>0.77390599675850891</v>
          </cell>
          <cell r="J39">
            <v>0.76006314127861085</v>
          </cell>
          <cell r="K39">
            <v>0.77096114519427406</v>
          </cell>
          <cell r="L39">
            <v>884</v>
          </cell>
          <cell r="M39">
            <v>1149</v>
          </cell>
          <cell r="N39">
            <v>1234</v>
          </cell>
          <cell r="O39">
            <v>1267</v>
          </cell>
          <cell r="P39">
            <v>1467</v>
          </cell>
          <cell r="Q39">
            <v>691</v>
          </cell>
          <cell r="R39">
            <v>905</v>
          </cell>
          <cell r="S39">
            <v>955</v>
          </cell>
          <cell r="T39">
            <v>963</v>
          </cell>
          <cell r="U39">
            <v>1131</v>
          </cell>
        </row>
        <row r="40">
          <cell r="E40" t="str">
            <v>UAB</v>
          </cell>
          <cell r="F40" t="str">
            <v>NO</v>
          </cell>
          <cell r="G40">
            <v>0.74413043478260865</v>
          </cell>
          <cell r="H40">
            <v>0.75265238194299977</v>
          </cell>
          <cell r="I40">
            <v>0.75412087912087911</v>
          </cell>
          <cell r="J40">
            <v>0.74348810872027182</v>
          </cell>
          <cell r="K40">
            <v>0.74896613389963118</v>
          </cell>
          <cell r="L40">
            <v>9200</v>
          </cell>
          <cell r="M40">
            <v>9614</v>
          </cell>
          <cell r="N40">
            <v>10192</v>
          </cell>
          <cell r="O40">
            <v>10596</v>
          </cell>
          <cell r="P40">
            <v>8947</v>
          </cell>
          <cell r="Q40">
            <v>6846</v>
          </cell>
          <cell r="R40">
            <v>7236</v>
          </cell>
          <cell r="S40">
            <v>7686</v>
          </cell>
          <cell r="T40">
            <v>7878</v>
          </cell>
          <cell r="U40">
            <v>6701</v>
          </cell>
        </row>
        <row r="41">
          <cell r="E41" t="str">
            <v>UAU</v>
          </cell>
          <cell r="F41" t="str">
            <v>Sí</v>
          </cell>
          <cell r="G41">
            <v>0.82857142857142863</v>
          </cell>
          <cell r="H41">
            <v>0.80708661417322836</v>
          </cell>
          <cell r="I41">
            <v>0.79670468948035489</v>
          </cell>
          <cell r="J41">
            <v>0.82105263157894737</v>
          </cell>
          <cell r="K41">
            <v>0.84101941747572817</v>
          </cell>
          <cell r="L41">
            <v>4655</v>
          </cell>
          <cell r="M41">
            <v>5080</v>
          </cell>
          <cell r="N41">
            <v>3945</v>
          </cell>
          <cell r="O41">
            <v>3705</v>
          </cell>
          <cell r="P41">
            <v>4120</v>
          </cell>
          <cell r="Q41">
            <v>3857</v>
          </cell>
          <cell r="R41">
            <v>4100</v>
          </cell>
          <cell r="S41">
            <v>3143</v>
          </cell>
          <cell r="T41">
            <v>3042</v>
          </cell>
          <cell r="U41">
            <v>3465</v>
          </cell>
        </row>
        <row r="42">
          <cell r="E42" t="str">
            <v>UBO</v>
          </cell>
          <cell r="F42" t="str">
            <v>NO</v>
          </cell>
          <cell r="G42">
            <v>0.79890023566378632</v>
          </cell>
          <cell r="H42">
            <v>0.66247906197654938</v>
          </cell>
          <cell r="I42">
            <v>0.6825</v>
          </cell>
          <cell r="J42">
            <v>0.82550860719874808</v>
          </cell>
          <cell r="K42">
            <v>0.82552504038772212</v>
          </cell>
          <cell r="L42">
            <v>1273</v>
          </cell>
          <cell r="M42">
            <v>1194</v>
          </cell>
          <cell r="N42">
            <v>400</v>
          </cell>
          <cell r="O42">
            <v>1278</v>
          </cell>
          <cell r="P42">
            <v>1238</v>
          </cell>
          <cell r="Q42">
            <v>1017</v>
          </cell>
          <cell r="R42">
            <v>791</v>
          </cell>
          <cell r="S42">
            <v>273</v>
          </cell>
          <cell r="T42">
            <v>1055</v>
          </cell>
          <cell r="U42">
            <v>1022</v>
          </cell>
        </row>
        <row r="43">
          <cell r="E43">
            <v>0</v>
          </cell>
          <cell r="F43" t="str">
            <v>NO</v>
          </cell>
          <cell r="G43">
            <v>0.58557284299858559</v>
          </cell>
          <cell r="H43">
            <v>0.56321839080459768</v>
          </cell>
          <cell r="I43">
            <v>0.56219392752203723</v>
          </cell>
          <cell r="J43">
            <v>0.5290178571428571</v>
          </cell>
          <cell r="K43">
            <v>0.61835748792270528</v>
          </cell>
          <cell r="L43">
            <v>707</v>
          </cell>
          <cell r="M43">
            <v>348</v>
          </cell>
          <cell r="N43">
            <v>1021</v>
          </cell>
          <cell r="O43">
            <v>448</v>
          </cell>
          <cell r="P43">
            <v>414</v>
          </cell>
          <cell r="Q43">
            <v>414</v>
          </cell>
          <cell r="R43">
            <v>196</v>
          </cell>
          <cell r="S43">
            <v>574</v>
          </cell>
          <cell r="T43">
            <v>237</v>
          </cell>
          <cell r="U43">
            <v>256</v>
          </cell>
        </row>
        <row r="44">
          <cell r="E44" t="str">
            <v>UCS</v>
          </cell>
          <cell r="F44" t="str">
            <v>Sí</v>
          </cell>
          <cell r="G44">
            <v>0.75690115761353516</v>
          </cell>
          <cell r="H44">
            <v>0.77109704641350207</v>
          </cell>
          <cell r="I44">
            <v>0.79057017543859653</v>
          </cell>
          <cell r="J44">
            <v>0.8101983002832861</v>
          </cell>
          <cell r="K44">
            <v>0.82363315696649031</v>
          </cell>
          <cell r="L44">
            <v>1123</v>
          </cell>
          <cell r="M44">
            <v>948</v>
          </cell>
          <cell r="N44">
            <v>912</v>
          </cell>
          <cell r="O44">
            <v>1059</v>
          </cell>
          <cell r="P44">
            <v>1134</v>
          </cell>
          <cell r="Q44">
            <v>850</v>
          </cell>
          <cell r="R44">
            <v>731</v>
          </cell>
          <cell r="S44">
            <v>721</v>
          </cell>
          <cell r="T44">
            <v>858</v>
          </cell>
          <cell r="U44">
            <v>934</v>
          </cell>
        </row>
        <row r="45">
          <cell r="E45" t="str">
            <v>UCE</v>
          </cell>
          <cell r="F45" t="str">
            <v>NO</v>
          </cell>
          <cell r="G45">
            <v>0.76762896355892096</v>
          </cell>
          <cell r="H45">
            <v>0.7711624139327663</v>
          </cell>
          <cell r="I45">
            <v>0.77665180381029586</v>
          </cell>
          <cell r="J45">
            <v>0.8086816720257235</v>
          </cell>
          <cell r="K45">
            <v>0.78823529411764703</v>
          </cell>
          <cell r="L45">
            <v>2113</v>
          </cell>
          <cell r="M45">
            <v>2469</v>
          </cell>
          <cell r="N45">
            <v>2467</v>
          </cell>
          <cell r="O45">
            <v>2488</v>
          </cell>
          <cell r="P45">
            <v>2295</v>
          </cell>
          <cell r="Q45">
            <v>1622</v>
          </cell>
          <cell r="R45">
            <v>1904</v>
          </cell>
          <cell r="S45">
            <v>1916</v>
          </cell>
          <cell r="T45">
            <v>2012</v>
          </cell>
          <cell r="U45">
            <v>1809</v>
          </cell>
        </row>
        <row r="46">
          <cell r="E46">
            <v>0</v>
          </cell>
          <cell r="F46" t="str">
            <v>NO</v>
          </cell>
          <cell r="G46">
            <v>0.67708333333333337</v>
          </cell>
          <cell r="H46">
            <v>0.70967741935483875</v>
          </cell>
          <cell r="I46">
            <v>0.82857142857142863</v>
          </cell>
          <cell r="J46">
            <v>0.70503597122302153</v>
          </cell>
          <cell r="K46">
            <v>0.62878787878787878</v>
          </cell>
          <cell r="L46">
            <v>96</v>
          </cell>
          <cell r="M46">
            <v>93</v>
          </cell>
          <cell r="N46">
            <v>105</v>
          </cell>
          <cell r="O46">
            <v>139</v>
          </cell>
          <cell r="P46">
            <v>132</v>
          </cell>
          <cell r="Q46">
            <v>65</v>
          </cell>
          <cell r="R46">
            <v>66</v>
          </cell>
          <cell r="S46">
            <v>87</v>
          </cell>
          <cell r="T46">
            <v>98</v>
          </cell>
          <cell r="U46">
            <v>83</v>
          </cell>
        </row>
        <row r="47">
          <cell r="E47">
            <v>0</v>
          </cell>
          <cell r="F47" t="str">
            <v>NO</v>
          </cell>
          <cell r="G47">
            <v>0.66044508255563528</v>
          </cell>
          <cell r="H47">
            <v>0.66563706563706559</v>
          </cell>
          <cell r="I47">
            <v>0.70720299345182414</v>
          </cell>
          <cell r="J47">
            <v>0.64389534883720934</v>
          </cell>
          <cell r="K47">
            <v>0.60833333333333328</v>
          </cell>
          <cell r="L47">
            <v>1393</v>
          </cell>
          <cell r="M47">
            <v>1295</v>
          </cell>
          <cell r="N47">
            <v>1069</v>
          </cell>
          <cell r="O47">
            <v>688</v>
          </cell>
          <cell r="P47">
            <v>1080</v>
          </cell>
          <cell r="Q47">
            <v>920</v>
          </cell>
          <cell r="R47">
            <v>862</v>
          </cell>
          <cell r="S47">
            <v>756</v>
          </cell>
          <cell r="T47">
            <v>443</v>
          </cell>
          <cell r="U47">
            <v>657</v>
          </cell>
        </row>
        <row r="48">
          <cell r="E48">
            <v>0</v>
          </cell>
          <cell r="F48" t="str">
            <v>NO</v>
          </cell>
          <cell r="G48">
            <v>0.69329073482428116</v>
          </cell>
          <cell r="H48">
            <v>0.69765066394279873</v>
          </cell>
          <cell r="I48">
            <v>0.68053855569155441</v>
          </cell>
          <cell r="J48">
            <v>0.25950196592398428</v>
          </cell>
          <cell r="L48">
            <v>939</v>
          </cell>
          <cell r="M48">
            <v>979</v>
          </cell>
          <cell r="N48">
            <v>817</v>
          </cell>
          <cell r="O48">
            <v>763</v>
          </cell>
          <cell r="P48">
            <v>0</v>
          </cell>
          <cell r="Q48">
            <v>651</v>
          </cell>
          <cell r="R48">
            <v>683</v>
          </cell>
          <cell r="S48">
            <v>556</v>
          </cell>
          <cell r="T48">
            <v>198</v>
          </cell>
          <cell r="U48">
            <v>0</v>
          </cell>
        </row>
        <row r="49">
          <cell r="E49">
            <v>0</v>
          </cell>
          <cell r="F49" t="str">
            <v>NO</v>
          </cell>
          <cell r="G49">
            <v>0.68487394957983194</v>
          </cell>
          <cell r="H49">
            <v>0.6035805626598465</v>
          </cell>
          <cell r="I49">
            <v>0.6278195488721805</v>
          </cell>
          <cell r="J49">
            <v>0.6265709156193896</v>
          </cell>
          <cell r="K49">
            <v>0.60875512995896031</v>
          </cell>
          <cell r="L49">
            <v>1190</v>
          </cell>
          <cell r="M49">
            <v>782</v>
          </cell>
          <cell r="N49">
            <v>532</v>
          </cell>
          <cell r="O49">
            <v>557</v>
          </cell>
          <cell r="P49">
            <v>731</v>
          </cell>
          <cell r="Q49">
            <v>815</v>
          </cell>
          <cell r="R49">
            <v>472</v>
          </cell>
          <cell r="S49">
            <v>334</v>
          </cell>
          <cell r="T49">
            <v>349</v>
          </cell>
          <cell r="U49">
            <v>445</v>
          </cell>
        </row>
        <row r="50">
          <cell r="E50">
            <v>0</v>
          </cell>
          <cell r="F50" t="str">
            <v>NO</v>
          </cell>
          <cell r="G50">
            <v>0.72618872368614751</v>
          </cell>
          <cell r="H50">
            <v>0.72848466893793518</v>
          </cell>
          <cell r="I50">
            <v>0.57221807318894702</v>
          </cell>
          <cell r="J50">
            <v>0.61095100864553309</v>
          </cell>
          <cell r="K50">
            <v>0.69662618083670713</v>
          </cell>
          <cell r="L50">
            <v>6793</v>
          </cell>
          <cell r="M50">
            <v>6751</v>
          </cell>
          <cell r="N50">
            <v>6695</v>
          </cell>
          <cell r="O50">
            <v>3817</v>
          </cell>
          <cell r="P50">
            <v>3705</v>
          </cell>
          <cell r="Q50">
            <v>4933</v>
          </cell>
          <cell r="R50">
            <v>4918</v>
          </cell>
          <cell r="S50">
            <v>3831</v>
          </cell>
          <cell r="T50">
            <v>2332</v>
          </cell>
          <cell r="U50">
            <v>2581</v>
          </cell>
        </row>
        <row r="51">
          <cell r="E51" t="str">
            <v>UAN</v>
          </cell>
          <cell r="F51" t="str">
            <v>NO</v>
          </cell>
          <cell r="G51">
            <v>0.87804878048780488</v>
          </cell>
          <cell r="H51">
            <v>0.89834515366430256</v>
          </cell>
          <cell r="I51">
            <v>0.9247787610619469</v>
          </cell>
          <cell r="J51">
            <v>0.89250814332247552</v>
          </cell>
          <cell r="K51">
            <v>0.87581699346405228</v>
          </cell>
          <cell r="L51">
            <v>902</v>
          </cell>
          <cell r="M51">
            <v>846</v>
          </cell>
          <cell r="N51">
            <v>1130</v>
          </cell>
          <cell r="O51">
            <v>1228</v>
          </cell>
          <cell r="P51">
            <v>1224</v>
          </cell>
          <cell r="Q51">
            <v>792</v>
          </cell>
          <cell r="R51">
            <v>760</v>
          </cell>
          <cell r="S51">
            <v>1045</v>
          </cell>
          <cell r="T51">
            <v>1096</v>
          </cell>
          <cell r="U51">
            <v>1072</v>
          </cell>
        </row>
        <row r="52">
          <cell r="E52" t="str">
            <v>UVM</v>
          </cell>
          <cell r="F52" t="str">
            <v>NO</v>
          </cell>
          <cell r="G52">
            <v>0.70570264765784119</v>
          </cell>
          <cell r="H52">
            <v>0.75013376136971643</v>
          </cell>
          <cell r="I52">
            <v>0.74767932489451472</v>
          </cell>
          <cell r="J52">
            <v>0.79038854805725967</v>
          </cell>
          <cell r="K52">
            <v>0.77110993096123204</v>
          </cell>
          <cell r="L52">
            <v>1964</v>
          </cell>
          <cell r="M52">
            <v>1869</v>
          </cell>
          <cell r="N52">
            <v>1185</v>
          </cell>
          <cell r="O52">
            <v>1956</v>
          </cell>
          <cell r="P52">
            <v>1883</v>
          </cell>
          <cell r="Q52">
            <v>1386</v>
          </cell>
          <cell r="R52">
            <v>1402</v>
          </cell>
          <cell r="S52">
            <v>886</v>
          </cell>
          <cell r="T52">
            <v>1546</v>
          </cell>
          <cell r="U52">
            <v>1452</v>
          </cell>
        </row>
        <row r="53">
          <cell r="E53" t="str">
            <v>UDD</v>
          </cell>
          <cell r="F53" t="str">
            <v>NO</v>
          </cell>
          <cell r="G53">
            <v>0.85015989036089534</v>
          </cell>
          <cell r="H53">
            <v>0.85520872508461832</v>
          </cell>
          <cell r="I53">
            <v>0.85844930417495025</v>
          </cell>
          <cell r="J53">
            <v>0.79769016328156117</v>
          </cell>
          <cell r="K53">
            <v>0.76634109691960928</v>
          </cell>
          <cell r="L53">
            <v>2189</v>
          </cell>
          <cell r="M53">
            <v>2659</v>
          </cell>
          <cell r="N53">
            <v>2515</v>
          </cell>
          <cell r="O53">
            <v>2511</v>
          </cell>
          <cell r="P53">
            <v>2662</v>
          </cell>
          <cell r="Q53">
            <v>1861</v>
          </cell>
          <cell r="R53">
            <v>2274</v>
          </cell>
          <cell r="S53">
            <v>2159</v>
          </cell>
          <cell r="T53">
            <v>2003</v>
          </cell>
          <cell r="U53">
            <v>2040</v>
          </cell>
        </row>
        <row r="54">
          <cell r="E54">
            <v>0</v>
          </cell>
          <cell r="F54" t="str">
            <v>NO</v>
          </cell>
          <cell r="G54">
            <v>0.67755856966707773</v>
          </cell>
          <cell r="H54">
            <v>7.8207109737248842E-2</v>
          </cell>
          <cell r="L54">
            <v>4866</v>
          </cell>
          <cell r="M54">
            <v>3235</v>
          </cell>
          <cell r="N54">
            <v>0</v>
          </cell>
          <cell r="O54">
            <v>0</v>
          </cell>
          <cell r="P54">
            <v>0</v>
          </cell>
          <cell r="Q54">
            <v>3297</v>
          </cell>
          <cell r="R54">
            <v>253</v>
          </cell>
          <cell r="S54">
            <v>0</v>
          </cell>
          <cell r="T54">
            <v>0</v>
          </cell>
          <cell r="U54">
            <v>0</v>
          </cell>
        </row>
        <row r="55">
          <cell r="E55" t="str">
            <v>UPO</v>
          </cell>
          <cell r="F55" t="str">
            <v>NO</v>
          </cell>
          <cell r="G55">
            <v>0.76320422535211263</v>
          </cell>
          <cell r="H55">
            <v>0.78246392896781358</v>
          </cell>
          <cell r="I55">
            <v>0.75525339925834367</v>
          </cell>
          <cell r="J55">
            <v>0.77108433734939763</v>
          </cell>
          <cell r="K55">
            <v>0.73972602739726023</v>
          </cell>
          <cell r="L55">
            <v>1136</v>
          </cell>
          <cell r="M55">
            <v>901</v>
          </cell>
          <cell r="N55">
            <v>809</v>
          </cell>
          <cell r="O55">
            <v>747</v>
          </cell>
          <cell r="P55">
            <v>511</v>
          </cell>
          <cell r="Q55">
            <v>867</v>
          </cell>
          <cell r="R55">
            <v>705</v>
          </cell>
          <cell r="S55">
            <v>611</v>
          </cell>
          <cell r="T55">
            <v>576</v>
          </cell>
          <cell r="U55">
            <v>378</v>
          </cell>
        </row>
        <row r="56">
          <cell r="E56" t="str">
            <v>UDP</v>
          </cell>
          <cell r="F56" t="str">
            <v>Sí</v>
          </cell>
          <cell r="G56">
            <v>0.83614931237721024</v>
          </cell>
          <cell r="H56">
            <v>0.84929859719438883</v>
          </cell>
          <cell r="I56">
            <v>0.83919597989949746</v>
          </cell>
          <cell r="J56">
            <v>0.83892617449664431</v>
          </cell>
          <cell r="K56">
            <v>0.84748150757308915</v>
          </cell>
          <cell r="L56">
            <v>2545</v>
          </cell>
          <cell r="M56">
            <v>2495</v>
          </cell>
          <cell r="N56">
            <v>2786</v>
          </cell>
          <cell r="O56">
            <v>2831</v>
          </cell>
          <cell r="P56">
            <v>2839</v>
          </cell>
          <cell r="Q56">
            <v>2128</v>
          </cell>
          <cell r="R56">
            <v>2119</v>
          </cell>
          <cell r="S56">
            <v>2338</v>
          </cell>
          <cell r="T56">
            <v>2375</v>
          </cell>
          <cell r="U56">
            <v>2406</v>
          </cell>
        </row>
        <row r="57">
          <cell r="E57" t="str">
            <v>UFT</v>
          </cell>
          <cell r="F57" t="str">
            <v>Sí</v>
          </cell>
          <cell r="G57">
            <v>0.79572446555819476</v>
          </cell>
          <cell r="H57">
            <v>0.80802792321116923</v>
          </cell>
          <cell r="I57">
            <v>0.81681415929203538</v>
          </cell>
          <cell r="J57">
            <v>0.84595744680851059</v>
          </cell>
          <cell r="K57">
            <v>0.82765957446808514</v>
          </cell>
          <cell r="L57">
            <v>842</v>
          </cell>
          <cell r="M57">
            <v>1146</v>
          </cell>
          <cell r="N57">
            <v>1130</v>
          </cell>
          <cell r="O57">
            <v>1175</v>
          </cell>
          <cell r="P57">
            <v>1410</v>
          </cell>
          <cell r="Q57">
            <v>670</v>
          </cell>
          <cell r="R57">
            <v>926</v>
          </cell>
          <cell r="S57">
            <v>923</v>
          </cell>
          <cell r="T57">
            <v>994</v>
          </cell>
          <cell r="U57">
            <v>1167</v>
          </cell>
        </row>
      </sheetData>
      <sheetData sheetId="7"/>
      <sheetData sheetId="8">
        <row r="10">
          <cell r="D10" t="str">
            <v>PUC</v>
          </cell>
          <cell r="E10" t="str">
            <v>Sí</v>
          </cell>
          <cell r="F10">
            <v>0.79674993936454042</v>
          </cell>
          <cell r="G10">
            <v>0.77154356060606055</v>
          </cell>
          <cell r="H10">
            <v>0.76631330977620726</v>
          </cell>
          <cell r="I10">
            <v>0.74095895977245019</v>
          </cell>
          <cell r="J10">
            <v>0.75014403687343956</v>
          </cell>
          <cell r="K10">
            <v>4123</v>
          </cell>
          <cell r="L10">
            <v>4224</v>
          </cell>
          <cell r="M10">
            <v>4245</v>
          </cell>
          <cell r="N10">
            <v>4922</v>
          </cell>
          <cell r="O10">
            <v>5207</v>
          </cell>
          <cell r="P10">
            <v>3285</v>
          </cell>
          <cell r="Q10">
            <v>3259</v>
          </cell>
          <cell r="R10">
            <v>3253</v>
          </cell>
          <cell r="S10">
            <v>3647</v>
          </cell>
          <cell r="T10">
            <v>3906</v>
          </cell>
        </row>
        <row r="11">
          <cell r="D11" t="str">
            <v>UCV</v>
          </cell>
          <cell r="E11" t="str">
            <v>Sí</v>
          </cell>
          <cell r="F11">
            <v>0.59649122807017541</v>
          </cell>
          <cell r="G11">
            <v>0.59691998660863743</v>
          </cell>
          <cell r="H11">
            <v>0.5578813828100222</v>
          </cell>
          <cell r="I11">
            <v>0.57996661101836389</v>
          </cell>
          <cell r="J11">
            <v>0.57053682896379521</v>
          </cell>
          <cell r="K11">
            <v>2964</v>
          </cell>
          <cell r="L11">
            <v>2987</v>
          </cell>
          <cell r="M11">
            <v>3153</v>
          </cell>
          <cell r="N11">
            <v>2995</v>
          </cell>
          <cell r="O11">
            <v>3204</v>
          </cell>
          <cell r="P11">
            <v>1768</v>
          </cell>
          <cell r="Q11">
            <v>1783</v>
          </cell>
          <cell r="R11">
            <v>1759</v>
          </cell>
          <cell r="S11">
            <v>1737</v>
          </cell>
          <cell r="T11">
            <v>1828</v>
          </cell>
        </row>
        <row r="12">
          <cell r="D12" t="str">
            <v>UAP</v>
          </cell>
          <cell r="E12" t="str">
            <v>Sí</v>
          </cell>
          <cell r="F12">
            <v>0.42909625275532698</v>
          </cell>
          <cell r="G12">
            <v>0.52417061611374405</v>
          </cell>
          <cell r="H12">
            <v>0.48810656517602286</v>
          </cell>
          <cell r="I12">
            <v>0.5701402805611222</v>
          </cell>
          <cell r="J12">
            <v>0.5826446280991735</v>
          </cell>
          <cell r="K12">
            <v>1361</v>
          </cell>
          <cell r="L12">
            <v>1055</v>
          </cell>
          <cell r="M12">
            <v>1051</v>
          </cell>
          <cell r="N12">
            <v>998</v>
          </cell>
          <cell r="O12">
            <v>968</v>
          </cell>
          <cell r="P12">
            <v>584</v>
          </cell>
          <cell r="Q12">
            <v>553</v>
          </cell>
          <cell r="R12">
            <v>513</v>
          </cell>
          <cell r="S12">
            <v>569</v>
          </cell>
          <cell r="T12">
            <v>564</v>
          </cell>
        </row>
        <row r="13">
          <cell r="D13" t="str">
            <v>AUS</v>
          </cell>
          <cell r="E13" t="str">
            <v>Sí</v>
          </cell>
          <cell r="F13">
            <v>0.6459459459459459</v>
          </cell>
          <cell r="G13">
            <v>0.63734076433121023</v>
          </cell>
          <cell r="H13">
            <v>0.63039253789350957</v>
          </cell>
          <cell r="I13">
            <v>0.62969211303247574</v>
          </cell>
          <cell r="J13">
            <v>0.66172656539459063</v>
          </cell>
          <cell r="K13">
            <v>2220</v>
          </cell>
          <cell r="L13">
            <v>2512</v>
          </cell>
          <cell r="M13">
            <v>2573</v>
          </cell>
          <cell r="N13">
            <v>2371</v>
          </cell>
          <cell r="O13">
            <v>2699</v>
          </cell>
          <cell r="P13">
            <v>1434</v>
          </cell>
          <cell r="Q13">
            <v>1601</v>
          </cell>
          <cell r="R13">
            <v>1622</v>
          </cell>
          <cell r="S13">
            <v>1493</v>
          </cell>
          <cell r="T13">
            <v>1786</v>
          </cell>
        </row>
        <row r="14">
          <cell r="D14" t="str">
            <v>USC</v>
          </cell>
          <cell r="E14" t="str">
            <v>Sí</v>
          </cell>
          <cell r="F14">
            <v>0.73894609327680194</v>
          </cell>
          <cell r="G14">
            <v>0.72203579418344521</v>
          </cell>
          <cell r="H14">
            <v>0.68609125893347989</v>
          </cell>
          <cell r="I14">
            <v>0.68763326226012789</v>
          </cell>
          <cell r="J14">
            <v>0.70404777704047772</v>
          </cell>
          <cell r="K14">
            <v>1651</v>
          </cell>
          <cell r="L14">
            <v>1788</v>
          </cell>
          <cell r="M14">
            <v>1819</v>
          </cell>
          <cell r="N14">
            <v>1876</v>
          </cell>
          <cell r="O14">
            <v>1507</v>
          </cell>
          <cell r="P14">
            <v>1220</v>
          </cell>
          <cell r="Q14">
            <v>1291</v>
          </cell>
          <cell r="R14">
            <v>1248</v>
          </cell>
          <cell r="S14">
            <v>1290</v>
          </cell>
          <cell r="T14">
            <v>1061</v>
          </cell>
        </row>
        <row r="15">
          <cell r="D15" t="str">
            <v>UCT</v>
          </cell>
          <cell r="E15" t="str">
            <v>Sí</v>
          </cell>
          <cell r="F15">
            <v>0.64031382015691007</v>
          </cell>
          <cell r="G15">
            <v>0.56772334293948123</v>
          </cell>
          <cell r="H15">
            <v>0.58519900497512434</v>
          </cell>
          <cell r="I15">
            <v>0.63934426229508201</v>
          </cell>
          <cell r="J15">
            <v>0.65571975916803504</v>
          </cell>
          <cell r="K15">
            <v>1657</v>
          </cell>
          <cell r="L15">
            <v>1735</v>
          </cell>
          <cell r="M15">
            <v>1608</v>
          </cell>
          <cell r="N15">
            <v>1647</v>
          </cell>
          <cell r="O15">
            <v>1827</v>
          </cell>
          <cell r="P15">
            <v>1061</v>
          </cell>
          <cell r="Q15">
            <v>985</v>
          </cell>
          <cell r="R15">
            <v>941</v>
          </cell>
          <cell r="S15">
            <v>1053</v>
          </cell>
          <cell r="T15">
            <v>1198</v>
          </cell>
        </row>
        <row r="16">
          <cell r="D16" t="str">
            <v>UCM</v>
          </cell>
          <cell r="E16" t="str">
            <v>Sí</v>
          </cell>
          <cell r="F16">
            <v>0.7963496637848223</v>
          </cell>
          <cell r="G16">
            <v>0.80956678700361007</v>
          </cell>
          <cell r="H16">
            <v>0.75880971025841815</v>
          </cell>
          <cell r="I16">
            <v>0.77064220183486243</v>
          </cell>
          <cell r="J16">
            <v>0.73314993122420913</v>
          </cell>
          <cell r="K16">
            <v>1041</v>
          </cell>
          <cell r="L16">
            <v>1108</v>
          </cell>
          <cell r="M16">
            <v>1277</v>
          </cell>
          <cell r="N16">
            <v>1308</v>
          </cell>
          <cell r="O16">
            <v>1454</v>
          </cell>
          <cell r="P16">
            <v>829</v>
          </cell>
          <cell r="Q16">
            <v>897</v>
          </cell>
          <cell r="R16">
            <v>969</v>
          </cell>
          <cell r="S16">
            <v>1008</v>
          </cell>
          <cell r="T16">
            <v>1066</v>
          </cell>
        </row>
        <row r="17">
          <cell r="D17" t="str">
            <v>UCN</v>
          </cell>
          <cell r="E17" t="str">
            <v>Sí</v>
          </cell>
          <cell r="F17">
            <v>0.58977272727272723</v>
          </cell>
          <cell r="G17">
            <v>0.64413722478238611</v>
          </cell>
          <cell r="H17">
            <v>0.58383727322704781</v>
          </cell>
          <cell r="I17">
            <v>0.64928366762177647</v>
          </cell>
          <cell r="J17">
            <v>0.65508298755186722</v>
          </cell>
          <cell r="K17">
            <v>1760</v>
          </cell>
          <cell r="L17">
            <v>1953</v>
          </cell>
          <cell r="M17">
            <v>1819</v>
          </cell>
          <cell r="N17">
            <v>1745</v>
          </cell>
          <cell r="O17">
            <v>1928</v>
          </cell>
          <cell r="P17">
            <v>1038</v>
          </cell>
          <cell r="Q17">
            <v>1258</v>
          </cell>
          <cell r="R17">
            <v>1062</v>
          </cell>
          <cell r="S17">
            <v>1133</v>
          </cell>
          <cell r="T17">
            <v>1263</v>
          </cell>
        </row>
        <row r="18">
          <cell r="D18" t="str">
            <v>ANT</v>
          </cell>
          <cell r="E18" t="str">
            <v>Sí</v>
          </cell>
          <cell r="F18">
            <v>0.63561417971970324</v>
          </cell>
          <cell r="G18">
            <v>0.65701559020044542</v>
          </cell>
          <cell r="H18">
            <v>0.66585067319461444</v>
          </cell>
          <cell r="I18">
            <v>0.68436873747494986</v>
          </cell>
          <cell r="J18">
            <v>0.61865189289012001</v>
          </cell>
          <cell r="K18">
            <v>1213</v>
          </cell>
          <cell r="L18">
            <v>898</v>
          </cell>
          <cell r="M18">
            <v>817</v>
          </cell>
          <cell r="N18">
            <v>998</v>
          </cell>
          <cell r="O18">
            <v>1083</v>
          </cell>
          <cell r="P18">
            <v>771</v>
          </cell>
          <cell r="Q18">
            <v>590</v>
          </cell>
          <cell r="R18">
            <v>544</v>
          </cell>
          <cell r="S18">
            <v>683</v>
          </cell>
          <cell r="T18">
            <v>670</v>
          </cell>
        </row>
        <row r="19">
          <cell r="D19" t="str">
            <v>ATA</v>
          </cell>
          <cell r="E19" t="str">
            <v>Sí</v>
          </cell>
          <cell r="F19">
            <v>0.44983089064261556</v>
          </cell>
          <cell r="G19">
            <v>0.46313065976714102</v>
          </cell>
          <cell r="H19">
            <v>0.51892744479495267</v>
          </cell>
          <cell r="I19">
            <v>0.44314868804664725</v>
          </cell>
          <cell r="J19">
            <v>0.52705410821643284</v>
          </cell>
          <cell r="K19">
            <v>887</v>
          </cell>
          <cell r="L19">
            <v>773</v>
          </cell>
          <cell r="M19">
            <v>634</v>
          </cell>
          <cell r="N19">
            <v>686</v>
          </cell>
          <cell r="O19">
            <v>998</v>
          </cell>
          <cell r="P19">
            <v>399</v>
          </cell>
          <cell r="Q19">
            <v>358</v>
          </cell>
          <cell r="R19">
            <v>329</v>
          </cell>
          <cell r="S19">
            <v>304</v>
          </cell>
          <cell r="T19">
            <v>526</v>
          </cell>
        </row>
        <row r="20">
          <cell r="D20" t="str">
            <v>UCH</v>
          </cell>
          <cell r="E20" t="str">
            <v>Sí</v>
          </cell>
          <cell r="F20">
            <v>0.77357237715803451</v>
          </cell>
          <cell r="G20">
            <v>0.68979980934223073</v>
          </cell>
          <cell r="H20">
            <v>0.70239198961616911</v>
          </cell>
          <cell r="I20">
            <v>0.71343045300339258</v>
          </cell>
          <cell r="J20">
            <v>0.72421652421652427</v>
          </cell>
          <cell r="K20">
            <v>4518</v>
          </cell>
          <cell r="L20">
            <v>5245</v>
          </cell>
          <cell r="M20">
            <v>5393</v>
          </cell>
          <cell r="N20">
            <v>5011</v>
          </cell>
          <cell r="O20">
            <v>5265</v>
          </cell>
          <cell r="P20">
            <v>3495</v>
          </cell>
          <cell r="Q20">
            <v>3618</v>
          </cell>
          <cell r="R20">
            <v>3788</v>
          </cell>
          <cell r="S20">
            <v>3575</v>
          </cell>
          <cell r="T20">
            <v>3813</v>
          </cell>
        </row>
        <row r="21">
          <cell r="D21" t="str">
            <v>UCO</v>
          </cell>
          <cell r="E21" t="str">
            <v>Sí</v>
          </cell>
          <cell r="F21">
            <v>0.65728666209105469</v>
          </cell>
          <cell r="G21">
            <v>0.65969345484672748</v>
          </cell>
          <cell r="H21">
            <v>0.65565736202855318</v>
          </cell>
          <cell r="I21">
            <v>0.65961497778718003</v>
          </cell>
          <cell r="J21">
            <v>0.67094188376753505</v>
          </cell>
          <cell r="K21">
            <v>4371</v>
          </cell>
          <cell r="L21">
            <v>4828</v>
          </cell>
          <cell r="M21">
            <v>4693</v>
          </cell>
          <cell r="N21">
            <v>4727</v>
          </cell>
          <cell r="O21">
            <v>4990</v>
          </cell>
          <cell r="P21">
            <v>2873</v>
          </cell>
          <cell r="Q21">
            <v>3185</v>
          </cell>
          <cell r="R21">
            <v>3077</v>
          </cell>
          <cell r="S21">
            <v>3118</v>
          </cell>
          <cell r="T21">
            <v>3348</v>
          </cell>
        </row>
        <row r="22">
          <cell r="D22" t="str">
            <v>FRO</v>
          </cell>
          <cell r="E22" t="str">
            <v>Sí</v>
          </cell>
          <cell r="F22">
            <v>0.70175438596491224</v>
          </cell>
          <cell r="G22">
            <v>0.66843220338983056</v>
          </cell>
          <cell r="H22">
            <v>0.64093959731543626</v>
          </cell>
          <cell r="I22">
            <v>0.66393022062596208</v>
          </cell>
          <cell r="J22">
            <v>0.63789581205311541</v>
          </cell>
          <cell r="K22">
            <v>1710</v>
          </cell>
          <cell r="L22">
            <v>1888</v>
          </cell>
          <cell r="M22">
            <v>1788</v>
          </cell>
          <cell r="N22">
            <v>1949</v>
          </cell>
          <cell r="O22">
            <v>1958</v>
          </cell>
          <cell r="P22">
            <v>1200</v>
          </cell>
          <cell r="Q22">
            <v>1262</v>
          </cell>
          <cell r="R22">
            <v>1146</v>
          </cell>
          <cell r="S22">
            <v>1294</v>
          </cell>
          <cell r="T22">
            <v>1249</v>
          </cell>
        </row>
        <row r="23">
          <cell r="D23" t="str">
            <v>ULS</v>
          </cell>
          <cell r="E23" t="str">
            <v>Sí</v>
          </cell>
          <cell r="F23">
            <v>0.64012944983818765</v>
          </cell>
          <cell r="G23">
            <v>0.61448140900195691</v>
          </cell>
          <cell r="H23">
            <v>0.58439811701412236</v>
          </cell>
          <cell r="I23">
            <v>0.61419354838709672</v>
          </cell>
          <cell r="J23">
            <v>0.59616573902288184</v>
          </cell>
          <cell r="K23">
            <v>1545</v>
          </cell>
          <cell r="L23">
            <v>1533</v>
          </cell>
          <cell r="M23">
            <v>1487</v>
          </cell>
          <cell r="N23">
            <v>1550</v>
          </cell>
          <cell r="O23">
            <v>1617</v>
          </cell>
          <cell r="P23">
            <v>989</v>
          </cell>
          <cell r="Q23">
            <v>942</v>
          </cell>
          <cell r="R23">
            <v>869</v>
          </cell>
          <cell r="S23">
            <v>952</v>
          </cell>
          <cell r="T23">
            <v>964</v>
          </cell>
        </row>
        <row r="24">
          <cell r="D24" t="str">
            <v>ULA</v>
          </cell>
          <cell r="E24" t="str">
            <v>Sí</v>
          </cell>
          <cell r="F24">
            <v>0.62439024390243902</v>
          </cell>
          <cell r="G24">
            <v>0.62425149700598803</v>
          </cell>
          <cell r="H24">
            <v>0.61742424242424243</v>
          </cell>
          <cell r="I24">
            <v>0.66614664586583461</v>
          </cell>
          <cell r="J24">
            <v>0.60699865410497977</v>
          </cell>
          <cell r="K24">
            <v>820</v>
          </cell>
          <cell r="L24">
            <v>668</v>
          </cell>
          <cell r="M24">
            <v>792</v>
          </cell>
          <cell r="N24">
            <v>641</v>
          </cell>
          <cell r="O24">
            <v>743</v>
          </cell>
          <cell r="P24">
            <v>512</v>
          </cell>
          <cell r="Q24">
            <v>417</v>
          </cell>
          <cell r="R24">
            <v>489</v>
          </cell>
          <cell r="S24">
            <v>427</v>
          </cell>
          <cell r="T24">
            <v>451</v>
          </cell>
        </row>
        <row r="25">
          <cell r="D25" t="str">
            <v>MAG</v>
          </cell>
          <cell r="E25" t="str">
            <v>Sí</v>
          </cell>
          <cell r="F25">
            <v>0.6216216216216216</v>
          </cell>
          <cell r="G25">
            <v>0.60493827160493829</v>
          </cell>
          <cell r="H25">
            <v>0.63779527559055116</v>
          </cell>
          <cell r="I25">
            <v>0.63452914798206284</v>
          </cell>
          <cell r="J25">
            <v>0.59834710743801656</v>
          </cell>
          <cell r="K25">
            <v>666</v>
          </cell>
          <cell r="L25">
            <v>648</v>
          </cell>
          <cell r="M25">
            <v>508</v>
          </cell>
          <cell r="N25">
            <v>446</v>
          </cell>
          <cell r="O25">
            <v>605</v>
          </cell>
          <cell r="P25">
            <v>414</v>
          </cell>
          <cell r="Q25">
            <v>392</v>
          </cell>
          <cell r="R25">
            <v>324</v>
          </cell>
          <cell r="S25">
            <v>283</v>
          </cell>
          <cell r="T25">
            <v>362</v>
          </cell>
        </row>
        <row r="26">
          <cell r="D26" t="str">
            <v>UPA</v>
          </cell>
          <cell r="E26" t="str">
            <v>Sí</v>
          </cell>
          <cell r="F26">
            <v>0.63931623931623927</v>
          </cell>
          <cell r="G26">
            <v>0.64087193460490466</v>
          </cell>
          <cell r="H26">
            <v>0.59954751131221717</v>
          </cell>
          <cell r="I26">
            <v>0.59619306594153632</v>
          </cell>
          <cell r="J26">
            <v>0.55097765363128492</v>
          </cell>
          <cell r="K26">
            <v>1755</v>
          </cell>
          <cell r="L26">
            <v>1835</v>
          </cell>
          <cell r="M26">
            <v>1768</v>
          </cell>
          <cell r="N26">
            <v>1471</v>
          </cell>
          <cell r="O26">
            <v>1432</v>
          </cell>
          <cell r="P26">
            <v>1122</v>
          </cell>
          <cell r="Q26">
            <v>1176</v>
          </cell>
          <cell r="R26">
            <v>1060</v>
          </cell>
          <cell r="S26">
            <v>877</v>
          </cell>
          <cell r="T26">
            <v>789</v>
          </cell>
        </row>
        <row r="27">
          <cell r="D27" t="str">
            <v>USA</v>
          </cell>
          <cell r="E27" t="str">
            <v>Sí</v>
          </cell>
          <cell r="F27">
            <v>0.71329365079365081</v>
          </cell>
          <cell r="G27">
            <v>0.68065573770491805</v>
          </cell>
          <cell r="H27">
            <v>0.55658682634730539</v>
          </cell>
          <cell r="I27">
            <v>0.62788823213326173</v>
          </cell>
          <cell r="J27">
            <v>0.61633663366336633</v>
          </cell>
          <cell r="K27">
            <v>3024</v>
          </cell>
          <cell r="L27">
            <v>3050</v>
          </cell>
          <cell r="M27">
            <v>3340</v>
          </cell>
          <cell r="N27">
            <v>3722</v>
          </cell>
          <cell r="O27">
            <v>3232</v>
          </cell>
          <cell r="P27">
            <v>2157</v>
          </cell>
          <cell r="Q27">
            <v>2076</v>
          </cell>
          <cell r="R27">
            <v>1859</v>
          </cell>
          <cell r="S27">
            <v>2337</v>
          </cell>
          <cell r="T27">
            <v>1992</v>
          </cell>
        </row>
        <row r="28">
          <cell r="D28" t="str">
            <v>TAL</v>
          </cell>
          <cell r="E28" t="str">
            <v>Sí</v>
          </cell>
          <cell r="F28">
            <v>0.76491732566498927</v>
          </cell>
          <cell r="G28">
            <v>0.7556596409055425</v>
          </cell>
          <cell r="H28">
            <v>0.70656370656370659</v>
          </cell>
          <cell r="I28">
            <v>0.70518602029312294</v>
          </cell>
          <cell r="J28">
            <v>0.71880733944954134</v>
          </cell>
          <cell r="K28">
            <v>1391</v>
          </cell>
          <cell r="L28">
            <v>1281</v>
          </cell>
          <cell r="M28">
            <v>1295</v>
          </cell>
          <cell r="N28">
            <v>1774</v>
          </cell>
          <cell r="O28">
            <v>2180</v>
          </cell>
          <cell r="P28">
            <v>1064</v>
          </cell>
          <cell r="Q28">
            <v>968</v>
          </cell>
          <cell r="R28">
            <v>915</v>
          </cell>
          <cell r="S28">
            <v>1251</v>
          </cell>
          <cell r="T28">
            <v>1567</v>
          </cell>
        </row>
        <row r="29">
          <cell r="D29" t="str">
            <v>UTA</v>
          </cell>
          <cell r="E29" t="str">
            <v>Sí</v>
          </cell>
          <cell r="F29">
            <v>0.62388724035608312</v>
          </cell>
          <cell r="G29">
            <v>0.59766963673749141</v>
          </cell>
          <cell r="H29">
            <v>0.63847203274215547</v>
          </cell>
          <cell r="I29">
            <v>0.70169491525423733</v>
          </cell>
          <cell r="J29">
            <v>0.63040629095674972</v>
          </cell>
          <cell r="K29">
            <v>1348</v>
          </cell>
          <cell r="L29">
            <v>1459</v>
          </cell>
          <cell r="M29">
            <v>1466</v>
          </cell>
          <cell r="N29">
            <v>1475</v>
          </cell>
          <cell r="O29">
            <v>1526</v>
          </cell>
          <cell r="P29">
            <v>841</v>
          </cell>
          <cell r="Q29">
            <v>872</v>
          </cell>
          <cell r="R29">
            <v>936</v>
          </cell>
          <cell r="S29">
            <v>1035</v>
          </cell>
          <cell r="T29">
            <v>962</v>
          </cell>
        </row>
        <row r="30">
          <cell r="D30" t="str">
            <v>UVA</v>
          </cell>
          <cell r="E30" t="str">
            <v>Sí</v>
          </cell>
          <cell r="F30">
            <v>0.67007402185407117</v>
          </cell>
          <cell r="G30">
            <v>0.6637140145523569</v>
          </cell>
          <cell r="H30">
            <v>0.64890073284477012</v>
          </cell>
          <cell r="I30">
            <v>0.64079147640791478</v>
          </cell>
          <cell r="J30">
            <v>0.62412761714855436</v>
          </cell>
          <cell r="K30">
            <v>2837</v>
          </cell>
          <cell r="L30">
            <v>3161</v>
          </cell>
          <cell r="M30">
            <v>3002</v>
          </cell>
          <cell r="N30">
            <v>3285</v>
          </cell>
          <cell r="O30">
            <v>3009</v>
          </cell>
          <cell r="P30">
            <v>1901</v>
          </cell>
          <cell r="Q30">
            <v>2098</v>
          </cell>
          <cell r="R30">
            <v>1948</v>
          </cell>
          <cell r="S30">
            <v>2105</v>
          </cell>
          <cell r="T30">
            <v>1878</v>
          </cell>
        </row>
        <row r="31">
          <cell r="D31" t="str">
            <v>UBB</v>
          </cell>
          <cell r="E31" t="str">
            <v>Sí</v>
          </cell>
          <cell r="F31">
            <v>0.71873589164785556</v>
          </cell>
          <cell r="G31">
            <v>0.76222826086956519</v>
          </cell>
          <cell r="H31">
            <v>0.72163038443723948</v>
          </cell>
          <cell r="I31">
            <v>0.7530805687203791</v>
          </cell>
          <cell r="J31">
            <v>0.73044631020768891</v>
          </cell>
          <cell r="K31">
            <v>2215</v>
          </cell>
          <cell r="L31">
            <v>2208</v>
          </cell>
          <cell r="M31">
            <v>2159</v>
          </cell>
          <cell r="N31">
            <v>2110</v>
          </cell>
          <cell r="O31">
            <v>2263</v>
          </cell>
          <cell r="P31">
            <v>1592</v>
          </cell>
          <cell r="Q31">
            <v>1683</v>
          </cell>
          <cell r="R31">
            <v>1558</v>
          </cell>
          <cell r="S31">
            <v>1589</v>
          </cell>
          <cell r="T31">
            <v>1653</v>
          </cell>
        </row>
        <row r="32">
          <cell r="D32" t="str">
            <v>UMC</v>
          </cell>
          <cell r="E32" t="str">
            <v>Sí</v>
          </cell>
          <cell r="F32">
            <v>0.70460959548447788</v>
          </cell>
          <cell r="G32">
            <v>0.64579256360078274</v>
          </cell>
          <cell r="H32">
            <v>0.65895953757225434</v>
          </cell>
          <cell r="I32">
            <v>0.63561924257932445</v>
          </cell>
          <cell r="J32">
            <v>0.60351201478743066</v>
          </cell>
          <cell r="K32">
            <v>1063</v>
          </cell>
          <cell r="L32">
            <v>1022</v>
          </cell>
          <cell r="M32">
            <v>1038</v>
          </cell>
          <cell r="N32">
            <v>977</v>
          </cell>
          <cell r="O32">
            <v>1082</v>
          </cell>
          <cell r="P32">
            <v>749</v>
          </cell>
          <cell r="Q32">
            <v>660</v>
          </cell>
          <cell r="R32">
            <v>684</v>
          </cell>
          <cell r="S32">
            <v>621</v>
          </cell>
          <cell r="T32">
            <v>653</v>
          </cell>
        </row>
        <row r="33">
          <cell r="D33" t="str">
            <v>FSM</v>
          </cell>
          <cell r="E33" t="str">
            <v>Sí</v>
          </cell>
          <cell r="F33">
            <v>0.68058968058968061</v>
          </cell>
          <cell r="G33">
            <v>0.66422594142259417</v>
          </cell>
          <cell r="H33">
            <v>0.60167966406718654</v>
          </cell>
          <cell r="I33">
            <v>0.59113034072471604</v>
          </cell>
          <cell r="J33">
            <v>0.61661166116611665</v>
          </cell>
          <cell r="K33">
            <v>1628</v>
          </cell>
          <cell r="L33">
            <v>1912</v>
          </cell>
          <cell r="M33">
            <v>1667</v>
          </cell>
          <cell r="N33">
            <v>1849</v>
          </cell>
          <cell r="O33">
            <v>1818</v>
          </cell>
          <cell r="P33">
            <v>1108</v>
          </cell>
          <cell r="Q33">
            <v>1270</v>
          </cell>
          <cell r="R33">
            <v>1003</v>
          </cell>
          <cell r="S33">
            <v>1093</v>
          </cell>
          <cell r="T33">
            <v>1121</v>
          </cell>
        </row>
        <row r="34">
          <cell r="D34" t="str">
            <v>UTM</v>
          </cell>
          <cell r="E34" t="str">
            <v>Sí</v>
          </cell>
          <cell r="F34">
            <v>0.52498457742134486</v>
          </cell>
          <cell r="G34">
            <v>0.52720207253886009</v>
          </cell>
          <cell r="H34">
            <v>0.51516886090440761</v>
          </cell>
          <cell r="I34">
            <v>0.49744897959183676</v>
          </cell>
          <cell r="J34">
            <v>0.51688609044075562</v>
          </cell>
          <cell r="K34">
            <v>1621</v>
          </cell>
          <cell r="L34">
            <v>1544</v>
          </cell>
          <cell r="M34">
            <v>1747</v>
          </cell>
          <cell r="N34">
            <v>1568</v>
          </cell>
          <cell r="O34">
            <v>1747</v>
          </cell>
          <cell r="P34">
            <v>851</v>
          </cell>
          <cell r="Q34">
            <v>814</v>
          </cell>
          <cell r="R34">
            <v>900</v>
          </cell>
          <cell r="S34">
            <v>780</v>
          </cell>
          <cell r="T34">
            <v>903</v>
          </cell>
        </row>
        <row r="35">
          <cell r="D35">
            <v>0</v>
          </cell>
          <cell r="E35">
            <v>0</v>
          </cell>
          <cell r="F35">
            <v>0.67336856385025001</v>
          </cell>
          <cell r="G35">
            <v>0.66273019584916693</v>
          </cell>
          <cell r="H35">
            <v>0.64131093685836638</v>
          </cell>
          <cell r="I35">
            <v>0.6574537916738642</v>
          </cell>
          <cell r="J35">
            <v>0.65461337455375213</v>
          </cell>
          <cell r="K35">
            <v>49389</v>
          </cell>
          <cell r="L35">
            <v>51315</v>
          </cell>
          <cell r="M35">
            <v>51139</v>
          </cell>
          <cell r="N35">
            <v>52101</v>
          </cell>
          <cell r="O35">
            <v>54342</v>
          </cell>
          <cell r="P35">
            <v>33257</v>
          </cell>
          <cell r="Q35">
            <v>34008</v>
          </cell>
          <cell r="R35">
            <v>32796</v>
          </cell>
          <cell r="S35">
            <v>34254</v>
          </cell>
          <cell r="T35">
            <v>35573</v>
          </cell>
        </row>
        <row r="36">
          <cell r="D36" t="str">
            <v>AHC</v>
          </cell>
          <cell r="E36" t="str">
            <v>Sí</v>
          </cell>
          <cell r="F36">
            <v>0.58789954337899542</v>
          </cell>
          <cell r="G36">
            <v>0.55204678362573101</v>
          </cell>
          <cell r="H36">
            <v>0.50977653631284914</v>
          </cell>
          <cell r="I36">
            <v>0.52519083969465652</v>
          </cell>
          <cell r="J36">
            <v>0.52796052631578949</v>
          </cell>
          <cell r="K36">
            <v>876</v>
          </cell>
          <cell r="L36">
            <v>855</v>
          </cell>
          <cell r="M36">
            <v>716</v>
          </cell>
          <cell r="N36">
            <v>655</v>
          </cell>
          <cell r="O36">
            <v>608</v>
          </cell>
          <cell r="P36">
            <v>515</v>
          </cell>
          <cell r="Q36">
            <v>472</v>
          </cell>
          <cell r="R36">
            <v>365</v>
          </cell>
          <cell r="S36">
            <v>344</v>
          </cell>
          <cell r="T36">
            <v>321</v>
          </cell>
        </row>
        <row r="37">
          <cell r="D37" t="str">
            <v>UAI</v>
          </cell>
          <cell r="E37" t="str">
            <v>NO</v>
          </cell>
          <cell r="F37">
            <v>0.62838633686690226</v>
          </cell>
          <cell r="G37">
            <v>0.62402088772845954</v>
          </cell>
          <cell r="H37">
            <v>0.66489078316462435</v>
          </cell>
          <cell r="I37">
            <v>0.72983870967741937</v>
          </cell>
          <cell r="J37">
            <v>0.75697211155378485</v>
          </cell>
          <cell r="K37">
            <v>1698</v>
          </cell>
          <cell r="L37">
            <v>1532</v>
          </cell>
          <cell r="M37">
            <v>1877</v>
          </cell>
          <cell r="N37">
            <v>1984</v>
          </cell>
          <cell r="O37">
            <v>1255</v>
          </cell>
          <cell r="P37">
            <v>1067</v>
          </cell>
          <cell r="Q37">
            <v>956</v>
          </cell>
          <cell r="R37">
            <v>1248</v>
          </cell>
          <cell r="S37">
            <v>1448</v>
          </cell>
          <cell r="T37">
            <v>950</v>
          </cell>
        </row>
        <row r="38">
          <cell r="D38">
            <v>0</v>
          </cell>
          <cell r="E38" t="str">
            <v>NO</v>
          </cell>
          <cell r="F38">
            <v>0.65909090909090906</v>
          </cell>
          <cell r="G38">
            <v>0.59558823529411764</v>
          </cell>
          <cell r="H38">
            <v>0.67169811320754713</v>
          </cell>
          <cell r="I38">
            <v>0.68259385665529015</v>
          </cell>
          <cell r="J38">
            <v>0.71276595744680848</v>
          </cell>
          <cell r="K38">
            <v>176</v>
          </cell>
          <cell r="L38">
            <v>272</v>
          </cell>
          <cell r="M38">
            <v>265</v>
          </cell>
          <cell r="N38">
            <v>293</v>
          </cell>
          <cell r="O38">
            <v>376</v>
          </cell>
          <cell r="P38">
            <v>116</v>
          </cell>
          <cell r="Q38">
            <v>162</v>
          </cell>
          <cell r="R38">
            <v>178</v>
          </cell>
          <cell r="S38">
            <v>200</v>
          </cell>
          <cell r="T38">
            <v>268</v>
          </cell>
        </row>
        <row r="39">
          <cell r="D39" t="str">
            <v>UAH</v>
          </cell>
          <cell r="E39" t="str">
            <v>Sí</v>
          </cell>
          <cell r="F39">
            <v>0.651685393258427</v>
          </cell>
          <cell r="G39">
            <v>0.63916391639163916</v>
          </cell>
          <cell r="H39">
            <v>0.61085972850678738</v>
          </cell>
          <cell r="I39">
            <v>0.63989637305699487</v>
          </cell>
          <cell r="J39">
            <v>0.55915721231766613</v>
          </cell>
          <cell r="K39">
            <v>801</v>
          </cell>
          <cell r="L39">
            <v>909</v>
          </cell>
          <cell r="M39">
            <v>884</v>
          </cell>
          <cell r="N39">
            <v>1158</v>
          </cell>
          <cell r="O39">
            <v>1234</v>
          </cell>
          <cell r="P39">
            <v>522</v>
          </cell>
          <cell r="Q39">
            <v>581</v>
          </cell>
          <cell r="R39">
            <v>540</v>
          </cell>
          <cell r="S39">
            <v>741</v>
          </cell>
          <cell r="T39">
            <v>690</v>
          </cell>
        </row>
        <row r="40">
          <cell r="D40" t="str">
            <v>UAB</v>
          </cell>
          <cell r="E40" t="str">
            <v>NO</v>
          </cell>
          <cell r="F40">
            <v>0.52313640207804757</v>
          </cell>
          <cell r="G40">
            <v>0.54298693923906871</v>
          </cell>
          <cell r="H40">
            <v>0.54033041788143832</v>
          </cell>
          <cell r="I40">
            <v>0.55392768079800503</v>
          </cell>
          <cell r="J40">
            <v>0.55112855740922473</v>
          </cell>
          <cell r="K40">
            <v>8277</v>
          </cell>
          <cell r="L40">
            <v>8805</v>
          </cell>
          <cell r="M40">
            <v>9261</v>
          </cell>
          <cell r="N40">
            <v>9624</v>
          </cell>
          <cell r="O40">
            <v>10190</v>
          </cell>
          <cell r="P40">
            <v>4330</v>
          </cell>
          <cell r="Q40">
            <v>4781</v>
          </cell>
          <cell r="R40">
            <v>5004</v>
          </cell>
          <cell r="S40">
            <v>5331</v>
          </cell>
          <cell r="T40">
            <v>5616</v>
          </cell>
        </row>
        <row r="41">
          <cell r="D41" t="str">
            <v>UAU</v>
          </cell>
          <cell r="E41" t="str">
            <v>Sí</v>
          </cell>
          <cell r="F41">
            <v>0.68061336254107341</v>
          </cell>
          <cell r="G41">
            <v>0.70216466950135292</v>
          </cell>
          <cell r="H41">
            <v>0.70311493018259941</v>
          </cell>
          <cell r="I41">
            <v>0.66791338582677162</v>
          </cell>
          <cell r="J41">
            <v>0.68085106382978722</v>
          </cell>
          <cell r="K41">
            <v>4565</v>
          </cell>
          <cell r="L41">
            <v>5174</v>
          </cell>
          <cell r="M41">
            <v>4655</v>
          </cell>
          <cell r="N41">
            <v>5080</v>
          </cell>
          <cell r="O41">
            <v>3948</v>
          </cell>
          <cell r="P41">
            <v>3107</v>
          </cell>
          <cell r="Q41">
            <v>3633</v>
          </cell>
          <cell r="R41">
            <v>3273</v>
          </cell>
          <cell r="S41">
            <v>3393</v>
          </cell>
          <cell r="T41">
            <v>2688</v>
          </cell>
        </row>
        <row r="42">
          <cell r="D42" t="str">
            <v>UBO</v>
          </cell>
          <cell r="E42" t="str">
            <v>NO</v>
          </cell>
          <cell r="F42">
            <v>0.62453531598513012</v>
          </cell>
          <cell r="G42">
            <v>0.62899050905953413</v>
          </cell>
          <cell r="H42">
            <v>0.56718749999999996</v>
          </cell>
          <cell r="I42">
            <v>0.55360134003350081</v>
          </cell>
          <cell r="J42">
            <v>0.52500000000000002</v>
          </cell>
          <cell r="K42">
            <v>1076</v>
          </cell>
          <cell r="L42">
            <v>1159</v>
          </cell>
          <cell r="M42">
            <v>1280</v>
          </cell>
          <cell r="N42">
            <v>1194</v>
          </cell>
          <cell r="O42">
            <v>400</v>
          </cell>
          <cell r="P42">
            <v>672</v>
          </cell>
          <cell r="Q42">
            <v>729</v>
          </cell>
          <cell r="R42">
            <v>726</v>
          </cell>
          <cell r="S42">
            <v>661</v>
          </cell>
          <cell r="T42">
            <v>210</v>
          </cell>
        </row>
        <row r="43">
          <cell r="D43">
            <v>0</v>
          </cell>
          <cell r="E43" t="str">
            <v>NO</v>
          </cell>
          <cell r="F43">
            <v>0.2814814814814815</v>
          </cell>
          <cell r="G43">
            <v>0.32131147540983607</v>
          </cell>
          <cell r="H43">
            <v>0.39660056657223797</v>
          </cell>
          <cell r="I43">
            <v>0.29799426934097423</v>
          </cell>
          <cell r="J43">
            <v>0.37609329446064138</v>
          </cell>
          <cell r="K43">
            <v>1080</v>
          </cell>
          <cell r="L43">
            <v>915</v>
          </cell>
          <cell r="M43">
            <v>706</v>
          </cell>
          <cell r="N43">
            <v>349</v>
          </cell>
          <cell r="O43">
            <v>1029</v>
          </cell>
          <cell r="P43">
            <v>304</v>
          </cell>
          <cell r="Q43">
            <v>294</v>
          </cell>
          <cell r="R43">
            <v>280</v>
          </cell>
          <cell r="S43">
            <v>104</v>
          </cell>
          <cell r="T43">
            <v>387</v>
          </cell>
        </row>
        <row r="44">
          <cell r="D44" t="str">
            <v>UCS</v>
          </cell>
          <cell r="E44" t="str">
            <v>Sí</v>
          </cell>
          <cell r="F44">
            <v>0.59631728045325783</v>
          </cell>
          <cell r="G44">
            <v>0.62131303520456704</v>
          </cell>
          <cell r="H44">
            <v>0.60266666666666668</v>
          </cell>
          <cell r="I44">
            <v>0.6033755274261603</v>
          </cell>
          <cell r="J44">
            <v>0.67763157894736847</v>
          </cell>
          <cell r="K44">
            <v>1412</v>
          </cell>
          <cell r="L44">
            <v>1051</v>
          </cell>
          <cell r="M44">
            <v>1125</v>
          </cell>
          <cell r="N44">
            <v>948</v>
          </cell>
          <cell r="O44">
            <v>912</v>
          </cell>
          <cell r="P44">
            <v>842</v>
          </cell>
          <cell r="Q44">
            <v>653</v>
          </cell>
          <cell r="R44">
            <v>678</v>
          </cell>
          <cell r="S44">
            <v>572</v>
          </cell>
          <cell r="T44">
            <v>618</v>
          </cell>
        </row>
        <row r="45">
          <cell r="D45" t="str">
            <v>UCE</v>
          </cell>
          <cell r="E45" t="str">
            <v>NO</v>
          </cell>
          <cell r="F45">
            <v>0.59445628997867805</v>
          </cell>
          <cell r="G45">
            <v>0.62917795844625113</v>
          </cell>
          <cell r="H45">
            <v>0.59069325735992406</v>
          </cell>
          <cell r="I45">
            <v>0.57628490489680295</v>
          </cell>
          <cell r="J45">
            <v>0.5954600729631131</v>
          </cell>
          <cell r="K45">
            <v>2345</v>
          </cell>
          <cell r="L45">
            <v>2214</v>
          </cell>
          <cell r="M45">
            <v>2106</v>
          </cell>
          <cell r="N45">
            <v>2471</v>
          </cell>
          <cell r="O45">
            <v>2467</v>
          </cell>
          <cell r="P45">
            <v>1394</v>
          </cell>
          <cell r="Q45">
            <v>1393</v>
          </cell>
          <cell r="R45">
            <v>1244</v>
          </cell>
          <cell r="S45">
            <v>1424</v>
          </cell>
          <cell r="T45">
            <v>1469</v>
          </cell>
        </row>
        <row r="46">
          <cell r="D46">
            <v>0</v>
          </cell>
          <cell r="E46" t="str">
            <v>NO</v>
          </cell>
          <cell r="F46">
            <v>0.50819672131147542</v>
          </cell>
          <cell r="G46">
            <v>0.55555555555555558</v>
          </cell>
          <cell r="H46">
            <v>0.51041666666666663</v>
          </cell>
          <cell r="I46">
            <v>0.55913978494623651</v>
          </cell>
          <cell r="J46">
            <v>0.580952380952381</v>
          </cell>
          <cell r="K46">
            <v>122</v>
          </cell>
          <cell r="L46">
            <v>90</v>
          </cell>
          <cell r="M46">
            <v>96</v>
          </cell>
          <cell r="N46">
            <v>93</v>
          </cell>
          <cell r="O46">
            <v>105</v>
          </cell>
          <cell r="P46">
            <v>62</v>
          </cell>
          <cell r="Q46">
            <v>50</v>
          </cell>
          <cell r="R46">
            <v>49</v>
          </cell>
          <cell r="S46">
            <v>52</v>
          </cell>
          <cell r="T46">
            <v>61</v>
          </cell>
        </row>
        <row r="47">
          <cell r="D47">
            <v>0</v>
          </cell>
          <cell r="E47" t="str">
            <v>NO</v>
          </cell>
          <cell r="F47">
            <v>0.30660042583392477</v>
          </cell>
          <cell r="G47">
            <v>0.41933418693982072</v>
          </cell>
          <cell r="H47">
            <v>0.43443804034582134</v>
          </cell>
          <cell r="I47">
            <v>0.41551459293394777</v>
          </cell>
          <cell r="J47">
            <v>0.46759259259259262</v>
          </cell>
          <cell r="K47">
            <v>1409</v>
          </cell>
          <cell r="L47">
            <v>1562</v>
          </cell>
          <cell r="M47">
            <v>1388</v>
          </cell>
          <cell r="N47">
            <v>1302</v>
          </cell>
          <cell r="O47">
            <v>1080</v>
          </cell>
          <cell r="P47">
            <v>432</v>
          </cell>
          <cell r="Q47">
            <v>655</v>
          </cell>
          <cell r="R47">
            <v>603</v>
          </cell>
          <cell r="S47">
            <v>541</v>
          </cell>
          <cell r="T47">
            <v>505</v>
          </cell>
        </row>
        <row r="48">
          <cell r="D48">
            <v>0</v>
          </cell>
          <cell r="E48" t="str">
            <v>NO</v>
          </cell>
          <cell r="F48">
            <v>0.38154269972451793</v>
          </cell>
          <cell r="G48">
            <v>0.43133462282398455</v>
          </cell>
          <cell r="H48">
            <v>0.46702127659574466</v>
          </cell>
          <cell r="I48">
            <v>0.28644240570846075</v>
          </cell>
          <cell r="J48">
            <v>0.231990231990232</v>
          </cell>
          <cell r="K48">
            <v>726</v>
          </cell>
          <cell r="L48">
            <v>517</v>
          </cell>
          <cell r="M48">
            <v>940</v>
          </cell>
          <cell r="N48">
            <v>981</v>
          </cell>
          <cell r="O48">
            <v>819</v>
          </cell>
          <cell r="P48">
            <v>277</v>
          </cell>
          <cell r="Q48">
            <v>223</v>
          </cell>
          <cell r="R48">
            <v>439</v>
          </cell>
          <cell r="S48">
            <v>281</v>
          </cell>
          <cell r="T48">
            <v>190</v>
          </cell>
        </row>
        <row r="49">
          <cell r="D49">
            <v>0</v>
          </cell>
          <cell r="E49" t="str">
            <v>NO</v>
          </cell>
          <cell r="F49">
            <v>0.49010477299185101</v>
          </cell>
          <cell r="G49">
            <v>0.43168316831683168</v>
          </cell>
          <cell r="H49">
            <v>0.40756302521008403</v>
          </cell>
          <cell r="I49">
            <v>0.29833546734955185</v>
          </cell>
          <cell r="J49">
            <v>0.3707865168539326</v>
          </cell>
          <cell r="K49">
            <v>859</v>
          </cell>
          <cell r="L49">
            <v>1010</v>
          </cell>
          <cell r="M49">
            <v>1190</v>
          </cell>
          <cell r="N49">
            <v>781</v>
          </cell>
          <cell r="O49">
            <v>534</v>
          </cell>
          <cell r="P49">
            <v>421</v>
          </cell>
          <cell r="Q49">
            <v>436</v>
          </cell>
          <cell r="R49">
            <v>485</v>
          </cell>
          <cell r="S49">
            <v>233</v>
          </cell>
          <cell r="T49">
            <v>198</v>
          </cell>
        </row>
        <row r="50">
          <cell r="D50">
            <v>0</v>
          </cell>
          <cell r="E50" t="str">
            <v>NO</v>
          </cell>
          <cell r="F50">
            <v>0.55668247996073938</v>
          </cell>
          <cell r="G50">
            <v>0.58524562298147209</v>
          </cell>
          <cell r="H50">
            <v>0.50861180627116154</v>
          </cell>
          <cell r="I50">
            <v>0.45107327905255368</v>
          </cell>
          <cell r="J50">
            <v>0.39447348767737117</v>
          </cell>
          <cell r="K50">
            <v>6113</v>
          </cell>
          <cell r="L50">
            <v>5883</v>
          </cell>
          <cell r="M50">
            <v>6793</v>
          </cell>
          <cell r="N50">
            <v>6755</v>
          </cell>
          <cell r="O50">
            <v>6695</v>
          </cell>
          <cell r="P50">
            <v>3403</v>
          </cell>
          <cell r="Q50">
            <v>3443</v>
          </cell>
          <cell r="R50">
            <v>3455</v>
          </cell>
          <cell r="S50">
            <v>3047</v>
          </cell>
          <cell r="T50">
            <v>2641</v>
          </cell>
        </row>
        <row r="51">
          <cell r="D51" t="str">
            <v>UAN</v>
          </cell>
          <cell r="E51" t="str">
            <v>NO</v>
          </cell>
          <cell r="F51">
            <v>0.81222707423580787</v>
          </cell>
          <cell r="G51">
            <v>0.78400000000000003</v>
          </cell>
          <cell r="H51">
            <v>0.76829268292682928</v>
          </cell>
          <cell r="I51">
            <v>0.81582054309327035</v>
          </cell>
          <cell r="J51">
            <v>0.81425702811244982</v>
          </cell>
          <cell r="K51">
            <v>687</v>
          </cell>
          <cell r="L51">
            <v>750</v>
          </cell>
          <cell r="M51">
            <v>902</v>
          </cell>
          <cell r="N51">
            <v>847</v>
          </cell>
          <cell r="O51">
            <v>996</v>
          </cell>
          <cell r="P51">
            <v>558</v>
          </cell>
          <cell r="Q51">
            <v>588</v>
          </cell>
          <cell r="R51">
            <v>693</v>
          </cell>
          <cell r="S51">
            <v>691</v>
          </cell>
          <cell r="T51">
            <v>811</v>
          </cell>
        </row>
        <row r="52">
          <cell r="D52" t="str">
            <v>UVM</v>
          </cell>
          <cell r="E52" t="str">
            <v>NO</v>
          </cell>
          <cell r="F52">
            <v>0.53194650817236255</v>
          </cell>
          <cell r="G52">
            <v>0.56839309428950868</v>
          </cell>
          <cell r="H52">
            <v>0.52885572139303483</v>
          </cell>
          <cell r="I52">
            <v>0.58983957219251337</v>
          </cell>
          <cell r="J52">
            <v>0.57419898819561555</v>
          </cell>
          <cell r="K52">
            <v>1346</v>
          </cell>
          <cell r="L52">
            <v>1506</v>
          </cell>
          <cell r="M52">
            <v>2010</v>
          </cell>
          <cell r="N52">
            <v>1870</v>
          </cell>
          <cell r="O52">
            <v>1186</v>
          </cell>
          <cell r="P52">
            <v>716</v>
          </cell>
          <cell r="Q52">
            <v>856</v>
          </cell>
          <cell r="R52">
            <v>1063</v>
          </cell>
          <cell r="S52">
            <v>1103</v>
          </cell>
          <cell r="T52">
            <v>681</v>
          </cell>
        </row>
        <row r="53">
          <cell r="D53" t="str">
            <v>UDD</v>
          </cell>
          <cell r="E53" t="str">
            <v>NO</v>
          </cell>
          <cell r="F53">
            <v>0.75232198142414863</v>
          </cell>
          <cell r="G53">
            <v>0.76488095238095233</v>
          </cell>
          <cell r="H53">
            <v>0.72760511882998169</v>
          </cell>
          <cell r="I53">
            <v>0.73486273034975558</v>
          </cell>
          <cell r="J53">
            <v>0.72058823529411764</v>
          </cell>
          <cell r="K53">
            <v>2261</v>
          </cell>
          <cell r="L53">
            <v>2352</v>
          </cell>
          <cell r="M53">
            <v>2188</v>
          </cell>
          <cell r="N53">
            <v>2659</v>
          </cell>
          <cell r="O53">
            <v>2516</v>
          </cell>
          <cell r="P53">
            <v>1701</v>
          </cell>
          <cell r="Q53">
            <v>1799</v>
          </cell>
          <cell r="R53">
            <v>1592</v>
          </cell>
          <cell r="S53">
            <v>1954</v>
          </cell>
          <cell r="T53">
            <v>1813</v>
          </cell>
        </row>
        <row r="54">
          <cell r="D54">
            <v>0</v>
          </cell>
          <cell r="E54" t="str">
            <v>NO</v>
          </cell>
          <cell r="F54">
            <v>0.42138364779874216</v>
          </cell>
          <cell r="G54">
            <v>0.1333013665787581</v>
          </cell>
          <cell r="H54">
            <v>2.2857142857142857E-2</v>
          </cell>
          <cell r="I54">
            <v>3.031221582297666E-4</v>
          </cell>
          <cell r="J54">
            <v>0</v>
          </cell>
          <cell r="K54">
            <v>3816</v>
          </cell>
          <cell r="L54">
            <v>4171</v>
          </cell>
          <cell r="M54">
            <v>4900</v>
          </cell>
          <cell r="N54">
            <v>3299</v>
          </cell>
          <cell r="O54">
            <v>0</v>
          </cell>
          <cell r="P54">
            <v>1608</v>
          </cell>
          <cell r="Q54">
            <v>556</v>
          </cell>
          <cell r="R54">
            <v>112</v>
          </cell>
          <cell r="S54">
            <v>1</v>
          </cell>
          <cell r="T54">
            <v>0</v>
          </cell>
        </row>
        <row r="55">
          <cell r="D55" t="str">
            <v>UPO</v>
          </cell>
          <cell r="E55" t="str">
            <v>NO</v>
          </cell>
          <cell r="F55">
            <v>0.59166115155526144</v>
          </cell>
          <cell r="G55">
            <v>0.56133225020308697</v>
          </cell>
          <cell r="H55">
            <v>0.59583694709453594</v>
          </cell>
          <cell r="I55">
            <v>0.61496149614961493</v>
          </cell>
          <cell r="J55">
            <v>0.58620689655172409</v>
          </cell>
          <cell r="K55">
            <v>1511</v>
          </cell>
          <cell r="L55">
            <v>1231</v>
          </cell>
          <cell r="M55">
            <v>1153</v>
          </cell>
          <cell r="N55">
            <v>909</v>
          </cell>
          <cell r="O55">
            <v>812</v>
          </cell>
          <cell r="P55">
            <v>894</v>
          </cell>
          <cell r="Q55">
            <v>691</v>
          </cell>
          <cell r="R55">
            <v>687</v>
          </cell>
          <cell r="S55">
            <v>559</v>
          </cell>
          <cell r="T55">
            <v>476</v>
          </cell>
        </row>
        <row r="56">
          <cell r="D56" t="str">
            <v>UDP</v>
          </cell>
          <cell r="E56" t="str">
            <v>Sí</v>
          </cell>
          <cell r="F56">
            <v>0.68855858969927408</v>
          </cell>
          <cell r="G56">
            <v>0.69433962264150939</v>
          </cell>
          <cell r="H56">
            <v>0.69783889980353631</v>
          </cell>
          <cell r="I56">
            <v>0.73736968724939855</v>
          </cell>
          <cell r="J56">
            <v>0.69526202440775309</v>
          </cell>
          <cell r="K56">
            <v>2893</v>
          </cell>
          <cell r="L56">
            <v>2650</v>
          </cell>
          <cell r="M56">
            <v>2545</v>
          </cell>
          <cell r="N56">
            <v>2494</v>
          </cell>
          <cell r="O56">
            <v>2786</v>
          </cell>
          <cell r="P56">
            <v>1992</v>
          </cell>
          <cell r="Q56">
            <v>1840</v>
          </cell>
          <cell r="R56">
            <v>1776</v>
          </cell>
          <cell r="S56">
            <v>1839</v>
          </cell>
          <cell r="T56">
            <v>1937</v>
          </cell>
        </row>
        <row r="57">
          <cell r="D57" t="str">
            <v>UFT</v>
          </cell>
          <cell r="E57" t="str">
            <v>Sí</v>
          </cell>
          <cell r="F57">
            <v>0.60788863109048719</v>
          </cell>
          <cell r="G57">
            <v>0.65092402464065713</v>
          </cell>
          <cell r="H57">
            <v>0.63411764705882356</v>
          </cell>
          <cell r="I57">
            <v>0.68444055944055948</v>
          </cell>
          <cell r="J57">
            <v>0.67699115044247793</v>
          </cell>
          <cell r="K57">
            <v>862</v>
          </cell>
          <cell r="L57">
            <v>974</v>
          </cell>
          <cell r="M57">
            <v>850</v>
          </cell>
          <cell r="N57">
            <v>1144</v>
          </cell>
          <cell r="O57">
            <v>1130</v>
          </cell>
          <cell r="P57">
            <v>524</v>
          </cell>
          <cell r="Q57">
            <v>634</v>
          </cell>
          <cell r="R57">
            <v>539</v>
          </cell>
          <cell r="S57">
            <v>783</v>
          </cell>
          <cell r="T57">
            <v>765</v>
          </cell>
        </row>
      </sheetData>
      <sheetData sheetId="9">
        <row r="8">
          <cell r="F8" t="str">
            <v>PUC</v>
          </cell>
          <cell r="G8" t="str">
            <v>Sí</v>
          </cell>
          <cell r="H8">
            <v>169</v>
          </cell>
          <cell r="I8">
            <v>0</v>
          </cell>
          <cell r="J8">
            <v>0</v>
          </cell>
          <cell r="K8">
            <v>6</v>
          </cell>
          <cell r="L8">
            <v>5</v>
          </cell>
          <cell r="M8">
            <v>26</v>
          </cell>
          <cell r="N8">
            <v>0.21893491124260356</v>
          </cell>
          <cell r="O8">
            <v>37</v>
          </cell>
        </row>
        <row r="9">
          <cell r="F9" t="str">
            <v>UCV</v>
          </cell>
          <cell r="G9" t="str">
            <v>Sí</v>
          </cell>
          <cell r="H9">
            <v>37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3</v>
          </cell>
          <cell r="N9">
            <v>8.1081081081081086E-2</v>
          </cell>
          <cell r="O9">
            <v>3</v>
          </cell>
        </row>
        <row r="10">
          <cell r="F10" t="str">
            <v>AUS</v>
          </cell>
          <cell r="G10" t="str">
            <v>Sí</v>
          </cell>
          <cell r="H10">
            <v>42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4</v>
          </cell>
          <cell r="N10">
            <v>9.5238095238095233E-2</v>
          </cell>
          <cell r="O10">
            <v>4</v>
          </cell>
        </row>
        <row r="11">
          <cell r="F11" t="str">
            <v>UCN</v>
          </cell>
          <cell r="G11" t="str">
            <v>Sí</v>
          </cell>
          <cell r="H11">
            <v>4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F12" t="str">
            <v>ANT</v>
          </cell>
          <cell r="G12" t="str">
            <v>Sí</v>
          </cell>
          <cell r="H12">
            <v>10</v>
          </cell>
          <cell r="I12">
            <v>0</v>
          </cell>
          <cell r="J12">
            <v>0</v>
          </cell>
          <cell r="K12">
            <v>0</v>
          </cell>
          <cell r="L12">
            <v>2</v>
          </cell>
          <cell r="M12">
            <v>0</v>
          </cell>
          <cell r="N12">
            <v>0.2</v>
          </cell>
          <cell r="O12">
            <v>2</v>
          </cell>
        </row>
        <row r="13">
          <cell r="F13" t="str">
            <v>UCH</v>
          </cell>
          <cell r="G13" t="str">
            <v>Sí</v>
          </cell>
          <cell r="H13">
            <v>214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36</v>
          </cell>
          <cell r="N13">
            <v>0.16822429906542055</v>
          </cell>
          <cell r="O13">
            <v>36</v>
          </cell>
        </row>
        <row r="14">
          <cell r="F14" t="str">
            <v>UCO</v>
          </cell>
          <cell r="G14" t="str">
            <v>Sí</v>
          </cell>
          <cell r="H14">
            <v>88</v>
          </cell>
          <cell r="I14">
            <v>0</v>
          </cell>
          <cell r="J14">
            <v>1</v>
          </cell>
          <cell r="K14">
            <v>0</v>
          </cell>
          <cell r="L14">
            <v>2</v>
          </cell>
          <cell r="M14">
            <v>12</v>
          </cell>
          <cell r="N14">
            <v>0.17045454545454544</v>
          </cell>
          <cell r="O14">
            <v>15</v>
          </cell>
        </row>
        <row r="15">
          <cell r="F15" t="str">
            <v>FRO</v>
          </cell>
          <cell r="G15" t="str">
            <v>Sí</v>
          </cell>
          <cell r="H15">
            <v>38</v>
          </cell>
          <cell r="I15">
            <v>0</v>
          </cell>
          <cell r="J15">
            <v>0</v>
          </cell>
          <cell r="K15">
            <v>2</v>
          </cell>
          <cell r="L15">
            <v>3</v>
          </cell>
          <cell r="M15">
            <v>8</v>
          </cell>
          <cell r="N15">
            <v>0.34210526315789475</v>
          </cell>
          <cell r="O15">
            <v>13</v>
          </cell>
        </row>
        <row r="16">
          <cell r="F16" t="str">
            <v>ULS</v>
          </cell>
          <cell r="G16" t="str">
            <v>Sí</v>
          </cell>
          <cell r="H16">
            <v>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F17" t="str">
            <v>UPA</v>
          </cell>
          <cell r="G17" t="str">
            <v>Sí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F18" t="str">
            <v>USA</v>
          </cell>
          <cell r="G18" t="str">
            <v>Sí</v>
          </cell>
          <cell r="H18">
            <v>66</v>
          </cell>
          <cell r="I18">
            <v>0</v>
          </cell>
          <cell r="J18">
            <v>0</v>
          </cell>
          <cell r="K18">
            <v>0</v>
          </cell>
          <cell r="L18">
            <v>3</v>
          </cell>
          <cell r="M18">
            <v>12</v>
          </cell>
          <cell r="N18">
            <v>0.22727272727272727</v>
          </cell>
          <cell r="O18">
            <v>15</v>
          </cell>
        </row>
        <row r="19">
          <cell r="F19" t="str">
            <v>TAL</v>
          </cell>
          <cell r="G19" t="str">
            <v>Sí</v>
          </cell>
          <cell r="H19">
            <v>12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1</v>
          </cell>
          <cell r="N19">
            <v>0.16666666666666666</v>
          </cell>
          <cell r="O19">
            <v>2</v>
          </cell>
        </row>
        <row r="20">
          <cell r="F20" t="str">
            <v>UTA</v>
          </cell>
          <cell r="G20" t="str">
            <v>Sí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F21" t="str">
            <v>UVA</v>
          </cell>
          <cell r="G21" t="str">
            <v>Sí</v>
          </cell>
          <cell r="H21">
            <v>13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</v>
          </cell>
          <cell r="N21">
            <v>7.6923076923076927E-2</v>
          </cell>
          <cell r="O21">
            <v>1</v>
          </cell>
        </row>
        <row r="22">
          <cell r="F22" t="str">
            <v>UBB</v>
          </cell>
          <cell r="G22" t="str">
            <v>Sí</v>
          </cell>
          <cell r="H22">
            <v>8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F23" t="str">
            <v>UMC</v>
          </cell>
          <cell r="G23" t="str">
            <v>Sí</v>
          </cell>
          <cell r="H23">
            <v>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F24" t="str">
            <v>FSM</v>
          </cell>
          <cell r="G24" t="str">
            <v>Sí</v>
          </cell>
          <cell r="H24">
            <v>19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5.2631578947368418E-2</v>
          </cell>
          <cell r="O24">
            <v>1</v>
          </cell>
        </row>
        <row r="25">
          <cell r="F25">
            <v>0</v>
          </cell>
          <cell r="G25">
            <v>0</v>
          </cell>
          <cell r="H25">
            <v>735</v>
          </cell>
          <cell r="I25">
            <v>0</v>
          </cell>
          <cell r="J25">
            <v>1</v>
          </cell>
          <cell r="K25">
            <v>8</v>
          </cell>
          <cell r="L25">
            <v>16</v>
          </cell>
          <cell r="M25">
            <v>104</v>
          </cell>
          <cell r="N25">
            <v>0.17551020408163265</v>
          </cell>
        </row>
        <row r="26">
          <cell r="F26" t="str">
            <v>UAI</v>
          </cell>
          <cell r="G26" t="str">
            <v>NO</v>
          </cell>
          <cell r="H26">
            <v>11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</v>
          </cell>
          <cell r="N26">
            <v>0.18181818181818182</v>
          </cell>
        </row>
        <row r="27">
          <cell r="F27" t="str">
            <v>UAH</v>
          </cell>
          <cell r="G27" t="str">
            <v>Sí</v>
          </cell>
          <cell r="H27">
            <v>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al 25sep17 (oct 2017)"/>
      <sheetName val="Tablas al 2016"/>
      <sheetName val="Tablas al 2015"/>
      <sheetName val="Tablas al 2014"/>
    </sheetNames>
    <sheetDataSet>
      <sheetData sheetId="0"/>
      <sheetData sheetId="1">
        <row r="64">
          <cell r="A64" t="str">
            <v>ANT</v>
          </cell>
          <cell r="B64">
            <v>1</v>
          </cell>
          <cell r="H64">
            <v>1</v>
          </cell>
          <cell r="I64">
            <v>2</v>
          </cell>
          <cell r="J64" t="str">
            <v>CRUCH EST.</v>
          </cell>
          <cell r="K64">
            <v>1</v>
          </cell>
          <cell r="L64">
            <v>1</v>
          </cell>
        </row>
        <row r="65">
          <cell r="A65" t="str">
            <v>AUS</v>
          </cell>
          <cell r="D65">
            <v>1</v>
          </cell>
          <cell r="F65">
            <v>1</v>
          </cell>
          <cell r="I65">
            <v>2</v>
          </cell>
          <cell r="J65" t="str">
            <v>CRUCH PRIV.</v>
          </cell>
          <cell r="L65">
            <v>0</v>
          </cell>
        </row>
        <row r="66">
          <cell r="A66" t="str">
            <v>FSM</v>
          </cell>
          <cell r="B66">
            <v>1</v>
          </cell>
          <cell r="C66">
            <v>4</v>
          </cell>
          <cell r="E66">
            <v>1</v>
          </cell>
          <cell r="F66">
            <v>1</v>
          </cell>
          <cell r="H66">
            <v>8</v>
          </cell>
          <cell r="I66">
            <v>15</v>
          </cell>
          <cell r="J66" t="str">
            <v>CRUCH PRIV.</v>
          </cell>
          <cell r="K66">
            <v>8</v>
          </cell>
          <cell r="L66">
            <v>8</v>
          </cell>
        </row>
        <row r="67">
          <cell r="A67" t="str">
            <v>PUC</v>
          </cell>
          <cell r="B67">
            <v>2</v>
          </cell>
          <cell r="D67">
            <v>4</v>
          </cell>
          <cell r="E67">
            <v>7</v>
          </cell>
          <cell r="F67">
            <v>5</v>
          </cell>
          <cell r="G67">
            <v>12</v>
          </cell>
          <cell r="H67">
            <v>9</v>
          </cell>
          <cell r="I67">
            <v>39</v>
          </cell>
          <cell r="J67" t="str">
            <v>CRUCH PRIV.</v>
          </cell>
          <cell r="K67">
            <v>11</v>
          </cell>
          <cell r="L67">
            <v>11</v>
          </cell>
        </row>
        <row r="68">
          <cell r="A68" t="str">
            <v>TAL</v>
          </cell>
          <cell r="C68">
            <v>1</v>
          </cell>
          <cell r="F68">
            <v>2</v>
          </cell>
          <cell r="G68">
            <v>2</v>
          </cell>
          <cell r="H68">
            <v>1</v>
          </cell>
          <cell r="I68">
            <v>6</v>
          </cell>
          <cell r="J68" t="str">
            <v>CRUCH EST.</v>
          </cell>
          <cell r="K68">
            <v>1</v>
          </cell>
          <cell r="L68">
            <v>1</v>
          </cell>
        </row>
        <row r="69">
          <cell r="A69" t="str">
            <v>UAB</v>
          </cell>
          <cell r="F69">
            <v>3</v>
          </cell>
          <cell r="I69">
            <v>3</v>
          </cell>
          <cell r="L69">
            <v>0</v>
          </cell>
        </row>
        <row r="70">
          <cell r="A70" t="str">
            <v>UBB</v>
          </cell>
          <cell r="C70">
            <v>1</v>
          </cell>
          <cell r="F70">
            <v>1</v>
          </cell>
          <cell r="H70">
            <v>1</v>
          </cell>
          <cell r="I70">
            <v>3</v>
          </cell>
          <cell r="J70" t="str">
            <v>CRUCH EST.</v>
          </cell>
          <cell r="K70">
            <v>1</v>
          </cell>
          <cell r="L70">
            <v>1</v>
          </cell>
        </row>
        <row r="71">
          <cell r="A71" t="str">
            <v>UCH</v>
          </cell>
          <cell r="B71">
            <v>2</v>
          </cell>
          <cell r="C71">
            <v>1</v>
          </cell>
          <cell r="D71">
            <v>3</v>
          </cell>
          <cell r="E71">
            <v>2</v>
          </cell>
          <cell r="F71">
            <v>2</v>
          </cell>
          <cell r="G71">
            <v>10</v>
          </cell>
          <cell r="H71">
            <v>12</v>
          </cell>
          <cell r="I71">
            <v>32</v>
          </cell>
          <cell r="J71" t="str">
            <v>CRUCH EST.</v>
          </cell>
          <cell r="K71">
            <v>14</v>
          </cell>
          <cell r="L71">
            <v>14</v>
          </cell>
        </row>
        <row r="72">
          <cell r="A72" t="str">
            <v>UCM</v>
          </cell>
          <cell r="H72">
            <v>2</v>
          </cell>
          <cell r="I72">
            <v>2</v>
          </cell>
          <cell r="J72" t="str">
            <v>CRUCH PRIV.</v>
          </cell>
          <cell r="K72">
            <v>2</v>
          </cell>
          <cell r="L72">
            <v>2</v>
          </cell>
        </row>
        <row r="73">
          <cell r="A73" t="str">
            <v>UCN</v>
          </cell>
          <cell r="B73">
            <v>1</v>
          </cell>
          <cell r="H73">
            <v>1</v>
          </cell>
          <cell r="I73">
            <v>2</v>
          </cell>
          <cell r="J73" t="str">
            <v>CRUCH PRIV.</v>
          </cell>
          <cell r="K73">
            <v>1</v>
          </cell>
          <cell r="L73">
            <v>1</v>
          </cell>
        </row>
        <row r="74">
          <cell r="A74" t="str">
            <v>UCO</v>
          </cell>
          <cell r="B74">
            <v>4</v>
          </cell>
          <cell r="C74">
            <v>4</v>
          </cell>
          <cell r="D74">
            <v>1</v>
          </cell>
          <cell r="E74">
            <v>4</v>
          </cell>
          <cell r="F74">
            <v>2</v>
          </cell>
          <cell r="G74">
            <v>7</v>
          </cell>
          <cell r="H74">
            <v>6</v>
          </cell>
          <cell r="I74">
            <v>28</v>
          </cell>
          <cell r="J74" t="str">
            <v>CRUCH PRIV.</v>
          </cell>
          <cell r="K74">
            <v>6</v>
          </cell>
          <cell r="L74">
            <v>6</v>
          </cell>
        </row>
        <row r="75">
          <cell r="A75" t="str">
            <v>UCV</v>
          </cell>
          <cell r="F75">
            <v>1</v>
          </cell>
          <cell r="H75">
            <v>1</v>
          </cell>
          <cell r="I75">
            <v>2</v>
          </cell>
          <cell r="J75" t="str">
            <v>CRUCH PRIV.</v>
          </cell>
          <cell r="K75">
            <v>2</v>
          </cell>
          <cell r="L75">
            <v>2</v>
          </cell>
        </row>
        <row r="76">
          <cell r="A76" t="str">
            <v>UDD</v>
          </cell>
          <cell r="B76">
            <v>1</v>
          </cell>
          <cell r="D76">
            <v>1</v>
          </cell>
          <cell r="G76">
            <v>1</v>
          </cell>
          <cell r="H76">
            <v>2</v>
          </cell>
          <cell r="I76">
            <v>5</v>
          </cell>
          <cell r="J76" t="str">
            <v>U. Privada</v>
          </cell>
          <cell r="K76">
            <v>2</v>
          </cell>
          <cell r="L76">
            <v>2</v>
          </cell>
        </row>
        <row r="77">
          <cell r="A77" t="str">
            <v>ULA</v>
          </cell>
          <cell r="H77">
            <v>1</v>
          </cell>
          <cell r="I77">
            <v>1</v>
          </cell>
          <cell r="J77" t="str">
            <v>CRUCH EST.</v>
          </cell>
          <cell r="K77">
            <v>1</v>
          </cell>
          <cell r="L77">
            <v>1</v>
          </cell>
        </row>
        <row r="78">
          <cell r="A78" t="str">
            <v>UMA</v>
          </cell>
          <cell r="H78">
            <v>1</v>
          </cell>
          <cell r="I78">
            <v>1</v>
          </cell>
          <cell r="J78" t="str">
            <v>U. Privada</v>
          </cell>
          <cell r="K78">
            <v>1</v>
          </cell>
          <cell r="L78">
            <v>1</v>
          </cell>
        </row>
        <row r="79">
          <cell r="A79" t="str">
            <v>USA</v>
          </cell>
          <cell r="B79">
            <v>2</v>
          </cell>
          <cell r="C79">
            <v>3</v>
          </cell>
          <cell r="D79">
            <v>6</v>
          </cell>
          <cell r="E79">
            <v>5</v>
          </cell>
          <cell r="F79">
            <v>2</v>
          </cell>
          <cell r="G79">
            <v>15</v>
          </cell>
          <cell r="H79">
            <v>13</v>
          </cell>
          <cell r="I79">
            <v>46</v>
          </cell>
          <cell r="J79" t="str">
            <v>CRUCH EST.</v>
          </cell>
          <cell r="K79">
            <v>13</v>
          </cell>
          <cell r="L79">
            <v>13</v>
          </cell>
        </row>
        <row r="80">
          <cell r="A80" t="str">
            <v>UTA</v>
          </cell>
          <cell r="D80">
            <v>1</v>
          </cell>
          <cell r="I80">
            <v>1</v>
          </cell>
          <cell r="J80" t="str">
            <v>CRUCH EST.</v>
          </cell>
          <cell r="L80">
            <v>0</v>
          </cell>
        </row>
        <row r="81">
          <cell r="A81" t="str">
            <v>UVA</v>
          </cell>
          <cell r="J81" t="str">
            <v>CRUCH EST.</v>
          </cell>
          <cell r="K81">
            <v>1</v>
          </cell>
          <cell r="L81">
            <v>1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ías"/>
      <sheetName val="Valores"/>
      <sheetName val="Indicadores"/>
      <sheetName val="Montos"/>
      <sheetName val="Hoja2"/>
      <sheetName val="Hoja3"/>
    </sheetNames>
    <sheetDataSet>
      <sheetData sheetId="0"/>
      <sheetData sheetId="1">
        <row r="4">
          <cell r="B4" t="str">
            <v>UCH</v>
          </cell>
          <cell r="C4" t="str">
            <v>CRUCH-ESTATAL</v>
          </cell>
          <cell r="D4" t="str">
            <v>Categoría I</v>
          </cell>
          <cell r="E4">
            <v>1509</v>
          </cell>
          <cell r="F4">
            <v>38234</v>
          </cell>
          <cell r="G4">
            <v>1069.7840909090892</v>
          </cell>
          <cell r="H4">
            <v>2159.8636363636306</v>
          </cell>
          <cell r="I4">
            <v>434.19318181818016</v>
          </cell>
          <cell r="J4">
            <v>123.8636363636364</v>
          </cell>
          <cell r="K4">
            <v>2369</v>
          </cell>
          <cell r="L4">
            <v>61168</v>
          </cell>
          <cell r="M4">
            <v>10443</v>
          </cell>
          <cell r="N4">
            <v>2775</v>
          </cell>
          <cell r="O4">
            <v>6107</v>
          </cell>
          <cell r="P4">
            <v>4696</v>
          </cell>
          <cell r="Q4">
            <v>5592</v>
          </cell>
          <cell r="R4">
            <v>3575</v>
          </cell>
          <cell r="S4">
            <v>5011</v>
          </cell>
          <cell r="T4">
            <v>21</v>
          </cell>
          <cell r="U4">
            <v>193</v>
          </cell>
          <cell r="V4">
            <v>227</v>
          </cell>
          <cell r="W4">
            <v>188</v>
          </cell>
          <cell r="X4">
            <v>10</v>
          </cell>
        </row>
        <row r="5">
          <cell r="B5" t="str">
            <v>USA</v>
          </cell>
          <cell r="C5" t="str">
            <v>CRUCH-ESTATAL</v>
          </cell>
          <cell r="D5" t="str">
            <v>Categoría I</v>
          </cell>
          <cell r="E5">
            <v>577</v>
          </cell>
          <cell r="F5">
            <v>23450</v>
          </cell>
          <cell r="G5">
            <v>417.27272727272748</v>
          </cell>
          <cell r="H5">
            <v>1012.1818181818237</v>
          </cell>
          <cell r="I5">
            <v>285.06818181818403</v>
          </cell>
          <cell r="J5">
            <v>8.5227272727272734</v>
          </cell>
          <cell r="K5">
            <v>475</v>
          </cell>
          <cell r="L5">
            <v>9572</v>
          </cell>
          <cell r="M5">
            <v>2232</v>
          </cell>
          <cell r="N5">
            <v>2716</v>
          </cell>
          <cell r="O5">
            <v>4118</v>
          </cell>
          <cell r="P5">
            <v>3031</v>
          </cell>
          <cell r="Q5">
            <v>3789</v>
          </cell>
          <cell r="R5">
            <v>2337</v>
          </cell>
          <cell r="S5">
            <v>3722</v>
          </cell>
          <cell r="T5">
            <v>21</v>
          </cell>
          <cell r="U5">
            <v>61</v>
          </cell>
          <cell r="V5">
            <v>74</v>
          </cell>
          <cell r="W5">
            <v>80</v>
          </cell>
          <cell r="X5">
            <v>15</v>
          </cell>
        </row>
        <row r="6">
          <cell r="B6" t="str">
            <v>ANT</v>
          </cell>
          <cell r="C6" t="str">
            <v>CRUCH-ESTATAL</v>
          </cell>
          <cell r="D6" t="str">
            <v>Categoría II</v>
          </cell>
          <cell r="E6">
            <v>306</v>
          </cell>
          <cell r="F6">
            <v>7628</v>
          </cell>
          <cell r="G6">
            <v>131.23295454545459</v>
          </cell>
          <cell r="H6">
            <v>395.66204545454542</v>
          </cell>
          <cell r="I6">
            <v>111.57954545454545</v>
          </cell>
          <cell r="J6">
            <v>19.49431818181818</v>
          </cell>
          <cell r="K6">
            <v>147</v>
          </cell>
          <cell r="L6">
            <v>2340</v>
          </cell>
          <cell r="M6">
            <v>596</v>
          </cell>
          <cell r="N6">
            <v>461</v>
          </cell>
          <cell r="O6">
            <v>1184</v>
          </cell>
          <cell r="P6">
            <v>969</v>
          </cell>
          <cell r="Q6">
            <v>1149</v>
          </cell>
          <cell r="R6">
            <v>683</v>
          </cell>
          <cell r="S6">
            <v>998</v>
          </cell>
          <cell r="T6">
            <v>1</v>
          </cell>
          <cell r="U6">
            <v>13</v>
          </cell>
          <cell r="V6">
            <v>13</v>
          </cell>
          <cell r="W6">
            <v>8</v>
          </cell>
          <cell r="X6">
            <v>0</v>
          </cell>
        </row>
        <row r="7">
          <cell r="B7" t="str">
            <v>FRO</v>
          </cell>
          <cell r="C7" t="str">
            <v>CRUCH-ESTATAL</v>
          </cell>
          <cell r="D7" t="str">
            <v>Categoría II</v>
          </cell>
          <cell r="E7">
            <v>281</v>
          </cell>
          <cell r="F7">
            <v>10139</v>
          </cell>
          <cell r="G7">
            <v>181.11363636363637</v>
          </cell>
          <cell r="H7">
            <v>370.95454545454538</v>
          </cell>
          <cell r="I7">
            <v>99.204545454545396</v>
          </cell>
          <cell r="J7">
            <v>11.363636363636362</v>
          </cell>
          <cell r="K7">
            <v>408</v>
          </cell>
          <cell r="L7">
            <v>8512</v>
          </cell>
          <cell r="M7">
            <v>1655</v>
          </cell>
          <cell r="N7">
            <v>1456</v>
          </cell>
          <cell r="O7">
            <v>2078</v>
          </cell>
          <cell r="P7">
            <v>1597</v>
          </cell>
          <cell r="Q7">
            <v>1897</v>
          </cell>
          <cell r="R7">
            <v>1294</v>
          </cell>
          <cell r="S7">
            <v>1949</v>
          </cell>
          <cell r="T7">
            <v>15</v>
          </cell>
          <cell r="U7">
            <v>29</v>
          </cell>
          <cell r="V7">
            <v>33</v>
          </cell>
          <cell r="W7">
            <v>42</v>
          </cell>
          <cell r="X7">
            <v>0</v>
          </cell>
        </row>
        <row r="8">
          <cell r="B8" t="str">
            <v>TAL</v>
          </cell>
          <cell r="C8" t="str">
            <v>CRUCH-ESTATAL</v>
          </cell>
          <cell r="D8" t="str">
            <v>Categoría II</v>
          </cell>
          <cell r="E8">
            <v>336</v>
          </cell>
          <cell r="F8">
            <v>10518</v>
          </cell>
          <cell r="G8">
            <v>209.68181818181824</v>
          </cell>
          <cell r="H8">
            <v>427.72727272727286</v>
          </cell>
          <cell r="I8">
            <v>185.95454545454555</v>
          </cell>
          <cell r="J8">
            <v>14.84090909090909</v>
          </cell>
          <cell r="K8">
            <v>342</v>
          </cell>
          <cell r="L8">
            <v>4053</v>
          </cell>
          <cell r="M8">
            <v>1326</v>
          </cell>
          <cell r="N8">
            <v>1310</v>
          </cell>
          <cell r="O8">
            <v>1852</v>
          </cell>
          <cell r="P8">
            <v>1504</v>
          </cell>
          <cell r="Q8">
            <v>1740</v>
          </cell>
          <cell r="R8">
            <v>1251</v>
          </cell>
          <cell r="S8">
            <v>1774</v>
          </cell>
          <cell r="T8">
            <v>4</v>
          </cell>
          <cell r="U8">
            <v>14</v>
          </cell>
          <cell r="V8">
            <v>11</v>
          </cell>
          <cell r="W8">
            <v>11</v>
          </cell>
          <cell r="X8">
            <v>2</v>
          </cell>
        </row>
        <row r="9">
          <cell r="B9" t="str">
            <v>UTA</v>
          </cell>
          <cell r="C9" t="str">
            <v>CRUCH-ESTATAL</v>
          </cell>
          <cell r="D9" t="str">
            <v>Categoría II</v>
          </cell>
          <cell r="E9">
            <v>323</v>
          </cell>
          <cell r="F9">
            <v>8780</v>
          </cell>
          <cell r="G9">
            <v>112.5</v>
          </cell>
          <cell r="H9">
            <v>358.79545454545456</v>
          </cell>
          <cell r="I9">
            <v>182.20454545454552</v>
          </cell>
          <cell r="J9">
            <v>0.56818181818181812</v>
          </cell>
          <cell r="K9">
            <v>189</v>
          </cell>
          <cell r="L9">
            <v>2919</v>
          </cell>
          <cell r="M9">
            <v>820</v>
          </cell>
          <cell r="N9">
            <v>1028</v>
          </cell>
          <cell r="O9">
            <v>1541</v>
          </cell>
          <cell r="P9">
            <v>1044</v>
          </cell>
          <cell r="Q9">
            <v>1291</v>
          </cell>
          <cell r="R9">
            <v>1035</v>
          </cell>
          <cell r="S9">
            <v>1475</v>
          </cell>
          <cell r="T9">
            <v>1</v>
          </cell>
          <cell r="U9">
            <v>1</v>
          </cell>
          <cell r="V9">
            <v>5</v>
          </cell>
          <cell r="W9">
            <v>1</v>
          </cell>
          <cell r="X9">
            <v>0</v>
          </cell>
        </row>
        <row r="10">
          <cell r="B10" t="str">
            <v>UVA</v>
          </cell>
          <cell r="C10" t="str">
            <v>CRUCH-ESTATAL</v>
          </cell>
          <cell r="D10" t="str">
            <v>Categoría II</v>
          </cell>
          <cell r="E10">
            <v>543</v>
          </cell>
          <cell r="F10">
            <v>15340</v>
          </cell>
          <cell r="G10">
            <v>202.7795454545456</v>
          </cell>
          <cell r="H10">
            <v>879.63409090909204</v>
          </cell>
          <cell r="I10">
            <v>305.25681818181829</v>
          </cell>
          <cell r="J10">
            <v>73.647727272727266</v>
          </cell>
          <cell r="K10">
            <v>341</v>
          </cell>
          <cell r="L10">
            <v>9149</v>
          </cell>
          <cell r="M10">
            <v>1446</v>
          </cell>
          <cell r="N10">
            <v>1840</v>
          </cell>
          <cell r="O10">
            <v>3060</v>
          </cell>
          <cell r="P10">
            <v>2297</v>
          </cell>
          <cell r="Q10">
            <v>2849</v>
          </cell>
          <cell r="R10">
            <v>2105</v>
          </cell>
          <cell r="S10">
            <v>3285</v>
          </cell>
          <cell r="T10">
            <v>0</v>
          </cell>
          <cell r="U10">
            <v>5</v>
          </cell>
          <cell r="V10">
            <v>8</v>
          </cell>
          <cell r="W10">
            <v>5</v>
          </cell>
          <cell r="X10">
            <v>0</v>
          </cell>
        </row>
        <row r="11">
          <cell r="B11" t="str">
            <v>UBB</v>
          </cell>
          <cell r="C11" t="str">
            <v>CRUCH-ESTATAL</v>
          </cell>
          <cell r="D11" t="str">
            <v>Categoría II</v>
          </cell>
          <cell r="E11">
            <v>446</v>
          </cell>
          <cell r="F11">
            <v>12488</v>
          </cell>
          <cell r="G11">
            <v>205.04545454545453</v>
          </cell>
          <cell r="H11">
            <v>509.56818181818181</v>
          </cell>
          <cell r="I11">
            <v>221.79545454545459</v>
          </cell>
          <cell r="J11">
            <v>0</v>
          </cell>
          <cell r="K11">
            <v>171</v>
          </cell>
          <cell r="L11">
            <v>2251</v>
          </cell>
          <cell r="M11">
            <v>734</v>
          </cell>
          <cell r="N11">
            <v>1841</v>
          </cell>
          <cell r="O11">
            <v>2302</v>
          </cell>
          <cell r="P11">
            <v>1799</v>
          </cell>
          <cell r="Q11">
            <v>2115</v>
          </cell>
          <cell r="R11">
            <v>1589</v>
          </cell>
          <cell r="S11">
            <v>2110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B12" t="str">
            <v>ULS</v>
          </cell>
          <cell r="C12" t="str">
            <v>CRUCH-ESTATAL</v>
          </cell>
          <cell r="D12" t="str">
            <v>Categoría II</v>
          </cell>
          <cell r="E12">
            <v>208</v>
          </cell>
          <cell r="F12">
            <v>7112</v>
          </cell>
          <cell r="G12">
            <v>98.272727272727252</v>
          </cell>
          <cell r="H12">
            <v>342.09090909090861</v>
          </cell>
          <cell r="I12">
            <v>82.545454545454447</v>
          </cell>
          <cell r="J12">
            <v>2.8181818181818183</v>
          </cell>
          <cell r="K12">
            <v>110</v>
          </cell>
          <cell r="L12">
            <v>3273</v>
          </cell>
          <cell r="M12">
            <v>526</v>
          </cell>
          <cell r="N12">
            <v>1051</v>
          </cell>
          <cell r="O12">
            <v>1619</v>
          </cell>
          <cell r="P12">
            <v>1228</v>
          </cell>
          <cell r="Q12">
            <v>1546</v>
          </cell>
          <cell r="R12">
            <v>952</v>
          </cell>
          <cell r="S12">
            <v>1550</v>
          </cell>
          <cell r="T12">
            <v>0</v>
          </cell>
          <cell r="U12">
            <v>0</v>
          </cell>
          <cell r="V12">
            <v>2</v>
          </cell>
          <cell r="W12">
            <v>1</v>
          </cell>
          <cell r="X12">
            <v>0</v>
          </cell>
        </row>
        <row r="13">
          <cell r="B13" t="str">
            <v>UPA</v>
          </cell>
          <cell r="C13" t="str">
            <v>CRUCH-ESTATAL</v>
          </cell>
          <cell r="D13" t="str">
            <v>Categoría II</v>
          </cell>
          <cell r="E13">
            <v>297</v>
          </cell>
          <cell r="F13">
            <v>8740</v>
          </cell>
          <cell r="G13">
            <v>98.884090909090787</v>
          </cell>
          <cell r="H13">
            <v>391.1431818181818</v>
          </cell>
          <cell r="I13">
            <v>196.81818181818213</v>
          </cell>
          <cell r="J13">
            <v>0.40909090909090906</v>
          </cell>
          <cell r="K13">
            <v>111</v>
          </cell>
          <cell r="L13">
            <v>401</v>
          </cell>
          <cell r="M13">
            <v>245</v>
          </cell>
          <cell r="N13">
            <v>1247</v>
          </cell>
          <cell r="O13">
            <v>1732</v>
          </cell>
          <cell r="P13">
            <v>1116</v>
          </cell>
          <cell r="Q13">
            <v>1427</v>
          </cell>
          <cell r="R13">
            <v>877</v>
          </cell>
          <cell r="S13">
            <v>1471</v>
          </cell>
          <cell r="T13">
            <v>1</v>
          </cell>
          <cell r="U13">
            <v>12</v>
          </cell>
          <cell r="V13">
            <v>23</v>
          </cell>
          <cell r="W13">
            <v>14</v>
          </cell>
          <cell r="X13">
            <v>0</v>
          </cell>
        </row>
        <row r="14">
          <cell r="B14" t="str">
            <v>UAP</v>
          </cell>
          <cell r="C14" t="str">
            <v>CRUCH-ESTATAL</v>
          </cell>
          <cell r="D14" t="str">
            <v>Categoría III</v>
          </cell>
          <cell r="E14">
            <v>233</v>
          </cell>
          <cell r="F14">
            <v>14002</v>
          </cell>
          <cell r="G14">
            <v>56.454545454545453</v>
          </cell>
          <cell r="H14">
            <v>378.36181818181802</v>
          </cell>
          <cell r="I14">
            <v>144.18931818181829</v>
          </cell>
          <cell r="J14">
            <v>0</v>
          </cell>
          <cell r="K14">
            <v>55</v>
          </cell>
          <cell r="L14">
            <v>1165</v>
          </cell>
          <cell r="M14">
            <v>264</v>
          </cell>
          <cell r="N14">
            <v>603</v>
          </cell>
          <cell r="O14">
            <v>942</v>
          </cell>
          <cell r="P14">
            <v>772</v>
          </cell>
          <cell r="Q14">
            <v>1032</v>
          </cell>
          <cell r="R14">
            <v>569</v>
          </cell>
          <cell r="S14">
            <v>998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B15" t="str">
            <v>ATA</v>
          </cell>
          <cell r="C15" t="str">
            <v>CRUCH-ESTATAL</v>
          </cell>
          <cell r="D15" t="str">
            <v>Categoría III</v>
          </cell>
          <cell r="E15">
            <v>200</v>
          </cell>
          <cell r="F15">
            <v>4352</v>
          </cell>
          <cell r="G15">
            <v>40.5</v>
          </cell>
          <cell r="H15">
            <v>247.93181818181804</v>
          </cell>
          <cell r="I15">
            <v>41.295454545454554</v>
          </cell>
          <cell r="J15">
            <v>0</v>
          </cell>
          <cell r="K15">
            <v>26</v>
          </cell>
          <cell r="L15">
            <v>331</v>
          </cell>
          <cell r="M15">
            <v>116</v>
          </cell>
          <cell r="N15">
            <v>572</v>
          </cell>
          <cell r="O15">
            <v>1017</v>
          </cell>
          <cell r="P15">
            <v>631</v>
          </cell>
          <cell r="Q15">
            <v>891</v>
          </cell>
          <cell r="R15">
            <v>304</v>
          </cell>
          <cell r="S15">
            <v>686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B16" t="str">
            <v>ULA</v>
          </cell>
          <cell r="C16" t="str">
            <v>CRUCH-ESTATAL</v>
          </cell>
          <cell r="D16" t="str">
            <v>Categoría III</v>
          </cell>
          <cell r="E16">
            <v>241</v>
          </cell>
          <cell r="F16">
            <v>9382</v>
          </cell>
          <cell r="G16">
            <v>69.545454545454547</v>
          </cell>
          <cell r="H16">
            <v>365.53863636363604</v>
          </cell>
          <cell r="I16">
            <v>141.14772727272737</v>
          </cell>
          <cell r="J16">
            <v>0</v>
          </cell>
          <cell r="K16">
            <v>81</v>
          </cell>
          <cell r="L16">
            <v>939</v>
          </cell>
          <cell r="M16">
            <v>311</v>
          </cell>
          <cell r="N16">
            <v>694</v>
          </cell>
          <cell r="O16">
            <v>847</v>
          </cell>
          <cell r="P16">
            <v>713</v>
          </cell>
          <cell r="Q16">
            <v>885</v>
          </cell>
          <cell r="R16">
            <v>427</v>
          </cell>
          <cell r="S16">
            <v>641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B17" t="str">
            <v>MAG</v>
          </cell>
          <cell r="C17" t="str">
            <v>CRUCH-ESTATAL</v>
          </cell>
          <cell r="D17" t="str">
            <v>Categoría III</v>
          </cell>
          <cell r="E17">
            <v>182</v>
          </cell>
          <cell r="F17">
            <v>4278</v>
          </cell>
          <cell r="G17">
            <v>56.11363636363636</v>
          </cell>
          <cell r="H17">
            <v>269.36363636363654</v>
          </cell>
          <cell r="I17">
            <v>62.340909090909051</v>
          </cell>
          <cell r="J17">
            <v>0.75</v>
          </cell>
          <cell r="K17">
            <v>77</v>
          </cell>
          <cell r="L17">
            <v>806</v>
          </cell>
          <cell r="M17">
            <v>268</v>
          </cell>
          <cell r="N17">
            <v>325</v>
          </cell>
          <cell r="O17">
            <v>668</v>
          </cell>
          <cell r="P17">
            <v>467</v>
          </cell>
          <cell r="Q17">
            <v>559</v>
          </cell>
          <cell r="R17">
            <v>283</v>
          </cell>
          <cell r="S17">
            <v>446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B18" t="str">
            <v>UMC</v>
          </cell>
          <cell r="C18" t="str">
            <v>CRUCH-ESTATAL</v>
          </cell>
          <cell r="D18" t="str">
            <v>Categoría III</v>
          </cell>
          <cell r="E18">
            <v>225</v>
          </cell>
          <cell r="F18">
            <v>4961</v>
          </cell>
          <cell r="G18">
            <v>64.272727272727266</v>
          </cell>
          <cell r="H18">
            <v>323.43181818181807</v>
          </cell>
          <cell r="I18">
            <v>142.86363636363637</v>
          </cell>
          <cell r="J18">
            <v>0.13636363636363635</v>
          </cell>
          <cell r="K18">
            <v>33</v>
          </cell>
          <cell r="L18">
            <v>341</v>
          </cell>
          <cell r="M18">
            <v>117</v>
          </cell>
          <cell r="N18">
            <v>777</v>
          </cell>
          <cell r="O18">
            <v>1180</v>
          </cell>
          <cell r="P18">
            <v>872</v>
          </cell>
          <cell r="Q18">
            <v>1044</v>
          </cell>
          <cell r="R18">
            <v>621</v>
          </cell>
          <cell r="S18">
            <v>977</v>
          </cell>
          <cell r="T18">
            <v>0</v>
          </cell>
          <cell r="U18">
            <v>5</v>
          </cell>
          <cell r="V18">
            <v>0</v>
          </cell>
          <cell r="W18">
            <v>3</v>
          </cell>
          <cell r="X18">
            <v>0</v>
          </cell>
        </row>
        <row r="19">
          <cell r="B19" t="str">
            <v>UTM</v>
          </cell>
          <cell r="C19" t="str">
            <v>CRUCH-ESTATAL</v>
          </cell>
          <cell r="D19" t="str">
            <v>Categoría III</v>
          </cell>
          <cell r="E19">
            <v>188</v>
          </cell>
          <cell r="F19">
            <v>7676</v>
          </cell>
          <cell r="G19">
            <v>57.159090909090878</v>
          </cell>
          <cell r="H19">
            <v>302.34090909090895</v>
          </cell>
          <cell r="I19">
            <v>127.18181818181819</v>
          </cell>
          <cell r="J19">
            <v>0</v>
          </cell>
          <cell r="K19">
            <v>17</v>
          </cell>
          <cell r="L19">
            <v>301</v>
          </cell>
          <cell r="M19">
            <v>63</v>
          </cell>
          <cell r="N19">
            <v>1537</v>
          </cell>
          <cell r="O19">
            <v>2054</v>
          </cell>
          <cell r="P19">
            <v>1487</v>
          </cell>
          <cell r="Q19">
            <v>1846</v>
          </cell>
          <cell r="R19">
            <v>780</v>
          </cell>
          <cell r="S19">
            <v>1568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B20" t="str">
            <v>PUC</v>
          </cell>
          <cell r="C20" t="str">
            <v>CRUCH-PRIVADA</v>
          </cell>
          <cell r="D20" t="str">
            <v>Categoría I</v>
          </cell>
          <cell r="E20">
            <v>1478</v>
          </cell>
          <cell r="F20">
            <v>30202</v>
          </cell>
          <cell r="G20">
            <v>942.86363636363592</v>
          </cell>
          <cell r="H20">
            <v>2081.8409090909081</v>
          </cell>
          <cell r="I20">
            <v>471.91590909090894</v>
          </cell>
          <cell r="J20">
            <v>386.15909090909076</v>
          </cell>
          <cell r="K20">
            <v>1851</v>
          </cell>
          <cell r="L20">
            <v>68545</v>
          </cell>
          <cell r="M20">
            <v>8788</v>
          </cell>
          <cell r="N20">
            <v>1253</v>
          </cell>
          <cell r="O20">
            <v>5279</v>
          </cell>
          <cell r="P20">
            <v>4636</v>
          </cell>
          <cell r="Q20">
            <v>5201</v>
          </cell>
          <cell r="R20">
            <v>3647</v>
          </cell>
          <cell r="S20">
            <v>4922</v>
          </cell>
          <cell r="T20">
            <v>39</v>
          </cell>
          <cell r="U20">
            <v>140</v>
          </cell>
          <cell r="V20">
            <v>152</v>
          </cell>
          <cell r="W20">
            <v>184</v>
          </cell>
          <cell r="X20">
            <v>13</v>
          </cell>
        </row>
        <row r="21">
          <cell r="B21" t="str">
            <v>UCO</v>
          </cell>
          <cell r="C21" t="str">
            <v>CRUCH-PRIVADA</v>
          </cell>
          <cell r="D21" t="str">
            <v>Categoría I</v>
          </cell>
          <cell r="E21">
            <v>1088</v>
          </cell>
          <cell r="F21">
            <v>26408</v>
          </cell>
          <cell r="G21">
            <v>685.4318181818179</v>
          </cell>
          <cell r="H21">
            <v>1397.8409090909086</v>
          </cell>
          <cell r="I21">
            <v>389.20454545454527</v>
          </cell>
          <cell r="J21">
            <v>115.11363636363636</v>
          </cell>
          <cell r="K21">
            <v>946</v>
          </cell>
          <cell r="L21">
            <v>24135</v>
          </cell>
          <cell r="M21">
            <v>4558</v>
          </cell>
          <cell r="N21">
            <v>3288</v>
          </cell>
          <cell r="O21">
            <v>4876</v>
          </cell>
          <cell r="P21">
            <v>3772</v>
          </cell>
          <cell r="Q21">
            <v>4703</v>
          </cell>
          <cell r="R21">
            <v>3118</v>
          </cell>
          <cell r="S21">
            <v>4727</v>
          </cell>
          <cell r="T21">
            <v>24</v>
          </cell>
          <cell r="U21">
            <v>97</v>
          </cell>
          <cell r="V21">
            <v>97</v>
          </cell>
          <cell r="W21">
            <v>105</v>
          </cell>
          <cell r="X21">
            <v>8</v>
          </cell>
        </row>
        <row r="22">
          <cell r="B22" t="str">
            <v>UCV</v>
          </cell>
          <cell r="C22" t="str">
            <v>CRUCH-PRIVADA</v>
          </cell>
          <cell r="D22" t="str">
            <v>Categoría II</v>
          </cell>
          <cell r="E22">
            <v>488</v>
          </cell>
          <cell r="F22">
            <v>14972</v>
          </cell>
          <cell r="G22">
            <v>343.44886363636357</v>
          </cell>
          <cell r="H22">
            <v>647.05113636363581</v>
          </cell>
          <cell r="I22">
            <v>154.81249999999986</v>
          </cell>
          <cell r="J22">
            <v>0.95454545454545459</v>
          </cell>
          <cell r="K22">
            <v>484</v>
          </cell>
          <cell r="L22">
            <v>6917</v>
          </cell>
          <cell r="M22">
            <v>1890</v>
          </cell>
          <cell r="N22">
            <v>1875</v>
          </cell>
          <cell r="O22">
            <v>3287</v>
          </cell>
          <cell r="P22">
            <v>2558</v>
          </cell>
          <cell r="Q22">
            <v>3198</v>
          </cell>
          <cell r="R22">
            <v>1737</v>
          </cell>
          <cell r="S22">
            <v>2995</v>
          </cell>
          <cell r="T22">
            <v>9</v>
          </cell>
          <cell r="U22">
            <v>43</v>
          </cell>
          <cell r="V22">
            <v>41</v>
          </cell>
          <cell r="W22">
            <v>56</v>
          </cell>
          <cell r="X22">
            <v>1</v>
          </cell>
        </row>
        <row r="23">
          <cell r="B23" t="str">
            <v>AUS</v>
          </cell>
          <cell r="C23" t="str">
            <v>CRUCH-PRIVADA</v>
          </cell>
          <cell r="D23" t="str">
            <v>Categoría II</v>
          </cell>
          <cell r="E23">
            <v>729</v>
          </cell>
          <cell r="F23">
            <v>13852</v>
          </cell>
          <cell r="G23">
            <v>354.13636363636368</v>
          </cell>
          <cell r="H23">
            <v>934.90909090909156</v>
          </cell>
          <cell r="I23">
            <v>218.40909090909111</v>
          </cell>
          <cell r="J23">
            <v>64.409090909090935</v>
          </cell>
          <cell r="K23">
            <v>460</v>
          </cell>
          <cell r="L23">
            <v>10927</v>
          </cell>
          <cell r="M23">
            <v>2124</v>
          </cell>
          <cell r="N23">
            <v>1820</v>
          </cell>
          <cell r="O23">
            <v>2937</v>
          </cell>
          <cell r="P23">
            <v>2278</v>
          </cell>
          <cell r="Q23">
            <v>2751</v>
          </cell>
          <cell r="R23">
            <v>1493</v>
          </cell>
          <cell r="S23">
            <v>2371</v>
          </cell>
          <cell r="T23">
            <v>9</v>
          </cell>
          <cell r="U23">
            <v>4</v>
          </cell>
          <cell r="V23">
            <v>36</v>
          </cell>
          <cell r="W23">
            <v>54</v>
          </cell>
          <cell r="X23">
            <v>0</v>
          </cell>
        </row>
        <row r="24">
          <cell r="B24" t="str">
            <v>UCN</v>
          </cell>
          <cell r="C24" t="str">
            <v>CRUCH-PRIVADA</v>
          </cell>
          <cell r="D24" t="str">
            <v>Categoría II</v>
          </cell>
          <cell r="E24">
            <v>411</v>
          </cell>
          <cell r="F24">
            <v>10767</v>
          </cell>
          <cell r="G24">
            <v>197.59318181818185</v>
          </cell>
          <cell r="H24">
            <v>553.11363636363626</v>
          </cell>
          <cell r="I24">
            <v>157.10681818181826</v>
          </cell>
          <cell r="J24">
            <v>20.5</v>
          </cell>
          <cell r="K24">
            <v>312</v>
          </cell>
          <cell r="L24">
            <v>5338</v>
          </cell>
          <cell r="M24">
            <v>1352</v>
          </cell>
          <cell r="N24">
            <v>907</v>
          </cell>
          <cell r="O24">
            <v>1950</v>
          </cell>
          <cell r="P24">
            <v>1522</v>
          </cell>
          <cell r="Q24">
            <v>1881</v>
          </cell>
          <cell r="R24">
            <v>1133</v>
          </cell>
          <cell r="S24">
            <v>1745</v>
          </cell>
          <cell r="T24">
            <v>3</v>
          </cell>
          <cell r="U24">
            <v>12</v>
          </cell>
          <cell r="V24">
            <v>14</v>
          </cell>
          <cell r="W24">
            <v>10</v>
          </cell>
          <cell r="X24">
            <v>0</v>
          </cell>
        </row>
        <row r="25">
          <cell r="B25" t="str">
            <v>FSM</v>
          </cell>
          <cell r="C25" t="str">
            <v>CRUCH-PRIVADA</v>
          </cell>
          <cell r="D25" t="str">
            <v>Categoría II</v>
          </cell>
          <cell r="E25">
            <v>415</v>
          </cell>
          <cell r="F25">
            <v>19268</v>
          </cell>
          <cell r="G25">
            <v>230.84227272727284</v>
          </cell>
          <cell r="H25">
            <v>635.52568181818174</v>
          </cell>
          <cell r="I25">
            <v>167.9997727272727</v>
          </cell>
          <cell r="J25">
            <v>0</v>
          </cell>
          <cell r="K25">
            <v>495</v>
          </cell>
          <cell r="L25">
            <v>23322</v>
          </cell>
          <cell r="M25">
            <v>2326</v>
          </cell>
          <cell r="N25">
            <v>912</v>
          </cell>
          <cell r="O25">
            <v>1851</v>
          </cell>
          <cell r="P25">
            <v>1489</v>
          </cell>
          <cell r="Q25">
            <v>1861</v>
          </cell>
          <cell r="R25">
            <v>1093</v>
          </cell>
          <cell r="S25">
            <v>1849</v>
          </cell>
          <cell r="T25">
            <v>3</v>
          </cell>
          <cell r="U25">
            <v>15</v>
          </cell>
          <cell r="V25">
            <v>22</v>
          </cell>
          <cell r="W25">
            <v>27</v>
          </cell>
          <cell r="X25">
            <v>0</v>
          </cell>
        </row>
        <row r="26">
          <cell r="B26" t="str">
            <v>UCT</v>
          </cell>
          <cell r="C26" t="str">
            <v>CRUCH-PRIVADA</v>
          </cell>
          <cell r="D26" t="str">
            <v>Categoría II</v>
          </cell>
          <cell r="E26">
            <v>295</v>
          </cell>
          <cell r="F26">
            <v>8848</v>
          </cell>
          <cell r="G26">
            <v>121.20522727272726</v>
          </cell>
          <cell r="H26">
            <v>429.141818181818</v>
          </cell>
          <cell r="I26">
            <v>165.03295454545449</v>
          </cell>
          <cell r="J26">
            <v>0.13636363636363635</v>
          </cell>
          <cell r="K26">
            <v>109</v>
          </cell>
          <cell r="L26">
            <v>976</v>
          </cell>
          <cell r="M26">
            <v>455</v>
          </cell>
          <cell r="N26">
            <v>1532</v>
          </cell>
          <cell r="O26">
            <v>1926</v>
          </cell>
          <cell r="P26">
            <v>1437</v>
          </cell>
          <cell r="Q26">
            <v>1697</v>
          </cell>
          <cell r="R26">
            <v>1053</v>
          </cell>
          <cell r="S26">
            <v>1647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USC</v>
          </cell>
          <cell r="C27" t="str">
            <v>CRUCH-PRIVADA</v>
          </cell>
          <cell r="D27" t="str">
            <v>Categoría III</v>
          </cell>
          <cell r="E27">
            <v>258</v>
          </cell>
          <cell r="F27">
            <v>13548</v>
          </cell>
          <cell r="G27">
            <v>117.6818181818182</v>
          </cell>
          <cell r="H27">
            <v>446.2045454545451</v>
          </cell>
          <cell r="I27">
            <v>154.3181818181819</v>
          </cell>
          <cell r="J27">
            <v>24.886363636363637</v>
          </cell>
          <cell r="K27">
            <v>80</v>
          </cell>
          <cell r="L27">
            <v>790</v>
          </cell>
          <cell r="M27">
            <v>326</v>
          </cell>
          <cell r="N27">
            <v>1395</v>
          </cell>
          <cell r="O27">
            <v>1789</v>
          </cell>
          <cell r="P27">
            <v>1459</v>
          </cell>
          <cell r="Q27">
            <v>1715</v>
          </cell>
          <cell r="R27">
            <v>1290</v>
          </cell>
          <cell r="S27">
            <v>1876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UCM</v>
          </cell>
          <cell r="C28" t="str">
            <v>CRUCH-PRIVADA</v>
          </cell>
          <cell r="D28" t="str">
            <v>Categoría III</v>
          </cell>
          <cell r="E28">
            <v>271</v>
          </cell>
          <cell r="F28">
            <v>7101</v>
          </cell>
          <cell r="G28">
            <v>109.24999999999999</v>
          </cell>
          <cell r="H28">
            <v>378.59090909090918</v>
          </cell>
          <cell r="I28">
            <v>150.75000000000009</v>
          </cell>
          <cell r="J28">
            <v>31.363636363636367</v>
          </cell>
          <cell r="K28">
            <v>66</v>
          </cell>
          <cell r="L28">
            <v>922</v>
          </cell>
          <cell r="M28">
            <v>332</v>
          </cell>
          <cell r="N28">
            <v>1093</v>
          </cell>
          <cell r="O28">
            <v>1414</v>
          </cell>
          <cell r="P28">
            <v>1153</v>
          </cell>
          <cell r="Q28">
            <v>1355</v>
          </cell>
          <cell r="R28">
            <v>1008</v>
          </cell>
          <cell r="S28">
            <v>1308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UDP</v>
          </cell>
          <cell r="C29" t="str">
            <v>U.PRIVADA</v>
          </cell>
          <cell r="D29" t="str">
            <v>Categoría II</v>
          </cell>
          <cell r="E29">
            <v>309</v>
          </cell>
          <cell r="F29">
            <v>16199</v>
          </cell>
          <cell r="G29">
            <v>165.5090909090909</v>
          </cell>
          <cell r="H29">
            <v>652.69999999999982</v>
          </cell>
          <cell r="I29">
            <v>248.54545454545462</v>
          </cell>
          <cell r="J29">
            <v>55.684090909090926</v>
          </cell>
          <cell r="K29">
            <v>221</v>
          </cell>
          <cell r="L29">
            <v>2367</v>
          </cell>
          <cell r="M29">
            <v>823</v>
          </cell>
          <cell r="N29">
            <v>1106</v>
          </cell>
          <cell r="O29">
            <v>2833</v>
          </cell>
          <cell r="P29">
            <v>2338</v>
          </cell>
          <cell r="Q29">
            <v>2786</v>
          </cell>
          <cell r="R29">
            <v>1776</v>
          </cell>
          <cell r="S29">
            <v>2545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UAH</v>
          </cell>
          <cell r="C30" t="str">
            <v>U.PRIVADA</v>
          </cell>
          <cell r="D30" t="str">
            <v>Categoría III</v>
          </cell>
          <cell r="E30">
            <v>136</v>
          </cell>
          <cell r="F30">
            <v>6225</v>
          </cell>
          <cell r="G30">
            <v>87.147727272727153</v>
          </cell>
          <cell r="H30">
            <v>220.09090909090745</v>
          </cell>
          <cell r="I30">
            <v>82.79545454545449</v>
          </cell>
          <cell r="J30">
            <v>0.13636363636363635</v>
          </cell>
          <cell r="K30">
            <v>70</v>
          </cell>
          <cell r="L30">
            <v>176</v>
          </cell>
          <cell r="M30">
            <v>243</v>
          </cell>
          <cell r="N30">
            <v>697</v>
          </cell>
          <cell r="O30">
            <v>1268</v>
          </cell>
          <cell r="P30">
            <v>955</v>
          </cell>
          <cell r="Q30">
            <v>1234</v>
          </cell>
          <cell r="R30">
            <v>540</v>
          </cell>
          <cell r="S30">
            <v>884</v>
          </cell>
          <cell r="T30">
            <v>0</v>
          </cell>
          <cell r="U30">
            <v>5</v>
          </cell>
          <cell r="V30">
            <v>3</v>
          </cell>
          <cell r="W30">
            <v>7</v>
          </cell>
          <cell r="X30">
            <v>0</v>
          </cell>
        </row>
        <row r="31">
          <cell r="B31" t="str">
            <v>UCS</v>
          </cell>
          <cell r="C31" t="str">
            <v>U.PRIVADA</v>
          </cell>
          <cell r="D31" t="str">
            <v>Categoría III</v>
          </cell>
          <cell r="E31">
            <v>107</v>
          </cell>
          <cell r="F31">
            <v>5211</v>
          </cell>
          <cell r="G31">
            <v>33.579545454545453</v>
          </cell>
          <cell r="H31">
            <v>212.23863636363748</v>
          </cell>
          <cell r="I31">
            <v>110.76136363636363</v>
          </cell>
          <cell r="J31">
            <v>0</v>
          </cell>
          <cell r="K31">
            <v>9</v>
          </cell>
          <cell r="L31">
            <v>46</v>
          </cell>
          <cell r="M31">
            <v>60</v>
          </cell>
          <cell r="N31">
            <v>582</v>
          </cell>
          <cell r="O31">
            <v>1059</v>
          </cell>
          <cell r="P31">
            <v>721</v>
          </cell>
          <cell r="Q31">
            <v>912</v>
          </cell>
          <cell r="R31">
            <v>678</v>
          </cell>
          <cell r="S31">
            <v>1125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B32" t="str">
            <v>UAU</v>
          </cell>
          <cell r="C32" t="str">
            <v>U.PRIVADA</v>
          </cell>
          <cell r="D32" t="str">
            <v>Categoría III</v>
          </cell>
          <cell r="E32">
            <v>443</v>
          </cell>
          <cell r="F32">
            <v>20539</v>
          </cell>
          <cell r="G32">
            <v>118.40909090909086</v>
          </cell>
          <cell r="H32">
            <v>807.93181818181813</v>
          </cell>
          <cell r="I32">
            <v>358.9090909090915</v>
          </cell>
          <cell r="J32">
            <v>22.295454545454547</v>
          </cell>
          <cell r="K32">
            <v>225</v>
          </cell>
          <cell r="L32">
            <v>527</v>
          </cell>
          <cell r="M32">
            <v>401</v>
          </cell>
          <cell r="N32">
            <v>2571</v>
          </cell>
          <cell r="O32">
            <v>3706</v>
          </cell>
          <cell r="P32">
            <v>3143</v>
          </cell>
          <cell r="Q32">
            <v>3945</v>
          </cell>
          <cell r="R32">
            <v>3273</v>
          </cell>
          <cell r="S32">
            <v>4655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B33" t="str">
            <v>UFT</v>
          </cell>
          <cell r="C33" t="str">
            <v>U.PRIVADA</v>
          </cell>
          <cell r="D33" t="str">
            <v>Categoría III</v>
          </cell>
          <cell r="E33">
            <v>60</v>
          </cell>
          <cell r="F33">
            <v>6195</v>
          </cell>
          <cell r="G33">
            <v>20.910454545454542</v>
          </cell>
          <cell r="H33">
            <v>290.13499999999976</v>
          </cell>
          <cell r="I33">
            <v>82.394090909091176</v>
          </cell>
          <cell r="J33">
            <v>49.337045454545468</v>
          </cell>
          <cell r="K33">
            <v>52</v>
          </cell>
          <cell r="L33">
            <v>174</v>
          </cell>
          <cell r="M33">
            <v>128</v>
          </cell>
          <cell r="N33">
            <v>362</v>
          </cell>
          <cell r="O33">
            <v>1175</v>
          </cell>
          <cell r="P33">
            <v>923</v>
          </cell>
          <cell r="Q33">
            <v>1130</v>
          </cell>
          <cell r="R33">
            <v>539</v>
          </cell>
          <cell r="S33">
            <v>850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_ACRE_31_12_2017"/>
    </sheetNames>
    <sheetDataSet>
      <sheetData sheetId="0">
        <row r="6">
          <cell r="C6" t="str">
            <v>CENTRO DE FORMACIÓN TÉCNICA CEDUC - UCN</v>
          </cell>
          <cell r="D6" t="str">
            <v>CFT</v>
          </cell>
          <cell r="E6">
            <v>42349</v>
          </cell>
          <cell r="F6">
            <v>44176</v>
          </cell>
          <cell r="G6" t="str">
            <v>SÍ</v>
          </cell>
          <cell r="H6" t="str">
            <v>SÍ</v>
          </cell>
          <cell r="I6" t="str">
            <v>NO</v>
          </cell>
          <cell r="J6" t="str">
            <v>NO</v>
          </cell>
          <cell r="K6" t="str">
            <v>NO</v>
          </cell>
          <cell r="L6">
            <v>5</v>
          </cell>
          <cell r="M6">
            <v>0</v>
          </cell>
          <cell r="N6">
            <v>0</v>
          </cell>
        </row>
        <row r="7">
          <cell r="C7" t="str">
            <v>CENTRO DE FORMACIÓN TÉCNICA INACAP</v>
          </cell>
          <cell r="D7" t="str">
            <v>CFT</v>
          </cell>
          <cell r="E7">
            <v>40912</v>
          </cell>
          <cell r="F7">
            <v>43104</v>
          </cell>
          <cell r="G7" t="str">
            <v>SÍ</v>
          </cell>
          <cell r="H7" t="str">
            <v>SÍ</v>
          </cell>
          <cell r="I7" t="str">
            <v>NO</v>
          </cell>
          <cell r="J7" t="str">
            <v>NO</v>
          </cell>
          <cell r="K7" t="str">
            <v>NO</v>
          </cell>
          <cell r="L7">
            <v>6</v>
          </cell>
          <cell r="M7">
            <v>0</v>
          </cell>
          <cell r="N7">
            <v>0</v>
          </cell>
        </row>
        <row r="8">
          <cell r="C8" t="str">
            <v>CENTRO DE FORMACIÓN TÉCNICA INSTITUTO TECNOLÓGICO DE CHILE (ITC)</v>
          </cell>
          <cell r="D8" t="str">
            <v>CFT</v>
          </cell>
          <cell r="E8">
            <v>42397</v>
          </cell>
          <cell r="F8">
            <v>43128</v>
          </cell>
          <cell r="G8" t="str">
            <v>SÍ</v>
          </cell>
          <cell r="H8" t="str">
            <v>SÍ</v>
          </cell>
          <cell r="I8" t="str">
            <v>NO</v>
          </cell>
          <cell r="J8" t="str">
            <v>NO</v>
          </cell>
          <cell r="K8" t="str">
            <v>NO</v>
          </cell>
          <cell r="L8">
            <v>2</v>
          </cell>
          <cell r="M8">
            <v>0</v>
          </cell>
          <cell r="N8">
            <v>0</v>
          </cell>
        </row>
        <row r="9">
          <cell r="C9" t="str">
            <v>CENTRO DE FORMACIÓN TÉCNICA IPROSEC</v>
          </cell>
          <cell r="D9" t="str">
            <v>CFT</v>
          </cell>
          <cell r="E9">
            <v>42858</v>
          </cell>
          <cell r="F9">
            <v>43588</v>
          </cell>
          <cell r="G9" t="str">
            <v>SÍ</v>
          </cell>
          <cell r="H9" t="str">
            <v>SÍ</v>
          </cell>
          <cell r="I9" t="str">
            <v>NO</v>
          </cell>
          <cell r="J9" t="str">
            <v>NO</v>
          </cell>
          <cell r="K9" t="str">
            <v>NO</v>
          </cell>
          <cell r="L9">
            <v>2</v>
          </cell>
          <cell r="M9">
            <v>0</v>
          </cell>
          <cell r="N9">
            <v>0</v>
          </cell>
        </row>
        <row r="10">
          <cell r="C10" t="str">
            <v>CENTRO DE FORMACIÓN TÉCNICA LOTA ARAUCO</v>
          </cell>
          <cell r="D10" t="str">
            <v>CFT</v>
          </cell>
          <cell r="E10">
            <v>42571</v>
          </cell>
          <cell r="F10">
            <v>43666</v>
          </cell>
          <cell r="G10" t="str">
            <v>SÍ</v>
          </cell>
          <cell r="H10" t="str">
            <v>SÍ</v>
          </cell>
          <cell r="I10" t="str">
            <v>NO</v>
          </cell>
          <cell r="J10" t="str">
            <v>NO</v>
          </cell>
          <cell r="K10" t="str">
            <v>NO</v>
          </cell>
          <cell r="L10">
            <v>3</v>
          </cell>
          <cell r="M10">
            <v>0</v>
          </cell>
          <cell r="N10">
            <v>0</v>
          </cell>
        </row>
        <row r="11">
          <cell r="C11" t="str">
            <v>CENTRO DE FORMACIÓN TÉCNICA SAN AGUSTÍN DE TALCA</v>
          </cell>
          <cell r="D11" t="str">
            <v>CFT</v>
          </cell>
          <cell r="E11">
            <v>41618</v>
          </cell>
          <cell r="F11">
            <v>43444</v>
          </cell>
          <cell r="G11" t="str">
            <v>SÍ</v>
          </cell>
          <cell r="H11" t="str">
            <v>SÍ</v>
          </cell>
          <cell r="I11" t="str">
            <v>NO</v>
          </cell>
          <cell r="J11" t="str">
            <v>NO</v>
          </cell>
          <cell r="K11" t="str">
            <v>NO</v>
          </cell>
          <cell r="L11">
            <v>5</v>
          </cell>
          <cell r="M11">
            <v>0</v>
          </cell>
          <cell r="N11">
            <v>0</v>
          </cell>
        </row>
        <row r="12">
          <cell r="C12" t="str">
            <v>CENTRO DE FORMACIÓN TÉCNICA SANTO TOMÁS</v>
          </cell>
          <cell r="D12" t="str">
            <v>CFT</v>
          </cell>
          <cell r="E12">
            <v>42723</v>
          </cell>
          <cell r="F12">
            <v>43818</v>
          </cell>
          <cell r="G12" t="str">
            <v>SÍ</v>
          </cell>
          <cell r="H12" t="str">
            <v>SÍ</v>
          </cell>
          <cell r="I12" t="str">
            <v>NO</v>
          </cell>
          <cell r="J12" t="str">
            <v>NO</v>
          </cell>
          <cell r="K12" t="str">
            <v>NO</v>
          </cell>
          <cell r="L12">
            <v>3</v>
          </cell>
          <cell r="M12">
            <v>0</v>
          </cell>
          <cell r="N12">
            <v>0</v>
          </cell>
        </row>
        <row r="13">
          <cell r="C13" t="str">
            <v>CENTRO DE FORMACIÓN TÉCNICA TARAPACÁ</v>
          </cell>
          <cell r="D13" t="str">
            <v>CFT</v>
          </cell>
          <cell r="E13">
            <v>43074</v>
          </cell>
          <cell r="F13">
            <v>44170</v>
          </cell>
          <cell r="G13" t="str">
            <v>SÍ</v>
          </cell>
          <cell r="H13" t="str">
            <v>SÍ</v>
          </cell>
          <cell r="I13" t="str">
            <v>NO</v>
          </cell>
          <cell r="J13" t="str">
            <v>NO</v>
          </cell>
          <cell r="K13" t="str">
            <v>NO</v>
          </cell>
          <cell r="L13">
            <v>3</v>
          </cell>
          <cell r="M13">
            <v>0</v>
          </cell>
          <cell r="N13">
            <v>0</v>
          </cell>
        </row>
        <row r="14">
          <cell r="C14" t="str">
            <v>CENTRO DE FORMACIÓN TÉCNICA CÁMARA DE COMERCIO DE SANTIAGO</v>
          </cell>
          <cell r="D14" t="str">
            <v>CFT</v>
          </cell>
          <cell r="E14">
            <v>42064</v>
          </cell>
          <cell r="F14">
            <v>43160</v>
          </cell>
          <cell r="G14" t="str">
            <v>SÍ</v>
          </cell>
          <cell r="H14" t="str">
            <v>SÍ</v>
          </cell>
          <cell r="I14" t="str">
            <v>NO</v>
          </cell>
          <cell r="J14" t="str">
            <v>NO</v>
          </cell>
          <cell r="K14" t="str">
            <v>NO</v>
          </cell>
          <cell r="L14">
            <v>3</v>
          </cell>
          <cell r="M14">
            <v>0</v>
          </cell>
          <cell r="N14">
            <v>0</v>
          </cell>
        </row>
        <row r="15">
          <cell r="C15" t="str">
            <v>CENTRO DE FORMACIÓN TÉCNICA ENAC</v>
          </cell>
          <cell r="D15" t="str">
            <v>CFT</v>
          </cell>
          <cell r="E15">
            <v>42668</v>
          </cell>
          <cell r="F15">
            <v>44859</v>
          </cell>
          <cell r="G15" t="str">
            <v>SÍ</v>
          </cell>
          <cell r="H15" t="str">
            <v>SÍ</v>
          </cell>
          <cell r="I15" t="str">
            <v>NO</v>
          </cell>
          <cell r="J15" t="str">
            <v>NO</v>
          </cell>
          <cell r="K15" t="str">
            <v>NO</v>
          </cell>
          <cell r="L15">
            <v>6</v>
          </cell>
          <cell r="M15">
            <v>0</v>
          </cell>
          <cell r="N15">
            <v>0</v>
          </cell>
        </row>
        <row r="16">
          <cell r="C16" t="str">
            <v>CENTRO DE FORMACIÓN TÉCNICA UCEVALPO</v>
          </cell>
          <cell r="D16" t="str">
            <v>CFT</v>
          </cell>
          <cell r="E16">
            <v>43069</v>
          </cell>
          <cell r="F16">
            <v>44530</v>
          </cell>
          <cell r="G16" t="str">
            <v>SÍ</v>
          </cell>
          <cell r="H16" t="str">
            <v>SÍ</v>
          </cell>
          <cell r="I16" t="str">
            <v>NO</v>
          </cell>
          <cell r="J16" t="str">
            <v>NO</v>
          </cell>
          <cell r="K16" t="str">
            <v>NO</v>
          </cell>
          <cell r="L16">
            <v>4</v>
          </cell>
          <cell r="M16">
            <v>0</v>
          </cell>
          <cell r="N16">
            <v>0</v>
          </cell>
        </row>
        <row r="17">
          <cell r="C17" t="str">
            <v>CENTRO DE FORMACIÓN TÉCNICA PROANDES</v>
          </cell>
          <cell r="D17" t="str">
            <v>CFT</v>
          </cell>
          <cell r="E17">
            <v>42032</v>
          </cell>
          <cell r="F17">
            <v>43128</v>
          </cell>
          <cell r="G17" t="str">
            <v>SÍ</v>
          </cell>
          <cell r="H17" t="str">
            <v>SÍ</v>
          </cell>
          <cell r="I17" t="str">
            <v>NO</v>
          </cell>
          <cell r="J17" t="str">
            <v>NO</v>
          </cell>
          <cell r="K17" t="str">
            <v>NO</v>
          </cell>
          <cell r="L17">
            <v>3</v>
          </cell>
          <cell r="M17">
            <v>0</v>
          </cell>
          <cell r="N17">
            <v>0</v>
          </cell>
        </row>
        <row r="18">
          <cell r="C18" t="str">
            <v>CENTRO DE FORMACIÓN TÉCNICA UVALPO</v>
          </cell>
          <cell r="D18" t="str">
            <v>CFT</v>
          </cell>
          <cell r="E18">
            <v>42949</v>
          </cell>
          <cell r="F18">
            <v>44045</v>
          </cell>
          <cell r="G18" t="str">
            <v>SÍ</v>
          </cell>
          <cell r="H18" t="str">
            <v>SÍ</v>
          </cell>
          <cell r="I18" t="str">
            <v>NO</v>
          </cell>
          <cell r="J18" t="str">
            <v>NO</v>
          </cell>
          <cell r="K18" t="str">
            <v>NO</v>
          </cell>
          <cell r="L18">
            <v>3</v>
          </cell>
          <cell r="M18">
            <v>0</v>
          </cell>
          <cell r="N18">
            <v>0</v>
          </cell>
        </row>
        <row r="19">
          <cell r="C19" t="str">
            <v>CENTRO DE FORMACIÓN TÉCNICA JUAN BOHON</v>
          </cell>
          <cell r="D19" t="str">
            <v>CFT</v>
          </cell>
          <cell r="E19">
            <v>42975</v>
          </cell>
          <cell r="F19">
            <v>43705</v>
          </cell>
          <cell r="G19" t="str">
            <v>SÍ</v>
          </cell>
          <cell r="H19" t="str">
            <v>SÍ</v>
          </cell>
          <cell r="I19" t="str">
            <v>NO</v>
          </cell>
          <cell r="J19" t="str">
            <v>NO</v>
          </cell>
          <cell r="K19" t="str">
            <v>NO</v>
          </cell>
          <cell r="L19">
            <v>2</v>
          </cell>
          <cell r="M19">
            <v>0</v>
          </cell>
          <cell r="N19">
            <v>0</v>
          </cell>
        </row>
        <row r="20">
          <cell r="C20" t="str">
            <v>CENTRO DE FORMACIÓN TÉCNICA TEODORO WICKEL KLÜWEN</v>
          </cell>
          <cell r="D20" t="str">
            <v>CFT</v>
          </cell>
          <cell r="E20">
            <v>42960</v>
          </cell>
          <cell r="F20">
            <v>44056</v>
          </cell>
          <cell r="G20" t="str">
            <v>SÍ</v>
          </cell>
          <cell r="H20" t="str">
            <v>SÍ</v>
          </cell>
          <cell r="I20" t="str">
            <v>NO</v>
          </cell>
          <cell r="J20" t="str">
            <v>NO</v>
          </cell>
          <cell r="K20" t="str">
            <v>NO</v>
          </cell>
          <cell r="L20">
            <v>3</v>
          </cell>
          <cell r="M20">
            <v>0</v>
          </cell>
          <cell r="N20">
            <v>0</v>
          </cell>
        </row>
        <row r="21">
          <cell r="C21" t="str">
            <v>ESCUELA DE AVIACIÓN CAPITÁN MANUEL ÁVALOS PRADO</v>
          </cell>
          <cell r="D21" t="str">
            <v>FFAA</v>
          </cell>
          <cell r="E21">
            <v>41647</v>
          </cell>
          <cell r="F21">
            <v>43108</v>
          </cell>
          <cell r="G21" t="str">
            <v>SÍ</v>
          </cell>
          <cell r="H21" t="str">
            <v>SÍ</v>
          </cell>
          <cell r="I21" t="str">
            <v>NO</v>
          </cell>
          <cell r="J21" t="str">
            <v>NO</v>
          </cell>
          <cell r="K21" t="str">
            <v>NO</v>
          </cell>
          <cell r="L21">
            <v>4</v>
          </cell>
          <cell r="M21">
            <v>0</v>
          </cell>
          <cell r="N21">
            <v>0</v>
          </cell>
        </row>
        <row r="22">
          <cell r="C22" t="str">
            <v>ESCUELA MILITAR DEL LIBERTADOR BERNARDO O´HIGGINS</v>
          </cell>
          <cell r="D22" t="str">
            <v>FFAA</v>
          </cell>
          <cell r="E22">
            <v>42761</v>
          </cell>
          <cell r="F22">
            <v>44587</v>
          </cell>
          <cell r="G22" t="str">
            <v>SÍ</v>
          </cell>
          <cell r="H22" t="str">
            <v>SÍ</v>
          </cell>
          <cell r="I22" t="str">
            <v>NO</v>
          </cell>
          <cell r="J22" t="str">
            <v>NO</v>
          </cell>
          <cell r="K22" t="str">
            <v>NO</v>
          </cell>
          <cell r="L22">
            <v>5</v>
          </cell>
          <cell r="M22">
            <v>0</v>
          </cell>
          <cell r="N22">
            <v>0</v>
          </cell>
        </row>
        <row r="23">
          <cell r="C23" t="str">
            <v>ESCUELA NAVAL ARTURO PRAT</v>
          </cell>
          <cell r="D23" t="str">
            <v>FFAA</v>
          </cell>
          <cell r="E23">
            <v>41619</v>
          </cell>
          <cell r="F23">
            <v>43445</v>
          </cell>
          <cell r="G23" t="str">
            <v>SÍ</v>
          </cell>
          <cell r="H23" t="str">
            <v>SÍ</v>
          </cell>
          <cell r="I23" t="str">
            <v>NO</v>
          </cell>
          <cell r="J23" t="str">
            <v>NO</v>
          </cell>
          <cell r="K23" t="str">
            <v>NO</v>
          </cell>
          <cell r="L23">
            <v>5</v>
          </cell>
          <cell r="M23">
            <v>0</v>
          </cell>
          <cell r="N23">
            <v>0</v>
          </cell>
        </row>
        <row r="24">
          <cell r="C24" t="str">
            <v>ACADEMIA POLITÉCNICA NAVAL</v>
          </cell>
          <cell r="D24" t="str">
            <v>FFAA</v>
          </cell>
          <cell r="E24">
            <v>41905</v>
          </cell>
          <cell r="F24">
            <v>43366</v>
          </cell>
          <cell r="G24" t="str">
            <v>SÍ</v>
          </cell>
          <cell r="H24" t="str">
            <v>SÍ</v>
          </cell>
          <cell r="I24" t="str">
            <v>NO</v>
          </cell>
          <cell r="J24" t="str">
            <v>NO</v>
          </cell>
          <cell r="K24" t="str">
            <v>NO</v>
          </cell>
          <cell r="L24">
            <v>4</v>
          </cell>
          <cell r="M24">
            <v>0</v>
          </cell>
          <cell r="N24">
            <v>0</v>
          </cell>
        </row>
        <row r="25">
          <cell r="C25" t="str">
            <v>ESCUELA DE INVESTIGACIONES POLICIALES</v>
          </cell>
          <cell r="D25" t="str">
            <v>FFAA</v>
          </cell>
          <cell r="E25">
            <v>41954</v>
          </cell>
          <cell r="F25">
            <v>43415</v>
          </cell>
          <cell r="G25" t="str">
            <v>SÍ</v>
          </cell>
          <cell r="H25" t="str">
            <v>SÍ</v>
          </cell>
          <cell r="I25" t="str">
            <v>NO</v>
          </cell>
          <cell r="J25" t="str">
            <v>NO</v>
          </cell>
          <cell r="K25" t="str">
            <v>NO</v>
          </cell>
          <cell r="L25">
            <v>4</v>
          </cell>
          <cell r="M25">
            <v>0</v>
          </cell>
          <cell r="N25">
            <v>0</v>
          </cell>
        </row>
        <row r="26">
          <cell r="C26" t="str">
            <v>ACADEMIA POLITÉCNICA MILITAR</v>
          </cell>
          <cell r="D26" t="str">
            <v>FFAA</v>
          </cell>
          <cell r="E26">
            <v>43040</v>
          </cell>
          <cell r="F26">
            <v>44136</v>
          </cell>
          <cell r="G26" t="str">
            <v>SÍ</v>
          </cell>
          <cell r="H26" t="str">
            <v>SÍ</v>
          </cell>
          <cell r="I26" t="str">
            <v>NO</v>
          </cell>
          <cell r="J26" t="str">
            <v>NO</v>
          </cell>
          <cell r="K26" t="str">
            <v>NO</v>
          </cell>
          <cell r="L26">
            <v>3</v>
          </cell>
          <cell r="M26">
            <v>0</v>
          </cell>
          <cell r="N26">
            <v>0</v>
          </cell>
        </row>
        <row r="27">
          <cell r="C27" t="str">
            <v>ESCUELA DE GRUMETES A.N.C.</v>
          </cell>
          <cell r="D27" t="str">
            <v>FFAA</v>
          </cell>
          <cell r="E27">
            <v>42571</v>
          </cell>
          <cell r="F27">
            <v>44032</v>
          </cell>
          <cell r="G27" t="str">
            <v>SÍ</v>
          </cell>
          <cell r="H27" t="str">
            <v>SÍ</v>
          </cell>
          <cell r="I27" t="str">
            <v>NO</v>
          </cell>
          <cell r="J27" t="str">
            <v>NO</v>
          </cell>
          <cell r="K27" t="str">
            <v>NO</v>
          </cell>
          <cell r="L27">
            <v>4</v>
          </cell>
          <cell r="M27">
            <v>0</v>
          </cell>
          <cell r="N27">
            <v>0</v>
          </cell>
        </row>
        <row r="28">
          <cell r="C28" t="str">
            <v>ESCUELA TÉCNICA AERONÁUTICA</v>
          </cell>
          <cell r="D28" t="str">
            <v>FFAA</v>
          </cell>
          <cell r="E28">
            <v>42757</v>
          </cell>
          <cell r="F28">
            <v>43852</v>
          </cell>
          <cell r="G28" t="str">
            <v>SÍ</v>
          </cell>
          <cell r="H28" t="str">
            <v>SÍ</v>
          </cell>
          <cell r="I28" t="str">
            <v>NO</v>
          </cell>
          <cell r="J28" t="str">
            <v>NO</v>
          </cell>
          <cell r="K28" t="str">
            <v>NO</v>
          </cell>
          <cell r="L28">
            <v>3</v>
          </cell>
          <cell r="M28">
            <v>0</v>
          </cell>
          <cell r="N28">
            <v>0</v>
          </cell>
        </row>
        <row r="29">
          <cell r="C29" t="str">
            <v>INSTITUTO PROFESIONAL AIEP</v>
          </cell>
          <cell r="D29" t="str">
            <v>IP</v>
          </cell>
          <cell r="E29">
            <v>43030</v>
          </cell>
          <cell r="F29">
            <v>44491</v>
          </cell>
          <cell r="G29" t="str">
            <v>SÍ</v>
          </cell>
          <cell r="H29" t="str">
            <v>SÍ</v>
          </cell>
          <cell r="I29" t="str">
            <v>NO</v>
          </cell>
          <cell r="J29" t="str">
            <v>NO</v>
          </cell>
          <cell r="K29" t="str">
            <v>NO</v>
          </cell>
          <cell r="L29">
            <v>4</v>
          </cell>
          <cell r="M29">
            <v>0</v>
          </cell>
          <cell r="N29">
            <v>0</v>
          </cell>
        </row>
        <row r="30">
          <cell r="C30" t="str">
            <v>INSTITUTO PROFESIONAL DE ARTES Y COMUNICACIÓN ARCOS</v>
          </cell>
          <cell r="D30" t="str">
            <v>IP</v>
          </cell>
          <cell r="E30">
            <v>42706</v>
          </cell>
          <cell r="F30">
            <v>44167</v>
          </cell>
          <cell r="G30" t="str">
            <v>SÍ</v>
          </cell>
          <cell r="H30" t="str">
            <v>SÍ</v>
          </cell>
          <cell r="I30" t="str">
            <v>NO</v>
          </cell>
          <cell r="J30" t="str">
            <v>NO</v>
          </cell>
          <cell r="K30" t="str">
            <v>NO</v>
          </cell>
          <cell r="L30">
            <v>4</v>
          </cell>
          <cell r="M30">
            <v>0</v>
          </cell>
          <cell r="N30">
            <v>0</v>
          </cell>
        </row>
        <row r="31">
          <cell r="C31" t="str">
            <v>INSTITUTO PROFESIONAL DE CHILE</v>
          </cell>
          <cell r="D31" t="str">
            <v>IP</v>
          </cell>
          <cell r="E31">
            <v>42075</v>
          </cell>
          <cell r="F31">
            <v>43536</v>
          </cell>
          <cell r="G31" t="str">
            <v>SÍ</v>
          </cell>
          <cell r="H31" t="str">
            <v>SÍ</v>
          </cell>
          <cell r="I31" t="str">
            <v>NO</v>
          </cell>
          <cell r="J31" t="str">
            <v>NO</v>
          </cell>
          <cell r="K31" t="str">
            <v>NO</v>
          </cell>
          <cell r="L31">
            <v>4</v>
          </cell>
          <cell r="M31">
            <v>0</v>
          </cell>
          <cell r="N31">
            <v>0</v>
          </cell>
        </row>
        <row r="32">
          <cell r="C32" t="str">
            <v>INSTITUTO PROFESIONAL DUOC UC</v>
          </cell>
          <cell r="D32" t="str">
            <v>IP</v>
          </cell>
          <cell r="E32">
            <v>42973</v>
          </cell>
          <cell r="F32">
            <v>45530</v>
          </cell>
          <cell r="G32" t="str">
            <v>SÍ</v>
          </cell>
          <cell r="H32" t="str">
            <v>SÍ</v>
          </cell>
          <cell r="I32" t="str">
            <v>NO</v>
          </cell>
          <cell r="J32" t="str">
            <v>NO</v>
          </cell>
          <cell r="K32" t="str">
            <v>SÍ</v>
          </cell>
          <cell r="L32">
            <v>7</v>
          </cell>
          <cell r="M32">
            <v>0</v>
          </cell>
          <cell r="N32">
            <v>0</v>
          </cell>
        </row>
        <row r="33">
          <cell r="C33" t="str">
            <v>INSTITUTO PROFESIONAL GUILLERMO SUBERCASEAUX</v>
          </cell>
          <cell r="D33" t="str">
            <v>IP</v>
          </cell>
          <cell r="E33">
            <v>43086</v>
          </cell>
          <cell r="F33">
            <v>44912</v>
          </cell>
          <cell r="G33" t="str">
            <v>SÍ</v>
          </cell>
          <cell r="H33" t="str">
            <v>SÍ</v>
          </cell>
          <cell r="I33" t="str">
            <v>NO</v>
          </cell>
          <cell r="J33" t="str">
            <v>NO</v>
          </cell>
          <cell r="K33" t="str">
            <v>NO</v>
          </cell>
          <cell r="L33">
            <v>5</v>
          </cell>
          <cell r="M33">
            <v>0</v>
          </cell>
          <cell r="N33">
            <v>0</v>
          </cell>
        </row>
        <row r="34">
          <cell r="C34" t="str">
            <v>INSTITUTO PROFESIONAL INACAP</v>
          </cell>
          <cell r="D34" t="str">
            <v>IP</v>
          </cell>
          <cell r="E34">
            <v>42715</v>
          </cell>
          <cell r="F34">
            <v>44906</v>
          </cell>
          <cell r="G34" t="str">
            <v>SÍ</v>
          </cell>
          <cell r="H34" t="str">
            <v>SÍ</v>
          </cell>
          <cell r="I34" t="str">
            <v>NO</v>
          </cell>
          <cell r="J34" t="str">
            <v>NO</v>
          </cell>
          <cell r="K34" t="str">
            <v>NO</v>
          </cell>
          <cell r="L34">
            <v>6</v>
          </cell>
          <cell r="M34">
            <v>0</v>
          </cell>
          <cell r="N34">
            <v>0</v>
          </cell>
        </row>
        <row r="35">
          <cell r="C35" t="str">
            <v>INSTITUTO PROFESIONAL LA ARAUCANA</v>
          </cell>
          <cell r="D35" t="str">
            <v>IP</v>
          </cell>
          <cell r="E35">
            <v>42851</v>
          </cell>
          <cell r="F35">
            <v>43581</v>
          </cell>
          <cell r="G35" t="str">
            <v>SÍ</v>
          </cell>
          <cell r="H35" t="str">
            <v>SÍ</v>
          </cell>
          <cell r="I35" t="str">
            <v>NO</v>
          </cell>
          <cell r="J35" t="str">
            <v>NO</v>
          </cell>
          <cell r="K35" t="str">
            <v>NO</v>
          </cell>
          <cell r="L35">
            <v>2</v>
          </cell>
          <cell r="M35">
            <v>0</v>
          </cell>
          <cell r="N35">
            <v>0</v>
          </cell>
        </row>
        <row r="36">
          <cell r="C36" t="str">
            <v>INSTITUTO PROFESIONAL SANTO TOMÁS</v>
          </cell>
          <cell r="D36" t="str">
            <v>IP</v>
          </cell>
          <cell r="E36">
            <v>43065</v>
          </cell>
          <cell r="F36">
            <v>44161</v>
          </cell>
          <cell r="G36" t="str">
            <v>SÍ</v>
          </cell>
          <cell r="H36" t="str">
            <v>SÍ</v>
          </cell>
          <cell r="I36" t="str">
            <v>NO</v>
          </cell>
          <cell r="J36" t="str">
            <v>NO</v>
          </cell>
          <cell r="K36" t="str">
            <v>NO</v>
          </cell>
          <cell r="L36">
            <v>3</v>
          </cell>
          <cell r="M36">
            <v>0</v>
          </cell>
          <cell r="N36">
            <v>0</v>
          </cell>
        </row>
        <row r="37">
          <cell r="C37" t="str">
            <v>INSTITUTO PROFESIONAL VIRGINIO GÓMEZ</v>
          </cell>
          <cell r="D37" t="str">
            <v>IP</v>
          </cell>
          <cell r="E37">
            <v>43087</v>
          </cell>
          <cell r="F37">
            <v>44183</v>
          </cell>
          <cell r="G37" t="str">
            <v>SÍ</v>
          </cell>
          <cell r="H37" t="str">
            <v>SÍ</v>
          </cell>
          <cell r="I37" t="str">
            <v>NO</v>
          </cell>
          <cell r="J37" t="str">
            <v>NO</v>
          </cell>
          <cell r="K37" t="str">
            <v>NO</v>
          </cell>
          <cell r="L37">
            <v>3</v>
          </cell>
          <cell r="M37">
            <v>0</v>
          </cell>
          <cell r="N37">
            <v>0</v>
          </cell>
        </row>
        <row r="38">
          <cell r="C38" t="str">
            <v>INSTITUTO PROFESIONAL ESCUELA MODERNA DE MÚSICA</v>
          </cell>
          <cell r="D38" t="str">
            <v>IP</v>
          </cell>
          <cell r="E38">
            <v>42724</v>
          </cell>
          <cell r="F38">
            <v>44185</v>
          </cell>
          <cell r="G38" t="str">
            <v>SÍ</v>
          </cell>
          <cell r="H38" t="str">
            <v>SÍ</v>
          </cell>
          <cell r="I38" t="str">
            <v>NO</v>
          </cell>
          <cell r="J38" t="str">
            <v>NO</v>
          </cell>
          <cell r="K38" t="str">
            <v>NO</v>
          </cell>
          <cell r="L38">
            <v>4</v>
          </cell>
          <cell r="M38">
            <v>0</v>
          </cell>
          <cell r="N38">
            <v>0</v>
          </cell>
        </row>
        <row r="39">
          <cell r="C39" t="str">
            <v>INSTITUTO PROFESIONAL ESCUELA DE CONTADORES AUDITORES DE SANTIAGO</v>
          </cell>
          <cell r="D39" t="str">
            <v>IP</v>
          </cell>
          <cell r="E39">
            <v>42609</v>
          </cell>
          <cell r="F39">
            <v>43704</v>
          </cell>
          <cell r="G39" t="str">
            <v>SÍ</v>
          </cell>
          <cell r="H39" t="str">
            <v>SÍ</v>
          </cell>
          <cell r="I39" t="str">
            <v>NO</v>
          </cell>
          <cell r="J39" t="str">
            <v>NO</v>
          </cell>
          <cell r="K39" t="str">
            <v>NO</v>
          </cell>
          <cell r="L39">
            <v>3</v>
          </cell>
          <cell r="M39">
            <v>0</v>
          </cell>
          <cell r="N39">
            <v>0</v>
          </cell>
        </row>
        <row r="40">
          <cell r="C40" t="str">
            <v>INSTITUTO PROFESIONAL CARLOS CASANUEVA</v>
          </cell>
          <cell r="D40" t="str">
            <v>IP</v>
          </cell>
          <cell r="E40">
            <v>42620</v>
          </cell>
          <cell r="F40">
            <v>43350</v>
          </cell>
          <cell r="G40" t="str">
            <v>SÍ</v>
          </cell>
          <cell r="H40" t="str">
            <v>SÍ</v>
          </cell>
          <cell r="I40" t="str">
            <v>NO</v>
          </cell>
          <cell r="J40" t="str">
            <v>NO</v>
          </cell>
          <cell r="K40" t="str">
            <v>NO</v>
          </cell>
          <cell r="L40">
            <v>2</v>
          </cell>
          <cell r="M40">
            <v>0</v>
          </cell>
          <cell r="N40">
            <v>0</v>
          </cell>
        </row>
        <row r="41">
          <cell r="C41" t="str">
            <v>INSTITUTO PROFESIONAL ESUCOMEX</v>
          </cell>
          <cell r="D41" t="str">
            <v>IP</v>
          </cell>
          <cell r="E41">
            <v>42358</v>
          </cell>
          <cell r="F41">
            <v>43454</v>
          </cell>
          <cell r="G41" t="str">
            <v>SÍ</v>
          </cell>
          <cell r="H41" t="str">
            <v>SÍ</v>
          </cell>
          <cell r="I41" t="str">
            <v>NO</v>
          </cell>
          <cell r="J41" t="str">
            <v>NO</v>
          </cell>
          <cell r="K41" t="str">
            <v>NO</v>
          </cell>
          <cell r="L41">
            <v>3</v>
          </cell>
          <cell r="M41">
            <v>0</v>
          </cell>
          <cell r="N41">
            <v>0</v>
          </cell>
        </row>
        <row r="42">
          <cell r="C42" t="str">
            <v>INSTITUTO NACIONAL DEL FÚTBOL, DEPORTE Y ACTIVIDAD FÍSICA ( IP INAF)</v>
          </cell>
          <cell r="D42" t="str">
            <v>IP</v>
          </cell>
          <cell r="E42">
            <v>43064</v>
          </cell>
          <cell r="F42">
            <v>44160</v>
          </cell>
          <cell r="G42" t="str">
            <v>SÍ</v>
          </cell>
          <cell r="H42" t="str">
            <v>SÍ</v>
          </cell>
          <cell r="I42" t="str">
            <v>NO</v>
          </cell>
          <cell r="J42" t="str">
            <v>NO</v>
          </cell>
          <cell r="K42" t="str">
            <v>NO</v>
          </cell>
          <cell r="L42">
            <v>3</v>
          </cell>
          <cell r="M42">
            <v>0</v>
          </cell>
          <cell r="N42">
            <v>0</v>
          </cell>
        </row>
        <row r="43">
          <cell r="C43" t="str">
            <v>INSTITUTO PROFESIONAL AGRARIO ADOLFO MATTHEI</v>
          </cell>
          <cell r="D43" t="str">
            <v>IP</v>
          </cell>
          <cell r="E43">
            <v>42002</v>
          </cell>
          <cell r="F43">
            <v>43828</v>
          </cell>
          <cell r="G43" t="str">
            <v>SÍ</v>
          </cell>
          <cell r="H43" t="str">
            <v>SÍ</v>
          </cell>
          <cell r="I43" t="str">
            <v>NO</v>
          </cell>
          <cell r="J43" t="str">
            <v>NO</v>
          </cell>
          <cell r="K43" t="str">
            <v>NO</v>
          </cell>
          <cell r="L43">
            <v>5</v>
          </cell>
          <cell r="M43">
            <v>0</v>
          </cell>
          <cell r="N43">
            <v>0</v>
          </cell>
        </row>
        <row r="44">
          <cell r="C44" t="str">
            <v>INSTITUTO PROFESIONAL CIISA</v>
          </cell>
          <cell r="D44" t="str">
            <v>IP</v>
          </cell>
          <cell r="E44">
            <v>42367</v>
          </cell>
          <cell r="F44">
            <v>43463</v>
          </cell>
          <cell r="G44" t="str">
            <v>SÍ</v>
          </cell>
          <cell r="H44" t="str">
            <v>SÍ</v>
          </cell>
          <cell r="I44" t="str">
            <v>NO</v>
          </cell>
          <cell r="J44" t="str">
            <v>NO</v>
          </cell>
          <cell r="K44" t="str">
            <v>NO</v>
          </cell>
          <cell r="L44">
            <v>3</v>
          </cell>
          <cell r="M44">
            <v>0</v>
          </cell>
          <cell r="N44">
            <v>0</v>
          </cell>
        </row>
        <row r="45">
          <cell r="C45" t="str">
            <v>INSTITUTO PROFESIONAL GALDÁMEZ, IPG</v>
          </cell>
          <cell r="D45" t="str">
            <v>IP</v>
          </cell>
          <cell r="E45">
            <v>42606</v>
          </cell>
          <cell r="F45">
            <v>43336</v>
          </cell>
          <cell r="G45" t="str">
            <v>SÍ</v>
          </cell>
          <cell r="H45" t="str">
            <v>SÍ</v>
          </cell>
          <cell r="I45" t="str">
            <v>NO</v>
          </cell>
          <cell r="J45" t="str">
            <v>NO</v>
          </cell>
          <cell r="K45" t="str">
            <v>NO</v>
          </cell>
          <cell r="L45">
            <v>2</v>
          </cell>
          <cell r="M45">
            <v>0</v>
          </cell>
          <cell r="N45">
            <v>0</v>
          </cell>
        </row>
        <row r="46">
          <cell r="C46" t="str">
            <v>INSTITUTO PROFESIONAL LATINOAMERICANO DE COMERCIO EXTERIOR, IPLACEX</v>
          </cell>
          <cell r="D46" t="str">
            <v>IP</v>
          </cell>
          <cell r="E46">
            <v>43082</v>
          </cell>
          <cell r="F46">
            <v>44178</v>
          </cell>
          <cell r="G46" t="str">
            <v>SÍ</v>
          </cell>
          <cell r="H46" t="str">
            <v>SÍ</v>
          </cell>
          <cell r="I46" t="str">
            <v>NO</v>
          </cell>
          <cell r="J46" t="str">
            <v>NO</v>
          </cell>
          <cell r="K46" t="str">
            <v>NO</v>
          </cell>
          <cell r="L46">
            <v>3</v>
          </cell>
          <cell r="M46">
            <v>0</v>
          </cell>
          <cell r="N46">
            <v>0</v>
          </cell>
        </row>
        <row r="47">
          <cell r="C47" t="str">
            <v>PONTIFICIA UNIVERSIDAD CATÓLICA DE CHILE</v>
          </cell>
          <cell r="D47" t="str">
            <v>UNIV</v>
          </cell>
          <cell r="E47">
            <v>40877</v>
          </cell>
          <cell r="F47">
            <v>43434</v>
          </cell>
          <cell r="G47" t="str">
            <v>SÍ</v>
          </cell>
          <cell r="H47" t="str">
            <v>SÍ</v>
          </cell>
          <cell r="I47" t="str">
            <v>SÍ</v>
          </cell>
          <cell r="J47" t="str">
            <v>SÍ</v>
          </cell>
          <cell r="K47" t="str">
            <v>SÍ</v>
          </cell>
          <cell r="L47">
            <v>7</v>
          </cell>
          <cell r="M47">
            <v>1</v>
          </cell>
          <cell r="N47">
            <v>1</v>
          </cell>
        </row>
        <row r="48">
          <cell r="C48" t="str">
            <v>PONTIFICIA UNIVERSIDAD CATÓLICA DE VALPARAÍSO</v>
          </cell>
          <cell r="D48" t="str">
            <v>UNIV</v>
          </cell>
          <cell r="E48">
            <v>42334</v>
          </cell>
          <cell r="F48">
            <v>44526</v>
          </cell>
          <cell r="G48" t="str">
            <v>SÍ</v>
          </cell>
          <cell r="H48" t="str">
            <v>SÍ</v>
          </cell>
          <cell r="I48" t="str">
            <v>SÍ</v>
          </cell>
          <cell r="J48" t="str">
            <v>SÍ</v>
          </cell>
          <cell r="K48" t="str">
            <v>SÍ</v>
          </cell>
          <cell r="L48">
            <v>6</v>
          </cell>
          <cell r="M48">
            <v>1</v>
          </cell>
          <cell r="N48">
            <v>1</v>
          </cell>
        </row>
        <row r="49">
          <cell r="C49" t="str">
            <v>UNIVERSIDAD ACADEMIA DE HUMANISMO CRISTIANO</v>
          </cell>
          <cell r="D49" t="str">
            <v>UNIV</v>
          </cell>
          <cell r="E49">
            <v>43089</v>
          </cell>
          <cell r="F49">
            <v>44550</v>
          </cell>
          <cell r="G49" t="str">
            <v>SÍ</v>
          </cell>
          <cell r="H49" t="str">
            <v>SÍ</v>
          </cell>
          <cell r="I49" t="str">
            <v>NO</v>
          </cell>
          <cell r="J49" t="str">
            <v>NO</v>
          </cell>
          <cell r="K49" t="str">
            <v>SÍ</v>
          </cell>
          <cell r="L49">
            <v>4</v>
          </cell>
          <cell r="M49">
            <v>0</v>
          </cell>
          <cell r="N49">
            <v>0</v>
          </cell>
        </row>
        <row r="50">
          <cell r="C50" t="str">
            <v>UNIVERSIDAD ADOLFO IBÁÑEZ</v>
          </cell>
          <cell r="D50" t="str">
            <v>UNIV</v>
          </cell>
          <cell r="E50">
            <v>42326</v>
          </cell>
          <cell r="F50">
            <v>44153</v>
          </cell>
          <cell r="G50" t="str">
            <v>SÍ</v>
          </cell>
          <cell r="H50" t="str">
            <v>SÍ</v>
          </cell>
          <cell r="I50" t="str">
            <v>SÍ</v>
          </cell>
          <cell r="J50" t="str">
            <v>SÍ</v>
          </cell>
          <cell r="K50" t="str">
            <v>SÍ</v>
          </cell>
          <cell r="L50">
            <v>5</v>
          </cell>
          <cell r="M50">
            <v>1</v>
          </cell>
          <cell r="N50">
            <v>1</v>
          </cell>
        </row>
        <row r="51">
          <cell r="C51" t="str">
            <v>UNIVERSIDAD ADVENTISTA DE CHILE</v>
          </cell>
          <cell r="D51" t="str">
            <v>UNIV</v>
          </cell>
          <cell r="E51">
            <v>42382</v>
          </cell>
          <cell r="F51">
            <v>43478</v>
          </cell>
          <cell r="G51" t="str">
            <v>SÍ</v>
          </cell>
          <cell r="H51" t="str">
            <v>SÍ</v>
          </cell>
          <cell r="I51" t="str">
            <v>NO</v>
          </cell>
          <cell r="J51" t="str">
            <v>NO</v>
          </cell>
          <cell r="K51" t="str">
            <v>SÍ</v>
          </cell>
          <cell r="L51">
            <v>3</v>
          </cell>
          <cell r="M51">
            <v>0</v>
          </cell>
          <cell r="N51">
            <v>0</v>
          </cell>
        </row>
        <row r="52">
          <cell r="C52" t="str">
            <v>UNIVERSIDAD ALBERTO HURTADO</v>
          </cell>
          <cell r="D52" t="str">
            <v>UNIV</v>
          </cell>
          <cell r="E52">
            <v>41990</v>
          </cell>
          <cell r="F52">
            <v>43816</v>
          </cell>
          <cell r="G52" t="str">
            <v>SÍ</v>
          </cell>
          <cell r="H52" t="str">
            <v>SÍ</v>
          </cell>
          <cell r="I52" t="str">
            <v>SÍ</v>
          </cell>
          <cell r="J52" t="str">
            <v>SÍ</v>
          </cell>
          <cell r="K52" t="str">
            <v>SÍ</v>
          </cell>
          <cell r="L52">
            <v>5</v>
          </cell>
          <cell r="M52">
            <v>1</v>
          </cell>
          <cell r="N52">
            <v>1</v>
          </cell>
        </row>
        <row r="53">
          <cell r="C53" t="str">
            <v>UNIVERSIDAD ANDRÉS BELLO</v>
          </cell>
          <cell r="D53" t="str">
            <v>UNIV</v>
          </cell>
          <cell r="E53">
            <v>43093</v>
          </cell>
          <cell r="F53">
            <v>44554</v>
          </cell>
          <cell r="G53" t="str">
            <v>SÍ</v>
          </cell>
          <cell r="H53" t="str">
            <v>SÍ</v>
          </cell>
          <cell r="I53" t="str">
            <v>SÍ</v>
          </cell>
          <cell r="J53" t="str">
            <v>NO</v>
          </cell>
          <cell r="K53" t="str">
            <v>SÍ</v>
          </cell>
          <cell r="L53">
            <v>4</v>
          </cell>
          <cell r="M53">
            <v>0</v>
          </cell>
          <cell r="N53">
            <v>1</v>
          </cell>
        </row>
        <row r="54">
          <cell r="C54" t="str">
            <v>UNIVERSIDAD ARTURO PRAT</v>
          </cell>
          <cell r="D54" t="str">
            <v>UNIV</v>
          </cell>
          <cell r="E54">
            <v>43090</v>
          </cell>
          <cell r="F54">
            <v>44551</v>
          </cell>
          <cell r="G54" t="str">
            <v>SÍ</v>
          </cell>
          <cell r="H54" t="str">
            <v>SÍ</v>
          </cell>
          <cell r="I54" t="str">
            <v>NO</v>
          </cell>
          <cell r="J54" t="str">
            <v>NO</v>
          </cell>
          <cell r="K54" t="str">
            <v>SÍ</v>
          </cell>
          <cell r="L54">
            <v>4</v>
          </cell>
          <cell r="M54">
            <v>0</v>
          </cell>
          <cell r="N54">
            <v>0</v>
          </cell>
        </row>
        <row r="55">
          <cell r="C55" t="str">
            <v>UNIVERSIDAD AUSTRAL DE CHILE</v>
          </cell>
          <cell r="D55" t="str">
            <v>UNIV</v>
          </cell>
          <cell r="E55">
            <v>42320</v>
          </cell>
          <cell r="F55">
            <v>44512</v>
          </cell>
          <cell r="G55" t="str">
            <v>SÍ</v>
          </cell>
          <cell r="H55" t="str">
            <v>SÍ</v>
          </cell>
          <cell r="I55" t="str">
            <v>SÍ</v>
          </cell>
          <cell r="J55" t="str">
            <v>SÍ</v>
          </cell>
          <cell r="K55" t="str">
            <v>SÍ</v>
          </cell>
          <cell r="L55">
            <v>6</v>
          </cell>
          <cell r="M55">
            <v>1</v>
          </cell>
          <cell r="N55">
            <v>1</v>
          </cell>
        </row>
        <row r="56">
          <cell r="C56" t="str">
            <v>UNIVERSIDAD AUTÓNOMA DE CHILE</v>
          </cell>
          <cell r="D56" t="str">
            <v>UNIV</v>
          </cell>
          <cell r="E56">
            <v>42305</v>
          </cell>
          <cell r="F56">
            <v>43766</v>
          </cell>
          <cell r="G56" t="str">
            <v>SÍ</v>
          </cell>
          <cell r="H56" t="str">
            <v>SÍ</v>
          </cell>
          <cell r="I56" t="str">
            <v>SÍ</v>
          </cell>
          <cell r="J56" t="str">
            <v>NO</v>
          </cell>
          <cell r="K56" t="str">
            <v>SÍ</v>
          </cell>
          <cell r="L56">
            <v>4</v>
          </cell>
          <cell r="M56">
            <v>0</v>
          </cell>
          <cell r="N56">
            <v>1</v>
          </cell>
        </row>
        <row r="57">
          <cell r="C57" t="str">
            <v>UNIVERSIDAD BERNARDO O'HIGGINS</v>
          </cell>
          <cell r="D57" t="str">
            <v>UNIV</v>
          </cell>
          <cell r="E57">
            <v>42207</v>
          </cell>
          <cell r="F57">
            <v>43303</v>
          </cell>
          <cell r="G57" t="str">
            <v>SÍ</v>
          </cell>
          <cell r="H57" t="str">
            <v>SÍ</v>
          </cell>
          <cell r="I57" t="str">
            <v>NO</v>
          </cell>
          <cell r="J57" t="str">
            <v>NO</v>
          </cell>
          <cell r="K57" t="str">
            <v>SÍ</v>
          </cell>
          <cell r="L57">
            <v>3</v>
          </cell>
          <cell r="M57">
            <v>0</v>
          </cell>
          <cell r="N57">
            <v>0</v>
          </cell>
        </row>
        <row r="58">
          <cell r="C58" t="str">
            <v>UNIVERSIDAD CATÓLICA SILVA HENRÍQUEZ</v>
          </cell>
          <cell r="D58" t="str">
            <v>UNIV</v>
          </cell>
          <cell r="E58">
            <v>42703</v>
          </cell>
          <cell r="F58">
            <v>44164</v>
          </cell>
          <cell r="G58" t="str">
            <v>SÍ</v>
          </cell>
          <cell r="H58" t="str">
            <v>SÍ</v>
          </cell>
          <cell r="I58" t="str">
            <v>NO</v>
          </cell>
          <cell r="J58" t="str">
            <v>NO</v>
          </cell>
          <cell r="K58" t="str">
            <v>NO</v>
          </cell>
          <cell r="L58">
            <v>4</v>
          </cell>
          <cell r="M58">
            <v>0</v>
          </cell>
          <cell r="N58">
            <v>0</v>
          </cell>
        </row>
        <row r="59">
          <cell r="C59" t="str">
            <v>UNIVERSIDAD CATÓLICA DE LA SANTÍSIMA CONCEPCIÓN</v>
          </cell>
          <cell r="D59" t="str">
            <v>UNIV</v>
          </cell>
          <cell r="E59">
            <v>42689</v>
          </cell>
          <cell r="F59">
            <v>44150</v>
          </cell>
          <cell r="G59" t="str">
            <v>SÍ</v>
          </cell>
          <cell r="H59" t="str">
            <v>SÍ</v>
          </cell>
          <cell r="I59" t="str">
            <v>NO</v>
          </cell>
          <cell r="J59" t="str">
            <v>NO</v>
          </cell>
          <cell r="K59" t="str">
            <v>SÍ</v>
          </cell>
          <cell r="L59">
            <v>4</v>
          </cell>
          <cell r="M59">
            <v>0</v>
          </cell>
          <cell r="N59">
            <v>0</v>
          </cell>
        </row>
        <row r="60">
          <cell r="C60" t="str">
            <v>UNIVERSIDAD CATÓLICA DE TEMUCO</v>
          </cell>
          <cell r="D60" t="str">
            <v>UNIV</v>
          </cell>
          <cell r="E60">
            <v>42200</v>
          </cell>
          <cell r="F60">
            <v>43661</v>
          </cell>
          <cell r="G60" t="str">
            <v>SÍ</v>
          </cell>
          <cell r="H60" t="str">
            <v>SÍ</v>
          </cell>
          <cell r="I60" t="str">
            <v>SÍ</v>
          </cell>
          <cell r="J60" t="str">
            <v>NO</v>
          </cell>
          <cell r="K60" t="str">
            <v>SÍ</v>
          </cell>
          <cell r="L60">
            <v>4</v>
          </cell>
          <cell r="M60">
            <v>0</v>
          </cell>
          <cell r="N60">
            <v>1</v>
          </cell>
        </row>
        <row r="61">
          <cell r="C61" t="str">
            <v>UNIVERSIDAD CATÓLICA DEL MAULE</v>
          </cell>
          <cell r="D61" t="str">
            <v>UNIV</v>
          </cell>
          <cell r="E61">
            <v>42179</v>
          </cell>
          <cell r="F61">
            <v>44006</v>
          </cell>
          <cell r="G61" t="str">
            <v>SÍ</v>
          </cell>
          <cell r="H61" t="str">
            <v>SÍ</v>
          </cell>
          <cell r="I61" t="str">
            <v>NO</v>
          </cell>
          <cell r="J61" t="str">
            <v>NO</v>
          </cell>
          <cell r="K61" t="str">
            <v>SÍ</v>
          </cell>
          <cell r="L61">
            <v>5</v>
          </cell>
          <cell r="M61">
            <v>0</v>
          </cell>
          <cell r="N61">
            <v>0</v>
          </cell>
        </row>
        <row r="62">
          <cell r="C62" t="str">
            <v>UNIVERSIDAD CATÓLICA DEL NORTE</v>
          </cell>
          <cell r="D62" t="str">
            <v>UNIV</v>
          </cell>
          <cell r="E62">
            <v>42699</v>
          </cell>
          <cell r="F62">
            <v>44890</v>
          </cell>
          <cell r="G62" t="str">
            <v>SÍ</v>
          </cell>
          <cell r="H62" t="str">
            <v>SÍ</v>
          </cell>
          <cell r="I62" t="str">
            <v>SÍ</v>
          </cell>
          <cell r="J62" t="str">
            <v>SÍ</v>
          </cell>
          <cell r="K62" t="str">
            <v>SÍ</v>
          </cell>
          <cell r="L62">
            <v>6</v>
          </cell>
          <cell r="M62">
            <v>1</v>
          </cell>
          <cell r="N62">
            <v>1</v>
          </cell>
        </row>
        <row r="63">
          <cell r="C63" t="str">
            <v>UNIVERSIDAD CENTRAL DE CHILE</v>
          </cell>
          <cell r="D63" t="str">
            <v>UNIV</v>
          </cell>
          <cell r="E63">
            <v>43090</v>
          </cell>
          <cell r="F63">
            <v>44551</v>
          </cell>
          <cell r="G63" t="str">
            <v>SÍ</v>
          </cell>
          <cell r="H63" t="str">
            <v>SÍ</v>
          </cell>
          <cell r="I63" t="str">
            <v>NO</v>
          </cell>
          <cell r="J63" t="str">
            <v>NO</v>
          </cell>
          <cell r="K63" t="str">
            <v>SÍ</v>
          </cell>
          <cell r="L63">
            <v>4</v>
          </cell>
          <cell r="M63">
            <v>0</v>
          </cell>
          <cell r="N63">
            <v>0</v>
          </cell>
        </row>
        <row r="64">
          <cell r="C64" t="str">
            <v>UNIVERSIDAD DE ANTOFAGASTA</v>
          </cell>
          <cell r="D64" t="str">
            <v>UNIV</v>
          </cell>
          <cell r="E64">
            <v>42962</v>
          </cell>
          <cell r="F64">
            <v>44788</v>
          </cell>
          <cell r="G64" t="str">
            <v>SÍ</v>
          </cell>
          <cell r="H64" t="str">
            <v>SÍ</v>
          </cell>
          <cell r="I64" t="str">
            <v>SÍ</v>
          </cell>
          <cell r="J64" t="str">
            <v>NO</v>
          </cell>
          <cell r="K64" t="str">
            <v>SÍ</v>
          </cell>
          <cell r="L64">
            <v>5</v>
          </cell>
          <cell r="M64">
            <v>0</v>
          </cell>
          <cell r="N64">
            <v>1</v>
          </cell>
        </row>
        <row r="65">
          <cell r="C65" t="str">
            <v>UNIVERSIDAD DE ATACAMA</v>
          </cell>
          <cell r="D65" t="str">
            <v>UNIV</v>
          </cell>
          <cell r="E65">
            <v>43086</v>
          </cell>
          <cell r="F65">
            <v>44182</v>
          </cell>
          <cell r="G65" t="str">
            <v>SÍ</v>
          </cell>
          <cell r="H65" t="str">
            <v>SÍ</v>
          </cell>
          <cell r="I65" t="str">
            <v>SÍ</v>
          </cell>
          <cell r="J65" t="str">
            <v>NO</v>
          </cell>
          <cell r="K65" t="str">
            <v>SÍ</v>
          </cell>
          <cell r="L65">
            <v>3</v>
          </cell>
          <cell r="M65">
            <v>0</v>
          </cell>
          <cell r="N65">
            <v>1</v>
          </cell>
        </row>
        <row r="66">
          <cell r="C66" t="str">
            <v>UNIVERSIDAD DE CHILE</v>
          </cell>
          <cell r="D66" t="str">
            <v>UNIV</v>
          </cell>
          <cell r="E66">
            <v>40898</v>
          </cell>
          <cell r="F66">
            <v>43455</v>
          </cell>
          <cell r="G66" t="str">
            <v>SÍ</v>
          </cell>
          <cell r="H66" t="str">
            <v>SÍ</v>
          </cell>
          <cell r="I66" t="str">
            <v>SÍ</v>
          </cell>
          <cell r="J66" t="str">
            <v>SÍ</v>
          </cell>
          <cell r="K66" t="str">
            <v>SÍ</v>
          </cell>
          <cell r="L66">
            <v>7</v>
          </cell>
          <cell r="M66">
            <v>1</v>
          </cell>
          <cell r="N66">
            <v>1</v>
          </cell>
        </row>
        <row r="67">
          <cell r="C67" t="str">
            <v>UNIVERSIDAD DE CONCEPCIÓN</v>
          </cell>
          <cell r="D67" t="str">
            <v>UNIV</v>
          </cell>
          <cell r="E67">
            <v>42685</v>
          </cell>
          <cell r="F67">
            <v>45241</v>
          </cell>
          <cell r="G67" t="str">
            <v>SÍ</v>
          </cell>
          <cell r="H67" t="str">
            <v>SÍ</v>
          </cell>
          <cell r="I67" t="str">
            <v>SÍ</v>
          </cell>
          <cell r="J67" t="str">
            <v>SÍ</v>
          </cell>
          <cell r="K67" t="str">
            <v>SÍ</v>
          </cell>
          <cell r="L67">
            <v>7</v>
          </cell>
          <cell r="M67">
            <v>1</v>
          </cell>
          <cell r="N67">
            <v>1</v>
          </cell>
        </row>
        <row r="68">
          <cell r="C68" t="str">
            <v>UNIVERSIDAD DE LA FRONTERA</v>
          </cell>
          <cell r="D68" t="str">
            <v>UNIV</v>
          </cell>
          <cell r="E68">
            <v>41605</v>
          </cell>
          <cell r="F68">
            <v>43431</v>
          </cell>
          <cell r="G68" t="str">
            <v>SÍ</v>
          </cell>
          <cell r="H68" t="str">
            <v>SÍ</v>
          </cell>
          <cell r="I68" t="str">
            <v>SÍ</v>
          </cell>
          <cell r="J68" t="str">
            <v>SÍ</v>
          </cell>
          <cell r="K68" t="str">
            <v>SÍ</v>
          </cell>
          <cell r="L68">
            <v>5</v>
          </cell>
          <cell r="M68">
            <v>1</v>
          </cell>
          <cell r="N68">
            <v>1</v>
          </cell>
        </row>
        <row r="69">
          <cell r="C69" t="str">
            <v>UNIVERSIDAD DE LA SERENA</v>
          </cell>
          <cell r="D69" t="str">
            <v>UNIV</v>
          </cell>
          <cell r="E69">
            <v>42724</v>
          </cell>
          <cell r="F69">
            <v>44185</v>
          </cell>
          <cell r="G69" t="str">
            <v>SÍ</v>
          </cell>
          <cell r="H69" t="str">
            <v>SÍ</v>
          </cell>
          <cell r="I69" t="str">
            <v>SÍ</v>
          </cell>
          <cell r="J69" t="str">
            <v>NO</v>
          </cell>
          <cell r="K69" t="str">
            <v>SÍ</v>
          </cell>
          <cell r="L69">
            <v>4</v>
          </cell>
          <cell r="M69">
            <v>0</v>
          </cell>
          <cell r="N69">
            <v>1</v>
          </cell>
        </row>
        <row r="70">
          <cell r="C70" t="str">
            <v>UNIVERSIDAD DE LAS AMÉRICAS</v>
          </cell>
          <cell r="D70" t="str">
            <v>UNIV</v>
          </cell>
          <cell r="E70">
            <v>42445</v>
          </cell>
          <cell r="F70">
            <v>43540</v>
          </cell>
          <cell r="G70" t="str">
            <v>SÍ</v>
          </cell>
          <cell r="H70" t="str">
            <v>SÍ</v>
          </cell>
          <cell r="I70" t="str">
            <v>NO</v>
          </cell>
          <cell r="J70" t="str">
            <v>NO</v>
          </cell>
          <cell r="K70" t="str">
            <v>NO</v>
          </cell>
          <cell r="L70">
            <v>3</v>
          </cell>
          <cell r="M70">
            <v>0</v>
          </cell>
          <cell r="N70">
            <v>0</v>
          </cell>
        </row>
        <row r="71">
          <cell r="C71" t="str">
            <v>UNIVERSIDAD DE LOS ANDES</v>
          </cell>
          <cell r="D71" t="str">
            <v>UNIV</v>
          </cell>
          <cell r="E71">
            <v>43082</v>
          </cell>
          <cell r="F71">
            <v>44908</v>
          </cell>
          <cell r="G71" t="str">
            <v>SÍ</v>
          </cell>
          <cell r="H71" t="str">
            <v>SÍ</v>
          </cell>
          <cell r="I71" t="str">
            <v>SÍ</v>
          </cell>
          <cell r="J71" t="str">
            <v>SÍ</v>
          </cell>
          <cell r="K71" t="str">
            <v>SÍ</v>
          </cell>
          <cell r="L71">
            <v>5</v>
          </cell>
          <cell r="M71">
            <v>1</v>
          </cell>
          <cell r="N71">
            <v>1</v>
          </cell>
        </row>
        <row r="72">
          <cell r="C72" t="str">
            <v>UNIVERSIDAD DE LOS LAGOS</v>
          </cell>
          <cell r="D72" t="str">
            <v>UNIV</v>
          </cell>
          <cell r="E72">
            <v>42716</v>
          </cell>
          <cell r="F72">
            <v>44177</v>
          </cell>
          <cell r="G72" t="str">
            <v>SÍ</v>
          </cell>
          <cell r="H72" t="str">
            <v>SÍ</v>
          </cell>
          <cell r="I72" t="str">
            <v>NO</v>
          </cell>
          <cell r="J72" t="str">
            <v>NO</v>
          </cell>
          <cell r="K72" t="str">
            <v>SÍ</v>
          </cell>
          <cell r="L72">
            <v>4</v>
          </cell>
          <cell r="M72">
            <v>0</v>
          </cell>
          <cell r="N72">
            <v>0</v>
          </cell>
        </row>
        <row r="73">
          <cell r="C73" t="str">
            <v>UNIVERSIDAD DE MAGALLANES</v>
          </cell>
          <cell r="D73" t="str">
            <v>UNIV</v>
          </cell>
          <cell r="E73">
            <v>42367</v>
          </cell>
          <cell r="F73">
            <v>43828</v>
          </cell>
          <cell r="G73" t="str">
            <v>SÍ</v>
          </cell>
          <cell r="H73" t="str">
            <v>SÍ</v>
          </cell>
          <cell r="I73" t="str">
            <v>SÍ</v>
          </cell>
          <cell r="J73" t="str">
            <v>NO</v>
          </cell>
          <cell r="K73" t="str">
            <v>SÍ</v>
          </cell>
          <cell r="L73">
            <v>4</v>
          </cell>
          <cell r="M73">
            <v>0</v>
          </cell>
          <cell r="N73">
            <v>1</v>
          </cell>
        </row>
        <row r="74">
          <cell r="C74" t="str">
            <v>UNIVERSIDAD DE PLAYA ANCHA DE CIENCIAS DE LA EDUCACIÓN</v>
          </cell>
          <cell r="D74" t="str">
            <v>UNIV</v>
          </cell>
          <cell r="E74">
            <v>42640</v>
          </cell>
          <cell r="F74">
            <v>44466</v>
          </cell>
          <cell r="G74" t="str">
            <v>SÍ</v>
          </cell>
          <cell r="H74" t="str">
            <v>SÍ</v>
          </cell>
          <cell r="I74" t="str">
            <v>NO</v>
          </cell>
          <cell r="J74" t="str">
            <v>NO</v>
          </cell>
          <cell r="K74" t="str">
            <v>SÍ</v>
          </cell>
          <cell r="L74">
            <v>5</v>
          </cell>
          <cell r="M74">
            <v>0</v>
          </cell>
          <cell r="N74">
            <v>0</v>
          </cell>
        </row>
        <row r="75">
          <cell r="C75" t="str">
            <v>UNIVERSIDAD DE SANTIAGO DE CHILE</v>
          </cell>
          <cell r="D75" t="str">
            <v>UNIV</v>
          </cell>
          <cell r="E75">
            <v>41914</v>
          </cell>
          <cell r="F75">
            <v>44106</v>
          </cell>
          <cell r="G75" t="str">
            <v>SÍ</v>
          </cell>
          <cell r="H75" t="str">
            <v>SÍ</v>
          </cell>
          <cell r="I75" t="str">
            <v>SÍ</v>
          </cell>
          <cell r="J75" t="str">
            <v>SÍ</v>
          </cell>
          <cell r="K75" t="str">
            <v>SÍ</v>
          </cell>
          <cell r="L75">
            <v>6</v>
          </cell>
          <cell r="M75">
            <v>1</v>
          </cell>
          <cell r="N75">
            <v>1</v>
          </cell>
        </row>
        <row r="76">
          <cell r="C76" t="str">
            <v>UNIVERSIDAD DE TALCA</v>
          </cell>
          <cell r="D76" t="str">
            <v>UNIV</v>
          </cell>
          <cell r="E76">
            <v>41969</v>
          </cell>
          <cell r="F76">
            <v>43795</v>
          </cell>
          <cell r="G76" t="str">
            <v>SÍ</v>
          </cell>
          <cell r="H76" t="str">
            <v>SÍ</v>
          </cell>
          <cell r="I76" t="str">
            <v>SÍ</v>
          </cell>
          <cell r="J76" t="str">
            <v>SÍ</v>
          </cell>
          <cell r="K76" t="str">
            <v>SÍ</v>
          </cell>
          <cell r="L76">
            <v>5</v>
          </cell>
          <cell r="M76">
            <v>1</v>
          </cell>
          <cell r="N76">
            <v>1</v>
          </cell>
        </row>
        <row r="77">
          <cell r="C77" t="str">
            <v>UNIVERSIDAD DE TARAPACÁ</v>
          </cell>
          <cell r="D77" t="str">
            <v>UNIV</v>
          </cell>
          <cell r="E77">
            <v>43061</v>
          </cell>
          <cell r="F77">
            <v>44887</v>
          </cell>
          <cell r="G77" t="str">
            <v>SÍ</v>
          </cell>
          <cell r="H77" t="str">
            <v>SÍ</v>
          </cell>
          <cell r="I77" t="str">
            <v>SÍ</v>
          </cell>
          <cell r="J77" t="str">
            <v>NO</v>
          </cell>
          <cell r="K77" t="str">
            <v>SÍ</v>
          </cell>
          <cell r="L77">
            <v>5</v>
          </cell>
          <cell r="M77">
            <v>0</v>
          </cell>
          <cell r="N77">
            <v>1</v>
          </cell>
        </row>
        <row r="78">
          <cell r="C78" t="str">
            <v>UNIVERSIDAD DE VALPARAÍSO</v>
          </cell>
          <cell r="D78" t="str">
            <v>UNIV</v>
          </cell>
          <cell r="E78">
            <v>43033</v>
          </cell>
          <cell r="F78">
            <v>44859</v>
          </cell>
          <cell r="G78" t="str">
            <v>SÍ</v>
          </cell>
          <cell r="H78" t="str">
            <v>SÍ</v>
          </cell>
          <cell r="I78" t="str">
            <v>SÍ</v>
          </cell>
          <cell r="J78" t="str">
            <v>SÍ</v>
          </cell>
          <cell r="K78" t="str">
            <v>SÍ</v>
          </cell>
          <cell r="L78">
            <v>5</v>
          </cell>
          <cell r="M78">
            <v>1</v>
          </cell>
          <cell r="N78">
            <v>1</v>
          </cell>
        </row>
        <row r="79">
          <cell r="C79" t="str">
            <v>UNIVERSIDAD DE VIÑA DEL MAR</v>
          </cell>
          <cell r="D79" t="str">
            <v>UNIV</v>
          </cell>
          <cell r="E79">
            <v>42346</v>
          </cell>
          <cell r="F79">
            <v>43807</v>
          </cell>
          <cell r="G79" t="str">
            <v>SÍ</v>
          </cell>
          <cell r="H79" t="str">
            <v>SÍ</v>
          </cell>
          <cell r="I79" t="str">
            <v>NO</v>
          </cell>
          <cell r="J79" t="str">
            <v>NO</v>
          </cell>
          <cell r="K79" t="str">
            <v>NO</v>
          </cell>
          <cell r="L79">
            <v>4</v>
          </cell>
          <cell r="M79">
            <v>0</v>
          </cell>
          <cell r="N79">
            <v>0</v>
          </cell>
        </row>
        <row r="80">
          <cell r="C80" t="str">
            <v>UNIVERSIDAD DEL BÍO-BÍO</v>
          </cell>
          <cell r="D80" t="str">
            <v>UNIV</v>
          </cell>
          <cell r="E80">
            <v>41878</v>
          </cell>
          <cell r="F80">
            <v>43704</v>
          </cell>
          <cell r="G80" t="str">
            <v>SÍ</v>
          </cell>
          <cell r="H80" t="str">
            <v>SÍ</v>
          </cell>
          <cell r="I80" t="str">
            <v>SÍ</v>
          </cell>
          <cell r="J80" t="str">
            <v>NO</v>
          </cell>
          <cell r="K80" t="str">
            <v>SÍ</v>
          </cell>
          <cell r="L80">
            <v>5</v>
          </cell>
          <cell r="M80">
            <v>0</v>
          </cell>
          <cell r="N80">
            <v>1</v>
          </cell>
        </row>
        <row r="81">
          <cell r="C81" t="str">
            <v>UNIVERSIDAD DEL DESARROLLO</v>
          </cell>
          <cell r="D81" t="str">
            <v>UNIV</v>
          </cell>
          <cell r="E81">
            <v>42719</v>
          </cell>
          <cell r="F81">
            <v>44545</v>
          </cell>
          <cell r="G81" t="str">
            <v>SÍ</v>
          </cell>
          <cell r="H81" t="str">
            <v>SÍ</v>
          </cell>
          <cell r="I81" t="str">
            <v>SÍ</v>
          </cell>
          <cell r="J81" t="str">
            <v>NO</v>
          </cell>
          <cell r="K81" t="str">
            <v>SÍ</v>
          </cell>
          <cell r="L81">
            <v>5</v>
          </cell>
          <cell r="M81">
            <v>0</v>
          </cell>
          <cell r="N81">
            <v>1</v>
          </cell>
        </row>
        <row r="82">
          <cell r="C82" t="str">
            <v>UNIVERSIDAD DIEGO PORTALES</v>
          </cell>
          <cell r="D82" t="str">
            <v>UNIV</v>
          </cell>
          <cell r="E82">
            <v>41570</v>
          </cell>
          <cell r="F82">
            <v>43396</v>
          </cell>
          <cell r="G82" t="str">
            <v>SÍ</v>
          </cell>
          <cell r="H82" t="str">
            <v>SÍ</v>
          </cell>
          <cell r="I82" t="str">
            <v>SÍ</v>
          </cell>
          <cell r="J82" t="str">
            <v>NO</v>
          </cell>
          <cell r="K82" t="str">
            <v>SÍ</v>
          </cell>
          <cell r="L82">
            <v>5</v>
          </cell>
          <cell r="M82">
            <v>0</v>
          </cell>
          <cell r="N82">
            <v>1</v>
          </cell>
        </row>
        <row r="83">
          <cell r="C83" t="str">
            <v>UNIVERSIDAD FINIS TERRAE</v>
          </cell>
          <cell r="D83" t="str">
            <v>UNIV</v>
          </cell>
          <cell r="E83">
            <v>42326</v>
          </cell>
          <cell r="F83">
            <v>43787</v>
          </cell>
          <cell r="G83" t="str">
            <v>SÍ</v>
          </cell>
          <cell r="H83" t="str">
            <v>SÍ</v>
          </cell>
          <cell r="I83" t="str">
            <v>NO</v>
          </cell>
          <cell r="J83" t="str">
            <v>NO</v>
          </cell>
          <cell r="K83" t="str">
            <v>SÍ</v>
          </cell>
          <cell r="L83">
            <v>4</v>
          </cell>
          <cell r="M83">
            <v>0</v>
          </cell>
          <cell r="N83">
            <v>0</v>
          </cell>
        </row>
        <row r="84">
          <cell r="C84" t="str">
            <v>UNIVERSIDAD IBEROAMERICANA DE CIENCIAS Y TECNOLOGÍA UNICIT</v>
          </cell>
          <cell r="D84" t="str">
            <v>UNIV</v>
          </cell>
          <cell r="E84">
            <v>42669</v>
          </cell>
          <cell r="F84">
            <v>43399</v>
          </cell>
          <cell r="G84" t="str">
            <v>SÍ</v>
          </cell>
          <cell r="H84" t="str">
            <v>SÍ</v>
          </cell>
          <cell r="I84" t="str">
            <v>NO</v>
          </cell>
          <cell r="J84" t="str">
            <v>NO</v>
          </cell>
          <cell r="K84" t="str">
            <v>NO</v>
          </cell>
          <cell r="L84">
            <v>2</v>
          </cell>
          <cell r="M84">
            <v>0</v>
          </cell>
          <cell r="N84">
            <v>0</v>
          </cell>
        </row>
        <row r="85">
          <cell r="C85" t="str">
            <v>UNIVERSIDAD SAN SEBASTIÁN</v>
          </cell>
          <cell r="D85" t="str">
            <v>UNIV</v>
          </cell>
          <cell r="E85">
            <v>42626</v>
          </cell>
          <cell r="F85">
            <v>44452</v>
          </cell>
          <cell r="G85" t="str">
            <v>SÍ</v>
          </cell>
          <cell r="H85" t="str">
            <v>SÍ</v>
          </cell>
          <cell r="I85" t="str">
            <v>NO</v>
          </cell>
          <cell r="J85" t="str">
            <v>NO</v>
          </cell>
          <cell r="K85" t="str">
            <v>SÍ</v>
          </cell>
          <cell r="L85">
            <v>5</v>
          </cell>
          <cell r="M85">
            <v>0</v>
          </cell>
          <cell r="N85">
            <v>0</v>
          </cell>
        </row>
        <row r="86">
          <cell r="C86" t="str">
            <v>UNIVERSIDAD METROPOLITANA DE CIENCIAS DE LA EDUCACIÓN</v>
          </cell>
          <cell r="D86" t="str">
            <v>UNIV</v>
          </cell>
          <cell r="E86">
            <v>42733</v>
          </cell>
          <cell r="F86">
            <v>43828</v>
          </cell>
          <cell r="G86" t="str">
            <v>SÍ</v>
          </cell>
          <cell r="H86" t="str">
            <v>SÍ</v>
          </cell>
          <cell r="I86" t="str">
            <v>NO</v>
          </cell>
          <cell r="J86" t="str">
            <v>NO</v>
          </cell>
          <cell r="K86" t="str">
            <v>NO</v>
          </cell>
          <cell r="L86">
            <v>3</v>
          </cell>
          <cell r="M86">
            <v>0</v>
          </cell>
          <cell r="N86">
            <v>0</v>
          </cell>
        </row>
        <row r="87">
          <cell r="C87" t="str">
            <v>UNIVERSIDAD TÉCNICA FEDERICO SANTA MARÍA</v>
          </cell>
          <cell r="D87" t="str">
            <v>UNIV</v>
          </cell>
          <cell r="E87">
            <v>42733</v>
          </cell>
          <cell r="F87">
            <v>44924</v>
          </cell>
          <cell r="G87" t="str">
            <v>SÍ</v>
          </cell>
          <cell r="H87" t="str">
            <v>SÍ</v>
          </cell>
          <cell r="I87" t="str">
            <v>SÍ</v>
          </cell>
          <cell r="J87" t="str">
            <v>SÍ</v>
          </cell>
          <cell r="K87" t="str">
            <v>SÍ</v>
          </cell>
          <cell r="L87">
            <v>6</v>
          </cell>
          <cell r="M87">
            <v>1</v>
          </cell>
          <cell r="N87">
            <v>1</v>
          </cell>
        </row>
        <row r="88">
          <cell r="C88" t="str">
            <v>UNIVERSIDAD TECNOLÓGICA DE CHILE INACAP</v>
          </cell>
          <cell r="D88" t="str">
            <v>UNIV</v>
          </cell>
          <cell r="E88">
            <v>42700</v>
          </cell>
          <cell r="F88">
            <v>43430</v>
          </cell>
          <cell r="G88" t="str">
            <v>SÍ</v>
          </cell>
          <cell r="H88" t="str">
            <v>SÍ</v>
          </cell>
          <cell r="I88" t="str">
            <v>NO</v>
          </cell>
          <cell r="J88" t="str">
            <v>NO</v>
          </cell>
          <cell r="K88" t="str">
            <v>SÍ</v>
          </cell>
          <cell r="L88">
            <v>2</v>
          </cell>
          <cell r="M88">
            <v>0</v>
          </cell>
          <cell r="N88">
            <v>0</v>
          </cell>
        </row>
        <row r="89">
          <cell r="C89" t="str">
            <v>UNIVERSIDAD TECNOLÓGICA METROPOLITANA</v>
          </cell>
          <cell r="D89" t="str">
            <v>UNIV</v>
          </cell>
          <cell r="E89">
            <v>42734</v>
          </cell>
          <cell r="F89">
            <v>44195</v>
          </cell>
          <cell r="G89" t="str">
            <v>SÍ</v>
          </cell>
          <cell r="H89" t="str">
            <v>SÍ</v>
          </cell>
          <cell r="I89" t="str">
            <v>NO</v>
          </cell>
          <cell r="J89" t="str">
            <v>NO</v>
          </cell>
          <cell r="K89" t="str">
            <v>SÍ</v>
          </cell>
          <cell r="L89">
            <v>4</v>
          </cell>
          <cell r="M89">
            <v>0</v>
          </cell>
          <cell r="N89">
            <v>0</v>
          </cell>
        </row>
        <row r="90">
          <cell r="C90" t="str">
            <v>UNIVERSIDAD SANTO TOMÁS</v>
          </cell>
          <cell r="D90" t="str">
            <v>UNIV</v>
          </cell>
          <cell r="E90">
            <v>43078</v>
          </cell>
          <cell r="F90">
            <v>44174</v>
          </cell>
          <cell r="G90" t="str">
            <v>SÍ</v>
          </cell>
          <cell r="H90" t="str">
            <v>SÍ</v>
          </cell>
          <cell r="I90" t="str">
            <v>NO</v>
          </cell>
          <cell r="J90" t="str">
            <v>NO</v>
          </cell>
          <cell r="K90" t="str">
            <v>NO</v>
          </cell>
          <cell r="L90">
            <v>3</v>
          </cell>
          <cell r="M90">
            <v>0</v>
          </cell>
          <cell r="N90">
            <v>0</v>
          </cell>
        </row>
        <row r="91">
          <cell r="C91" t="str">
            <v>UNIVERSIDAD MAYOR</v>
          </cell>
          <cell r="D91" t="str">
            <v>UNIV</v>
          </cell>
          <cell r="E91">
            <v>42144</v>
          </cell>
          <cell r="F91">
            <v>43971</v>
          </cell>
          <cell r="G91" t="str">
            <v>SÍ</v>
          </cell>
          <cell r="H91" t="str">
            <v>SÍ</v>
          </cell>
          <cell r="I91" t="str">
            <v>NO</v>
          </cell>
          <cell r="J91" t="str">
            <v>NO</v>
          </cell>
          <cell r="K91" t="str">
            <v>SÍ</v>
          </cell>
          <cell r="L91">
            <v>5</v>
          </cell>
          <cell r="M91">
            <v>0</v>
          </cell>
          <cell r="N91">
            <v>0</v>
          </cell>
        </row>
        <row r="92">
          <cell r="C92" t="str">
            <v>UNIVERSIDAD GABRIELA MISTRAL</v>
          </cell>
          <cell r="D92" t="str">
            <v>UNIV</v>
          </cell>
          <cell r="E92">
            <v>42634</v>
          </cell>
          <cell r="F92">
            <v>43364</v>
          </cell>
          <cell r="G92" t="str">
            <v>SÍ</v>
          </cell>
          <cell r="H92" t="str">
            <v>SÍ</v>
          </cell>
          <cell r="I92" t="str">
            <v>NO</v>
          </cell>
          <cell r="J92" t="str">
            <v>NO</v>
          </cell>
          <cell r="K92" t="str">
            <v>NO</v>
          </cell>
          <cell r="L92">
            <v>2</v>
          </cell>
          <cell r="M92">
            <v>0</v>
          </cell>
          <cell r="N92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 c.1)"/>
    </sheetNames>
    <sheetDataSet>
      <sheetData sheetId="0">
        <row r="2">
          <cell r="B2" t="str">
            <v>UNIVERSIDAD GABRIELA MISTRAL</v>
          </cell>
          <cell r="C2">
            <v>8</v>
          </cell>
          <cell r="D2">
            <v>23</v>
          </cell>
          <cell r="E2">
            <v>0</v>
          </cell>
          <cell r="F2">
            <v>48</v>
          </cell>
        </row>
        <row r="3">
          <cell r="B3" t="str">
            <v>UNIVERSIDAD FINIS TERRAE</v>
          </cell>
          <cell r="C3">
            <v>22</v>
          </cell>
          <cell r="D3">
            <v>53</v>
          </cell>
          <cell r="E3">
            <v>4</v>
          </cell>
          <cell r="F3">
            <v>105</v>
          </cell>
        </row>
        <row r="4">
          <cell r="B4" t="str">
            <v>UNIVERSIDAD DIEGO PORTALES</v>
          </cell>
          <cell r="C4">
            <v>160</v>
          </cell>
          <cell r="D4">
            <v>134</v>
          </cell>
          <cell r="E4">
            <v>21</v>
          </cell>
          <cell r="F4">
            <v>381</v>
          </cell>
        </row>
        <row r="5">
          <cell r="B5" t="str">
            <v>UNIVERSIDAD CENTRAL DE CHILE</v>
          </cell>
          <cell r="C5">
            <v>62</v>
          </cell>
          <cell r="D5">
            <v>146</v>
          </cell>
          <cell r="E5">
            <v>1</v>
          </cell>
          <cell r="F5">
            <v>266</v>
          </cell>
        </row>
        <row r="6">
          <cell r="B6" t="str">
            <v>UNIVERSIDAD BOLIVARIANA</v>
          </cell>
          <cell r="C6">
            <v>1</v>
          </cell>
          <cell r="D6">
            <v>7</v>
          </cell>
          <cell r="E6">
            <v>3</v>
          </cell>
          <cell r="F6">
            <v>26</v>
          </cell>
        </row>
        <row r="7">
          <cell r="B7" t="str">
            <v>UNIVERSIDAD PEDRO DE VALDIVIA</v>
          </cell>
          <cell r="C7">
            <v>0</v>
          </cell>
          <cell r="D7">
            <v>25</v>
          </cell>
          <cell r="E7">
            <v>2</v>
          </cell>
          <cell r="F7">
            <v>55</v>
          </cell>
        </row>
        <row r="8">
          <cell r="B8" t="str">
            <v>UNIVERSIDAD MAYOR</v>
          </cell>
          <cell r="C8">
            <v>42</v>
          </cell>
          <cell r="D8">
            <v>229</v>
          </cell>
          <cell r="E8">
            <v>27</v>
          </cell>
          <cell r="F8">
            <v>660</v>
          </cell>
        </row>
        <row r="9">
          <cell r="B9" t="str">
            <v>UNIVERSIDAD ACADEMIA DE HUMANISMO CRISTIANO</v>
          </cell>
          <cell r="C9">
            <v>9</v>
          </cell>
          <cell r="D9">
            <v>27</v>
          </cell>
          <cell r="E9">
            <v>9</v>
          </cell>
          <cell r="F9">
            <v>53</v>
          </cell>
        </row>
        <row r="10">
          <cell r="B10" t="str">
            <v>UNIVERSIDAD SANTO TOMAS</v>
          </cell>
          <cell r="C10">
            <v>60</v>
          </cell>
          <cell r="D10">
            <v>276</v>
          </cell>
          <cell r="E10">
            <v>1</v>
          </cell>
          <cell r="F10">
            <v>479</v>
          </cell>
        </row>
        <row r="11">
          <cell r="B11" t="str">
            <v>UNIVERSIDAD LA REPUBLICA</v>
          </cell>
          <cell r="C11">
            <v>1</v>
          </cell>
          <cell r="D11">
            <v>12</v>
          </cell>
          <cell r="E11">
            <v>0</v>
          </cell>
          <cell r="F11">
            <v>43</v>
          </cell>
        </row>
        <row r="12">
          <cell r="B12" t="str">
            <v>UNIVERSIDAD SEK</v>
          </cell>
          <cell r="C12">
            <v>7</v>
          </cell>
          <cell r="D12">
            <v>22</v>
          </cell>
          <cell r="E12">
            <v>0</v>
          </cell>
          <cell r="F12">
            <v>47</v>
          </cell>
        </row>
        <row r="13">
          <cell r="B13" t="str">
            <v>UNIVERSIDAD DE LAS AMERICAS</v>
          </cell>
          <cell r="C13">
            <v>15</v>
          </cell>
          <cell r="D13">
            <v>213</v>
          </cell>
          <cell r="E13">
            <v>1</v>
          </cell>
          <cell r="F13">
            <v>520</v>
          </cell>
        </row>
        <row r="14">
          <cell r="B14" t="str">
            <v>UNIVERSIDAD ANDRES BELLO</v>
          </cell>
          <cell r="C14">
            <v>299</v>
          </cell>
          <cell r="D14">
            <v>383</v>
          </cell>
          <cell r="E14">
            <v>52</v>
          </cell>
          <cell r="F14">
            <v>961</v>
          </cell>
        </row>
        <row r="15">
          <cell r="B15" t="str">
            <v>UNIVERSIDAD DE VIÑA DEL MAR</v>
          </cell>
          <cell r="C15">
            <v>15</v>
          </cell>
          <cell r="D15">
            <v>80</v>
          </cell>
          <cell r="E15">
            <v>1</v>
          </cell>
          <cell r="F15">
            <v>186</v>
          </cell>
        </row>
        <row r="16">
          <cell r="B16" t="str">
            <v>UNIVERSIDAD ADOLFO IBAÑEZ</v>
          </cell>
          <cell r="C16">
            <v>197</v>
          </cell>
          <cell r="D16">
            <v>72</v>
          </cell>
          <cell r="E16">
            <v>0</v>
          </cell>
          <cell r="F16">
            <v>291</v>
          </cell>
        </row>
        <row r="17">
          <cell r="B17" t="str">
            <v>UNIVERSIDAD IBEROAMERICANA DE CIENCIAS Y TECNOLOGIA, UNICYT</v>
          </cell>
          <cell r="C17">
            <v>3</v>
          </cell>
          <cell r="D17">
            <v>20</v>
          </cell>
          <cell r="E17">
            <v>0</v>
          </cell>
          <cell r="F17">
            <v>75</v>
          </cell>
        </row>
        <row r="18">
          <cell r="B18" t="str">
            <v>UNIVERSIDAD DE ARTES, CIENCIAS Y COMUNICACION - UNIACC</v>
          </cell>
          <cell r="C18">
            <v>1</v>
          </cell>
          <cell r="D18">
            <v>24</v>
          </cell>
          <cell r="E18">
            <v>0</v>
          </cell>
          <cell r="F18">
            <v>43</v>
          </cell>
        </row>
        <row r="19">
          <cell r="B19" t="str">
            <v>UNIVERSIDAD DEL MAR</v>
          </cell>
          <cell r="C19">
            <v>0</v>
          </cell>
          <cell r="D19">
            <v>1</v>
          </cell>
          <cell r="E19">
            <v>0</v>
          </cell>
          <cell r="F19">
            <v>1</v>
          </cell>
        </row>
        <row r="20">
          <cell r="B20" t="str">
            <v>UNIVERSIDAD UCINF</v>
          </cell>
          <cell r="C20">
            <v>0</v>
          </cell>
          <cell r="D20">
            <v>2</v>
          </cell>
          <cell r="E20">
            <v>0</v>
          </cell>
          <cell r="F20">
            <v>2</v>
          </cell>
        </row>
        <row r="21">
          <cell r="B21" t="str">
            <v>UNIVERSIDAD AUTONOMA DE CHILE</v>
          </cell>
          <cell r="C21">
            <v>84</v>
          </cell>
          <cell r="D21">
            <v>219</v>
          </cell>
          <cell r="E21">
            <v>9</v>
          </cell>
          <cell r="F21">
            <v>453</v>
          </cell>
        </row>
        <row r="22">
          <cell r="B22" t="str">
            <v>UNIVERSIDAD DE LOS ANDES</v>
          </cell>
          <cell r="C22">
            <v>117</v>
          </cell>
          <cell r="D22">
            <v>43</v>
          </cell>
          <cell r="E22">
            <v>7</v>
          </cell>
          <cell r="F22">
            <v>191</v>
          </cell>
        </row>
        <row r="23">
          <cell r="B23" t="str">
            <v>UNIVERSIDAD ADVENTISTA DE CHILE</v>
          </cell>
          <cell r="C23">
            <v>12</v>
          </cell>
          <cell r="D23">
            <v>61</v>
          </cell>
          <cell r="E23">
            <v>0</v>
          </cell>
          <cell r="F23">
            <v>111</v>
          </cell>
        </row>
        <row r="24">
          <cell r="B24" t="str">
            <v>UNIVERSIDAD SAN SEBASTIAN</v>
          </cell>
          <cell r="C24">
            <v>71</v>
          </cell>
          <cell r="D24">
            <v>299</v>
          </cell>
          <cell r="E24">
            <v>31</v>
          </cell>
          <cell r="F24">
            <v>620</v>
          </cell>
        </row>
        <row r="25">
          <cell r="B25" t="str">
            <v>UNIVERSIDAD DE ARTE Y CIENCIAS SOCIALES ARCIS</v>
          </cell>
          <cell r="C25">
            <v>0</v>
          </cell>
          <cell r="D25">
            <v>4</v>
          </cell>
          <cell r="E25">
            <v>0</v>
          </cell>
          <cell r="F25">
            <v>12</v>
          </cell>
        </row>
        <row r="26">
          <cell r="B26" t="str">
            <v>UNIVERSIDAD CATOLICA SILVA HENRIQUEZ</v>
          </cell>
          <cell r="C26">
            <v>44</v>
          </cell>
          <cell r="D26">
            <v>61</v>
          </cell>
          <cell r="E26">
            <v>0</v>
          </cell>
          <cell r="F26">
            <v>132</v>
          </cell>
        </row>
        <row r="27">
          <cell r="B27" t="str">
            <v>UNIVERSIDAD DEL DESARROLLO</v>
          </cell>
          <cell r="C27">
            <v>83</v>
          </cell>
          <cell r="D27">
            <v>126</v>
          </cell>
          <cell r="E27">
            <v>28</v>
          </cell>
          <cell r="F27">
            <v>324</v>
          </cell>
        </row>
        <row r="28">
          <cell r="B28" t="str">
            <v>UNIVERSIDAD DE ACONCAGUA</v>
          </cell>
          <cell r="C28">
            <v>2</v>
          </cell>
          <cell r="D28">
            <v>10</v>
          </cell>
          <cell r="E28">
            <v>0</v>
          </cell>
          <cell r="F28">
            <v>38</v>
          </cell>
        </row>
        <row r="29">
          <cell r="B29" t="str">
            <v>UNIVERSIDAD DEL PACIFICO</v>
          </cell>
          <cell r="C29">
            <v>5</v>
          </cell>
          <cell r="D29">
            <v>42</v>
          </cell>
          <cell r="E29">
            <v>0</v>
          </cell>
          <cell r="F29">
            <v>74</v>
          </cell>
        </row>
        <row r="30">
          <cell r="B30" t="str">
            <v>UNIVERSIDAD LOS LEONES</v>
          </cell>
          <cell r="C30">
            <v>0</v>
          </cell>
          <cell r="D30">
            <v>1</v>
          </cell>
          <cell r="E30">
            <v>0</v>
          </cell>
          <cell r="F30">
            <v>4</v>
          </cell>
        </row>
        <row r="31">
          <cell r="B31" t="str">
            <v>UNIVERSIDAD BERNARDO OHIGGINS</v>
          </cell>
          <cell r="C31">
            <v>32</v>
          </cell>
          <cell r="D31">
            <v>86</v>
          </cell>
          <cell r="E31">
            <v>0</v>
          </cell>
          <cell r="F31">
            <v>203</v>
          </cell>
        </row>
        <row r="32">
          <cell r="B32" t="str">
            <v>UNIVERSIDAD TECNOLOGICA DE CHILE INACAP</v>
          </cell>
          <cell r="C32">
            <v>0</v>
          </cell>
          <cell r="D32">
            <v>8</v>
          </cell>
          <cell r="E32">
            <v>0</v>
          </cell>
          <cell r="F32">
            <v>21</v>
          </cell>
        </row>
        <row r="33">
          <cell r="B33" t="str">
            <v>UNIVERSIDAD MIGUEL DE CERVANTES</v>
          </cell>
          <cell r="C33">
            <v>1</v>
          </cell>
          <cell r="D33">
            <v>12</v>
          </cell>
          <cell r="E33">
            <v>0</v>
          </cell>
          <cell r="F33">
            <v>18</v>
          </cell>
        </row>
        <row r="34">
          <cell r="B34" t="str">
            <v>UNIVERSIDAD ALBERTO HURTADO</v>
          </cell>
          <cell r="C34">
            <v>102</v>
          </cell>
          <cell r="D34">
            <v>36</v>
          </cell>
          <cell r="E34">
            <v>0</v>
          </cell>
          <cell r="F34">
            <v>152</v>
          </cell>
        </row>
        <row r="35">
          <cell r="B35" t="str">
            <v>UNIVERSIDAD DE CHILE</v>
          </cell>
          <cell r="C35">
            <v>1031</v>
          </cell>
          <cell r="D35">
            <v>228</v>
          </cell>
          <cell r="E35">
            <v>27</v>
          </cell>
          <cell r="F35">
            <v>1559</v>
          </cell>
        </row>
        <row r="36">
          <cell r="B36" t="str">
            <v>UNIVERSIDAD DE SANTIAGO DE CHILE</v>
          </cell>
          <cell r="C36">
            <v>405</v>
          </cell>
          <cell r="D36">
            <v>133</v>
          </cell>
          <cell r="E36">
            <v>0</v>
          </cell>
          <cell r="F36">
            <v>640</v>
          </cell>
        </row>
        <row r="37">
          <cell r="B37" t="str">
            <v>UNIVERSIDAD DE VALPARAISO</v>
          </cell>
          <cell r="C37">
            <v>216</v>
          </cell>
          <cell r="D37">
            <v>239</v>
          </cell>
          <cell r="E37">
            <v>9</v>
          </cell>
          <cell r="F37">
            <v>568</v>
          </cell>
        </row>
        <row r="38">
          <cell r="B38" t="str">
            <v>UNIVERSIDAD DE ANTOFAGASTA</v>
          </cell>
          <cell r="C38">
            <v>135</v>
          </cell>
          <cell r="D38">
            <v>106</v>
          </cell>
          <cell r="E38">
            <v>7</v>
          </cell>
          <cell r="F38">
            <v>315</v>
          </cell>
        </row>
        <row r="39">
          <cell r="B39" t="str">
            <v>UNIVERSIDAD DE LA SERENA</v>
          </cell>
          <cell r="C39">
            <v>111</v>
          </cell>
          <cell r="D39">
            <v>62</v>
          </cell>
          <cell r="E39">
            <v>0</v>
          </cell>
          <cell r="F39">
            <v>232</v>
          </cell>
        </row>
        <row r="40">
          <cell r="B40" t="str">
            <v>UNIVERSIDAD DEL BIO-BIO</v>
          </cell>
          <cell r="C40">
            <v>218</v>
          </cell>
          <cell r="D40">
            <v>185</v>
          </cell>
          <cell r="E40">
            <v>0</v>
          </cell>
          <cell r="F40">
            <v>461</v>
          </cell>
        </row>
        <row r="41">
          <cell r="B41" t="str">
            <v>UNIVERSIDAD DE LA FRONTERA</v>
          </cell>
          <cell r="C41">
            <v>185</v>
          </cell>
          <cell r="D41">
            <v>72</v>
          </cell>
          <cell r="E41">
            <v>1</v>
          </cell>
          <cell r="F41">
            <v>320</v>
          </cell>
        </row>
        <row r="42">
          <cell r="B42" t="str">
            <v>UNIVERSIDAD DE MAGALLANES</v>
          </cell>
          <cell r="C42">
            <v>57</v>
          </cell>
          <cell r="D42">
            <v>63</v>
          </cell>
          <cell r="E42">
            <v>0</v>
          </cell>
          <cell r="F42">
            <v>189</v>
          </cell>
        </row>
        <row r="43">
          <cell r="B43" t="str">
            <v>UNIVERSIDAD DE TALCA</v>
          </cell>
          <cell r="C43">
            <v>213</v>
          </cell>
          <cell r="D43">
            <v>139</v>
          </cell>
          <cell r="E43">
            <v>1</v>
          </cell>
          <cell r="F43">
            <v>364</v>
          </cell>
        </row>
        <row r="44">
          <cell r="B44" t="str">
            <v>UNIVERSIDAD DE ATACAMA</v>
          </cell>
          <cell r="C44">
            <v>70</v>
          </cell>
          <cell r="D44">
            <v>68</v>
          </cell>
          <cell r="E44">
            <v>0</v>
          </cell>
          <cell r="F44">
            <v>311</v>
          </cell>
        </row>
        <row r="45">
          <cell r="B45" t="str">
            <v>UNIVERSIDAD DE TARAPACA</v>
          </cell>
          <cell r="C45">
            <v>124</v>
          </cell>
          <cell r="D45">
            <v>153</v>
          </cell>
          <cell r="E45">
            <v>1</v>
          </cell>
          <cell r="F45">
            <v>319</v>
          </cell>
        </row>
        <row r="46">
          <cell r="B46" t="str">
            <v>UNIVERSIDAD ARTURO PRAT</v>
          </cell>
          <cell r="C46">
            <v>62</v>
          </cell>
          <cell r="D46">
            <v>124</v>
          </cell>
          <cell r="E46">
            <v>0</v>
          </cell>
          <cell r="F46">
            <v>273</v>
          </cell>
        </row>
        <row r="47">
          <cell r="B47" t="str">
            <v>UNIVERSIDAD METROPOLITANA DE CIENCIAS DE LA EDUCACION</v>
          </cell>
          <cell r="C47">
            <v>60</v>
          </cell>
          <cell r="D47">
            <v>118</v>
          </cell>
          <cell r="E47">
            <v>0</v>
          </cell>
          <cell r="F47">
            <v>240</v>
          </cell>
        </row>
        <row r="48">
          <cell r="B48" t="str">
            <v>UNIVERSIDAD DE PLAYA ANCHA DE CIENCIAS DE LA EDUCACION</v>
          </cell>
          <cell r="C48">
            <v>110</v>
          </cell>
          <cell r="D48">
            <v>146</v>
          </cell>
          <cell r="E48">
            <v>0</v>
          </cell>
          <cell r="F48">
            <v>314</v>
          </cell>
        </row>
        <row r="49">
          <cell r="B49" t="str">
            <v>UNIVERSIDAD DE LOS LAGOS</v>
          </cell>
          <cell r="C49">
            <v>89</v>
          </cell>
          <cell r="D49">
            <v>132</v>
          </cell>
          <cell r="E49">
            <v>0</v>
          </cell>
          <cell r="F49">
            <v>294</v>
          </cell>
        </row>
        <row r="50">
          <cell r="B50" t="str">
            <v>UNIVERSIDAD TECNOLOGICA METROPOLITANA</v>
          </cell>
          <cell r="C50">
            <v>47</v>
          </cell>
          <cell r="D50">
            <v>94</v>
          </cell>
          <cell r="E50">
            <v>0</v>
          </cell>
          <cell r="F50">
            <v>195</v>
          </cell>
        </row>
        <row r="51">
          <cell r="B51" t="str">
            <v>PONTIFICIA UNIVERSIDAD CATOLICA DE CHILE</v>
          </cell>
          <cell r="C51">
            <v>903</v>
          </cell>
          <cell r="D51">
            <v>247</v>
          </cell>
          <cell r="E51">
            <v>319</v>
          </cell>
          <cell r="F51">
            <v>1561</v>
          </cell>
        </row>
        <row r="52">
          <cell r="B52" t="str">
            <v>UNIVERSIDAD DE CONCEPCION</v>
          </cell>
          <cell r="C52">
            <v>693</v>
          </cell>
          <cell r="D52">
            <v>307</v>
          </cell>
          <cell r="E52">
            <v>2</v>
          </cell>
          <cell r="F52">
            <v>1127</v>
          </cell>
        </row>
        <row r="53">
          <cell r="B53" t="str">
            <v>UNIVERSIDAD TECNICA FEDERICO SANTA MARIA</v>
          </cell>
          <cell r="C53">
            <v>230</v>
          </cell>
          <cell r="D53">
            <v>101</v>
          </cell>
          <cell r="E53">
            <v>0</v>
          </cell>
          <cell r="F53">
            <v>444</v>
          </cell>
        </row>
        <row r="54">
          <cell r="B54" t="str">
            <v>PONTIFICIA UNIVERSIDAD CATOLICA DE VALPARAISO</v>
          </cell>
          <cell r="C54">
            <v>362</v>
          </cell>
          <cell r="D54">
            <v>91</v>
          </cell>
          <cell r="E54">
            <v>0</v>
          </cell>
          <cell r="F54">
            <v>504</v>
          </cell>
        </row>
        <row r="55">
          <cell r="B55" t="str">
            <v>UNIVERSIDAD AUSTRAL DE CHILE</v>
          </cell>
          <cell r="C55">
            <v>356</v>
          </cell>
          <cell r="D55">
            <v>207</v>
          </cell>
          <cell r="E55">
            <v>11</v>
          </cell>
          <cell r="F55">
            <v>721</v>
          </cell>
        </row>
        <row r="56">
          <cell r="B56" t="str">
            <v>UNIVERSIDAD CATOLICA DEL NORTE</v>
          </cell>
          <cell r="C56">
            <v>206</v>
          </cell>
          <cell r="D56">
            <v>128</v>
          </cell>
          <cell r="E56">
            <v>3</v>
          </cell>
          <cell r="F56">
            <v>434</v>
          </cell>
        </row>
        <row r="57">
          <cell r="B57" t="str">
            <v>UNIVERSIDAD CATOLICA DEL MAULE</v>
          </cell>
          <cell r="C57">
            <v>128</v>
          </cell>
          <cell r="D57">
            <v>123</v>
          </cell>
          <cell r="E57">
            <v>2</v>
          </cell>
          <cell r="F57">
            <v>297</v>
          </cell>
        </row>
        <row r="58">
          <cell r="B58" t="str">
            <v>UNIVERSIDAD CATOLICA DE LA SANTISIMA CONCEPCION</v>
          </cell>
          <cell r="C58">
            <v>122</v>
          </cell>
          <cell r="D58">
            <v>108</v>
          </cell>
          <cell r="E58">
            <v>4</v>
          </cell>
          <cell r="F58">
            <v>284</v>
          </cell>
        </row>
        <row r="59">
          <cell r="B59" t="str">
            <v>UNIVERSIDAD CATOLICA DE TEMUCO</v>
          </cell>
          <cell r="C59">
            <v>142</v>
          </cell>
          <cell r="D59">
            <v>135</v>
          </cell>
          <cell r="E59">
            <v>0</v>
          </cell>
          <cell r="F59">
            <v>332</v>
          </cell>
        </row>
        <row r="60">
          <cell r="B60" t="str">
            <v>UNIVERSIDAD CHILENO BRITANICA DE CULTURA</v>
          </cell>
          <cell r="C60">
            <v>2</v>
          </cell>
          <cell r="D60">
            <v>3</v>
          </cell>
          <cell r="E60">
            <v>0</v>
          </cell>
          <cell r="F60">
            <v>6</v>
          </cell>
        </row>
        <row r="61">
          <cell r="B61" t="str">
            <v>UNIVERSIDAD DE O'HIGGINS</v>
          </cell>
          <cell r="C61">
            <v>22</v>
          </cell>
          <cell r="D61">
            <v>4</v>
          </cell>
          <cell r="E61">
            <v>0</v>
          </cell>
          <cell r="F61">
            <v>27</v>
          </cell>
        </row>
        <row r="62">
          <cell r="B62" t="str">
            <v>UNIVERSIDAD DE AYSÉN</v>
          </cell>
          <cell r="C62">
            <v>7</v>
          </cell>
          <cell r="D62">
            <v>3</v>
          </cell>
          <cell r="E62">
            <v>1</v>
          </cell>
          <cell r="F62">
            <v>14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6"/>
      <sheetName val="Hoja1"/>
      <sheetName val="mat_web_2017_131217_v2"/>
      <sheetName val="Programas Pedagogía"/>
      <sheetName val="Matricula_pedagogias_año"/>
      <sheetName val="Matrícula_total_1eraño"/>
      <sheetName val="Matricula_total"/>
      <sheetName val="Areas Pedagogías"/>
      <sheetName val="Acreditaciones postgrado1er año"/>
      <sheetName val="Acreditaciones Postgrado total"/>
      <sheetName val="Hoja8"/>
    </sheetNames>
    <sheetDataSet>
      <sheetData sheetId="0"/>
      <sheetData sheetId="1"/>
      <sheetData sheetId="2"/>
      <sheetData sheetId="3"/>
      <sheetData sheetId="4"/>
      <sheetData sheetId="5">
        <row r="26">
          <cell r="C26" t="str">
            <v>PUC</v>
          </cell>
        </row>
      </sheetData>
      <sheetData sheetId="6">
        <row r="8">
          <cell r="C8" t="str">
            <v>UAP</v>
          </cell>
          <cell r="D8">
            <v>9618</v>
          </cell>
        </row>
        <row r="9">
          <cell r="C9" t="str">
            <v>ANT</v>
          </cell>
          <cell r="D9">
            <v>7275</v>
          </cell>
        </row>
        <row r="10">
          <cell r="C10" t="str">
            <v>ATA</v>
          </cell>
          <cell r="D10">
            <v>6899</v>
          </cell>
        </row>
        <row r="11">
          <cell r="C11" t="str">
            <v>URY</v>
          </cell>
          <cell r="D11">
            <v>93</v>
          </cell>
        </row>
        <row r="12">
          <cell r="C12" t="str">
            <v>UCH</v>
          </cell>
          <cell r="D12">
            <v>28183</v>
          </cell>
        </row>
        <row r="13">
          <cell r="C13" t="str">
            <v>FRO</v>
          </cell>
          <cell r="D13">
            <v>9682</v>
          </cell>
        </row>
        <row r="14">
          <cell r="C14" t="str">
            <v>ULS</v>
          </cell>
          <cell r="D14">
            <v>7411</v>
          </cell>
        </row>
        <row r="15">
          <cell r="C15" t="str">
            <v>ULA</v>
          </cell>
          <cell r="D15">
            <v>8320</v>
          </cell>
        </row>
        <row r="16">
          <cell r="C16" t="str">
            <v>MAG</v>
          </cell>
          <cell r="D16">
            <v>4102</v>
          </cell>
        </row>
        <row r="17">
          <cell r="C17" t="str">
            <v>URO</v>
          </cell>
          <cell r="D17">
            <v>435</v>
          </cell>
        </row>
        <row r="18">
          <cell r="C18" t="str">
            <v>UPA</v>
          </cell>
          <cell r="D18">
            <v>7795</v>
          </cell>
        </row>
        <row r="19">
          <cell r="C19" t="str">
            <v>USA</v>
          </cell>
          <cell r="D19">
            <v>18965</v>
          </cell>
        </row>
        <row r="20">
          <cell r="C20" t="str">
            <v>TAL</v>
          </cell>
          <cell r="D20">
            <v>9946</v>
          </cell>
        </row>
        <row r="21">
          <cell r="C21" t="str">
            <v>UTA</v>
          </cell>
          <cell r="D21">
            <v>8452</v>
          </cell>
        </row>
        <row r="22">
          <cell r="C22" t="str">
            <v>UVA</v>
          </cell>
          <cell r="D22">
            <v>14936</v>
          </cell>
        </row>
        <row r="23">
          <cell r="C23" t="str">
            <v>UBB</v>
          </cell>
          <cell r="D23">
            <v>11419</v>
          </cell>
        </row>
        <row r="24">
          <cell r="C24" t="str">
            <v>UMC</v>
          </cell>
          <cell r="D24">
            <v>4701</v>
          </cell>
        </row>
        <row r="25">
          <cell r="C25" t="str">
            <v>UTM</v>
          </cell>
          <cell r="D25">
            <v>8294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38"/>
  <sheetViews>
    <sheetView tabSelected="1" workbookViewId="0">
      <selection activeCell="C4" sqref="C4"/>
    </sheetView>
  </sheetViews>
  <sheetFormatPr baseColWidth="10" defaultRowHeight="15" x14ac:dyDescent="0.25"/>
  <cols>
    <col min="1" max="1" width="46" customWidth="1"/>
    <col min="2" max="2" width="15.28515625" bestFit="1" customWidth="1"/>
    <col min="3" max="3" width="13.42578125" customWidth="1"/>
    <col min="4" max="4" width="15" customWidth="1"/>
    <col min="5" max="5" width="13.85546875" customWidth="1"/>
    <col min="6" max="6" width="13.5703125" customWidth="1"/>
    <col min="7" max="7" width="14.140625" customWidth="1"/>
    <col min="8" max="10" width="13.5703125" customWidth="1"/>
    <col min="12" max="12" width="12.140625" customWidth="1"/>
    <col min="14" max="14" width="12.7109375" customWidth="1"/>
    <col min="16" max="16" width="14.5703125" customWidth="1"/>
    <col min="17" max="17" width="12.140625" customWidth="1"/>
    <col min="18" max="18" width="14.42578125" customWidth="1"/>
    <col min="19" max="19" width="16.140625" customWidth="1"/>
    <col min="20" max="20" width="16.7109375" customWidth="1"/>
    <col min="21" max="21" width="18.5703125" bestFit="1" customWidth="1"/>
    <col min="22" max="22" width="15.85546875" customWidth="1"/>
    <col min="23" max="24" width="14.42578125" customWidth="1"/>
    <col min="25" max="25" width="12.85546875" customWidth="1"/>
    <col min="26" max="26" width="5.28515625" bestFit="1" customWidth="1"/>
  </cols>
  <sheetData>
    <row r="1" spans="1:29" ht="114.75" customHeight="1" x14ac:dyDescent="0.25"/>
    <row r="2" spans="1:29" ht="18.75" x14ac:dyDescent="0.3">
      <c r="A2" s="143" t="s">
        <v>195</v>
      </c>
    </row>
    <row r="3" spans="1:29" x14ac:dyDescent="0.25">
      <c r="A3" s="24" t="s">
        <v>200</v>
      </c>
    </row>
    <row r="4" spans="1:29" x14ac:dyDescent="0.25">
      <c r="A4" t="s">
        <v>222</v>
      </c>
    </row>
    <row r="5" spans="1:29" x14ac:dyDescent="0.25">
      <c r="A5" s="24"/>
    </row>
    <row r="6" spans="1:29" s="80" customFormat="1" ht="15.75" thickBot="1" x14ac:dyDescent="0.3">
      <c r="B6" s="80">
        <v>1</v>
      </c>
      <c r="C6" s="80">
        <v>2</v>
      </c>
      <c r="D6" s="80">
        <v>3</v>
      </c>
      <c r="E6" s="80">
        <v>4</v>
      </c>
      <c r="F6" s="80">
        <v>5</v>
      </c>
      <c r="G6" s="80">
        <v>6</v>
      </c>
      <c r="H6" s="80">
        <v>7</v>
      </c>
      <c r="I6" s="80">
        <v>8</v>
      </c>
      <c r="J6" s="80">
        <v>9</v>
      </c>
      <c r="K6" s="80">
        <v>10</v>
      </c>
      <c r="L6" s="80">
        <v>11</v>
      </c>
      <c r="M6" s="80">
        <v>12</v>
      </c>
      <c r="N6" s="80">
        <v>13</v>
      </c>
      <c r="O6" s="80">
        <v>14</v>
      </c>
      <c r="P6" s="80">
        <v>15</v>
      </c>
      <c r="Q6" s="80">
        <v>16</v>
      </c>
      <c r="R6" s="80">
        <v>17</v>
      </c>
      <c r="S6" s="80">
        <v>18</v>
      </c>
      <c r="T6" s="80">
        <v>19</v>
      </c>
      <c r="U6" s="80">
        <v>20</v>
      </c>
      <c r="V6" s="80">
        <v>21</v>
      </c>
      <c r="W6" s="80">
        <v>22</v>
      </c>
      <c r="X6" s="80">
        <v>23</v>
      </c>
      <c r="Y6" s="80">
        <v>24</v>
      </c>
    </row>
    <row r="7" spans="1:29" ht="30" customHeight="1" x14ac:dyDescent="0.25">
      <c r="A7" s="181" t="s">
        <v>22</v>
      </c>
      <c r="B7" s="184" t="s">
        <v>10</v>
      </c>
      <c r="C7" s="184" t="s">
        <v>32</v>
      </c>
      <c r="D7" s="184" t="s">
        <v>53</v>
      </c>
      <c r="E7" s="206" t="s">
        <v>198</v>
      </c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190" t="s">
        <v>94</v>
      </c>
      <c r="R7" s="193" t="s">
        <v>199</v>
      </c>
      <c r="S7" s="202" t="s">
        <v>194</v>
      </c>
      <c r="T7" s="202"/>
      <c r="U7" s="202"/>
      <c r="V7" s="196" t="s">
        <v>122</v>
      </c>
      <c r="W7" s="199" t="s">
        <v>197</v>
      </c>
      <c r="X7" s="199" t="s">
        <v>196</v>
      </c>
      <c r="Y7" s="187" t="s">
        <v>108</v>
      </c>
    </row>
    <row r="8" spans="1:29" ht="30" customHeight="1" x14ac:dyDescent="0.25">
      <c r="A8" s="182"/>
      <c r="B8" s="185"/>
      <c r="C8" s="185"/>
      <c r="D8" s="185"/>
      <c r="E8" s="204" t="s">
        <v>92</v>
      </c>
      <c r="F8" s="204"/>
      <c r="G8" s="138"/>
      <c r="H8" s="139"/>
      <c r="I8" s="140"/>
      <c r="J8" s="205" t="s">
        <v>153</v>
      </c>
      <c r="K8" s="205"/>
      <c r="L8" s="205"/>
      <c r="M8" s="205"/>
      <c r="N8" s="205"/>
      <c r="O8" s="205"/>
      <c r="P8" s="205"/>
      <c r="Q8" s="191"/>
      <c r="R8" s="194"/>
      <c r="S8" s="203"/>
      <c r="T8" s="203"/>
      <c r="U8" s="203"/>
      <c r="V8" s="197"/>
      <c r="W8" s="200"/>
      <c r="X8" s="200"/>
      <c r="Y8" s="188"/>
    </row>
    <row r="9" spans="1:29" ht="51.75" thickBot="1" x14ac:dyDescent="0.3">
      <c r="A9" s="183"/>
      <c r="B9" s="186"/>
      <c r="C9" s="186"/>
      <c r="D9" s="186"/>
      <c r="E9" s="131" t="s">
        <v>92</v>
      </c>
      <c r="F9" s="131" t="s">
        <v>152</v>
      </c>
      <c r="G9" s="134" t="s">
        <v>165</v>
      </c>
      <c r="H9" s="135" t="s">
        <v>117</v>
      </c>
      <c r="I9" s="136" t="s">
        <v>118</v>
      </c>
      <c r="J9" s="132" t="s">
        <v>159</v>
      </c>
      <c r="K9" s="132" t="s">
        <v>160</v>
      </c>
      <c r="L9" s="132" t="s">
        <v>161</v>
      </c>
      <c r="M9" s="132" t="s">
        <v>162</v>
      </c>
      <c r="N9" s="132" t="s">
        <v>163</v>
      </c>
      <c r="O9" s="132" t="s">
        <v>164</v>
      </c>
      <c r="P9" s="132" t="s">
        <v>166</v>
      </c>
      <c r="Q9" s="192"/>
      <c r="R9" s="195"/>
      <c r="S9" s="133" t="s">
        <v>119</v>
      </c>
      <c r="T9" s="133" t="s">
        <v>120</v>
      </c>
      <c r="U9" s="133" t="s">
        <v>121</v>
      </c>
      <c r="V9" s="198"/>
      <c r="W9" s="201"/>
      <c r="X9" s="201"/>
      <c r="Y9" s="189"/>
      <c r="Z9" s="1"/>
      <c r="AA9" s="1"/>
      <c r="AB9" s="1"/>
    </row>
    <row r="10" spans="1:29" x14ac:dyDescent="0.25">
      <c r="A10" s="119" t="str">
        <f>Indicadores!A5</f>
        <v>UNIVERSIDAD DE CHILE</v>
      </c>
      <c r="B10" s="120" t="str">
        <f>Indicadores!B5</f>
        <v>UCH</v>
      </c>
      <c r="C10" s="121" t="str">
        <f>Indicadores!C5</f>
        <v>CRUCH-ESTATAL</v>
      </c>
      <c r="D10" s="121" t="str">
        <f>Indicadores!D5</f>
        <v>Categoría I</v>
      </c>
      <c r="E10" s="122">
        <v>2533255</v>
      </c>
      <c r="F10" s="122">
        <f>E10*(1+$B$37)</f>
        <v>2609252.65</v>
      </c>
      <c r="G10" s="123"/>
      <c r="H10" s="124">
        <v>400000</v>
      </c>
      <c r="I10" s="125"/>
      <c r="J10" s="126">
        <f>IFERROR(VLOOKUP(B10,'Publicaciones CM'!B2:E20,4,0),0)</f>
        <v>1146992.886016655</v>
      </c>
      <c r="K10" s="126">
        <f>IFERROR(VLOOKUP(B10,'Acreditación CM'!$B$3:$K$20,10,0),0)</f>
        <v>287310.76612903213</v>
      </c>
      <c r="L10" s="126">
        <f>IFERROR(VLOOKUP(B10,'Doctorado JC CM'!$B$2:$E$20,4,0),0)</f>
        <v>829740.61590765335</v>
      </c>
      <c r="M10" s="126">
        <f>IFERROR(VLOOKUP(B10,'Programas Doct. Acreditados CM'!$B$3:$E$20,4,0),0)</f>
        <v>1220086.8150684931</v>
      </c>
      <c r="N10" s="126">
        <f>IFERROR(VLOOKUP(B10,'Académicos JC CM'!$B$3:$E$20,4,0),0)</f>
        <v>597930.54220045207</v>
      </c>
      <c r="O10" s="126">
        <f>IFERROR(VLOOKUP(B10,'Matrícula Regular Pre CM'!B3:E20,4,0),0)</f>
        <v>430676.04883021273</v>
      </c>
      <c r="P10" s="148">
        <f>J10+K10+L10+M10+N10+O10</f>
        <v>4512737.6741524981</v>
      </c>
      <c r="Q10" s="149">
        <f>SUM(F10:O10)</f>
        <v>7521990.3241524976</v>
      </c>
      <c r="R10" s="150">
        <f>IFERROR(VLOOKUP(B10,Indicadores!$B$5:$AH$22,33,0),0)</f>
        <v>2864603</v>
      </c>
      <c r="S10" s="127">
        <v>100000</v>
      </c>
      <c r="T10" s="127">
        <f>IFERROR(VLOOKUP(B10,'[1]Puntaje Final FID'!$C$7:$M$22,11,0),0)</f>
        <v>378587</v>
      </c>
      <c r="U10" s="128">
        <f>S10+T10</f>
        <v>478587</v>
      </c>
      <c r="V10" s="129"/>
      <c r="W10" s="144">
        <f t="shared" ref="W10:W27" si="0">Q10+R10+V10+U10</f>
        <v>10865180.324152498</v>
      </c>
      <c r="X10" s="144">
        <f>ROUND(W10,0)</f>
        <v>10865180</v>
      </c>
      <c r="Y10" s="130">
        <f>X10/$X$28</f>
        <v>0.17790171473781177</v>
      </c>
      <c r="Z10" s="90" t="str">
        <f>+B10</f>
        <v>UCH</v>
      </c>
      <c r="AA10" s="13"/>
      <c r="AB10" s="13"/>
      <c r="AC10" s="25"/>
    </row>
    <row r="11" spans="1:29" x14ac:dyDescent="0.25">
      <c r="A11" s="51" t="str">
        <f>Indicadores!A6</f>
        <v>UNIVERSIDAD DE SANTIAGO DE CHILE</v>
      </c>
      <c r="B11" s="81" t="str">
        <f>Indicadores!B6</f>
        <v>USA</v>
      </c>
      <c r="C11" s="82" t="str">
        <f>Indicadores!C6</f>
        <v>CRUCH-ESTATAL</v>
      </c>
      <c r="D11" s="82" t="str">
        <f>Indicadores!D6</f>
        <v>Categoría I</v>
      </c>
      <c r="E11" s="50">
        <v>654779</v>
      </c>
      <c r="F11" s="50">
        <f t="shared" ref="F11:F27" si="1">E11*(1+$B$37)</f>
        <v>674422.37</v>
      </c>
      <c r="G11" s="83"/>
      <c r="H11" s="84"/>
      <c r="I11" s="85"/>
      <c r="J11" s="86">
        <f>IFERROR(VLOOKUP(B11,'Publicaciones CM'!B3:E21,4,0),0)</f>
        <v>275490.20818875782</v>
      </c>
      <c r="K11" s="86">
        <f>IFERROR(VLOOKUP(B11,'Acreditación CM'!$B$3:$K$20,10,0),0)</f>
        <v>273629.30107526871</v>
      </c>
      <c r="L11" s="86">
        <f>IFERROR(VLOOKUP(B11,'Doctorado JC CM'!$B$2:$E$20,4,0),0)</f>
        <v>325940.78510436433</v>
      </c>
      <c r="M11" s="86">
        <f>IFERROR(VLOOKUP(B11,'Programas Doct. Acreditados CM'!$B$3:$E$20,4,0),0)</f>
        <v>348596.23287671228</v>
      </c>
      <c r="N11" s="86">
        <f>IFERROR(VLOOKUP(B11,'Académicos JC CM'!$B$3:$E$20,4,0),0)</f>
        <v>245462.18538055764</v>
      </c>
      <c r="O11" s="86">
        <f>IFERROR(VLOOKUP(B11,'Matrícula Regular Pre CM'!B4:E21,4,0),0)</f>
        <v>289811.98829311942</v>
      </c>
      <c r="P11" s="151">
        <f t="shared" ref="P11:P27" si="2">J11+K11+L11+M11+N11+O11</f>
        <v>1758930.7009187802</v>
      </c>
      <c r="Q11" s="152">
        <f t="shared" ref="Q11:Q27" si="3">SUM(F11:O11)</f>
        <v>2433353.0709187803</v>
      </c>
      <c r="R11" s="153">
        <f>IFERROR(VLOOKUP(B11,Indicadores!$B$5:$AH$22,33,0),0)</f>
        <v>2580862</v>
      </c>
      <c r="S11" s="87">
        <v>100000</v>
      </c>
      <c r="T11" s="87">
        <f>IFERROR(VLOOKUP(B11,'[1]Puntaje Final FID'!$C$7:$M$22,11,0),0)</f>
        <v>473233</v>
      </c>
      <c r="U11" s="88">
        <f t="shared" ref="U11:U27" si="4">S11+T11</f>
        <v>573233</v>
      </c>
      <c r="V11" s="89"/>
      <c r="W11" s="145">
        <f t="shared" si="0"/>
        <v>5587448.0709187798</v>
      </c>
      <c r="X11" s="145">
        <f t="shared" ref="X11:X27" si="5">ROUND(W11,0)</f>
        <v>5587448</v>
      </c>
      <c r="Y11" s="92">
        <f t="shared" ref="Y11:Y27" si="6">X11/$X$28</f>
        <v>9.1486434666370631E-2</v>
      </c>
      <c r="Z11" s="90" t="str">
        <f t="shared" ref="Z11:Z27" si="7">+B11</f>
        <v>USA</v>
      </c>
    </row>
    <row r="12" spans="1:29" x14ac:dyDescent="0.25">
      <c r="A12" s="51" t="str">
        <f>Indicadores!A7</f>
        <v>UNIVERSIDAD DE ANTOFAGASTA</v>
      </c>
      <c r="B12" s="81" t="str">
        <f>Indicadores!B7</f>
        <v>ANT</v>
      </c>
      <c r="C12" s="82" t="str">
        <f>Indicadores!C7</f>
        <v>CRUCH-ESTATAL</v>
      </c>
      <c r="D12" s="82" t="str">
        <f>Indicadores!D7</f>
        <v>Categoría II</v>
      </c>
      <c r="E12" s="50">
        <v>64006</v>
      </c>
      <c r="F12" s="50">
        <f t="shared" si="1"/>
        <v>65926.180000000008</v>
      </c>
      <c r="G12" s="83"/>
      <c r="H12" s="84"/>
      <c r="I12" s="85"/>
      <c r="J12" s="86">
        <f>IFERROR(VLOOKUP(B12,'Publicaciones CM'!B4:E22,4,0),0)</f>
        <v>84324.727185981959</v>
      </c>
      <c r="K12" s="86">
        <f>IFERROR(VLOOKUP(B12,'Acreditación CM'!$B$3:$K$20,10,0),0)</f>
        <v>164177.58064516124</v>
      </c>
      <c r="L12" s="86">
        <f>IFERROR(VLOOKUP(B12,'Doctorado JC CM'!$B$2:$E$20,4,0),0)</f>
        <v>108646.92836812144</v>
      </c>
      <c r="M12" s="86">
        <f>IFERROR(VLOOKUP(B12,'Programas Doct. Acreditados CM'!$B$3:$E$20,4,0),0)</f>
        <v>69719.246575342462</v>
      </c>
      <c r="N12" s="86">
        <f>IFERROR(VLOOKUP(B12,'Académicos JC CM'!$B$3:$E$20,4,0),0)</f>
        <v>120813.41936699323</v>
      </c>
      <c r="O12" s="86">
        <f>IFERROR(VLOOKUP(B12,'Matrícula Regular Pre CM'!B5:E22,4,0),0)</f>
        <v>111172.27602596591</v>
      </c>
      <c r="P12" s="151">
        <f t="shared" si="2"/>
        <v>658854.17816756631</v>
      </c>
      <c r="Q12" s="152">
        <f t="shared" si="3"/>
        <v>724780.35816756624</v>
      </c>
      <c r="R12" s="153">
        <f>IFERROR(VLOOKUP(B12,Indicadores!$B$5:$AH$22,33,0),0)</f>
        <v>1872988</v>
      </c>
      <c r="S12" s="87">
        <v>100000</v>
      </c>
      <c r="T12" s="87">
        <f>IFERROR(VLOOKUP(B12,'[1]Puntaje Final FID'!$C$7:$M$22,11,0),0)</f>
        <v>320343</v>
      </c>
      <c r="U12" s="88">
        <f t="shared" si="4"/>
        <v>420343</v>
      </c>
      <c r="V12" s="89"/>
      <c r="W12" s="145">
        <f t="shared" si="0"/>
        <v>3018111.3581675664</v>
      </c>
      <c r="X12" s="145">
        <f t="shared" si="5"/>
        <v>3018111</v>
      </c>
      <c r="Y12" s="92">
        <f t="shared" si="6"/>
        <v>4.9417232127682356E-2</v>
      </c>
      <c r="Z12" s="90" t="str">
        <f t="shared" si="7"/>
        <v>ANT</v>
      </c>
    </row>
    <row r="13" spans="1:29" x14ac:dyDescent="0.25">
      <c r="A13" s="51" t="str">
        <f>Indicadores!A8</f>
        <v>UNIVERSIDAD DE LA FRONTERA</v>
      </c>
      <c r="B13" s="81" t="str">
        <f>Indicadores!B8</f>
        <v>FRO</v>
      </c>
      <c r="C13" s="82" t="str">
        <f>Indicadores!C8</f>
        <v>CRUCH-ESTATAL</v>
      </c>
      <c r="D13" s="82" t="str">
        <f>Indicadores!D8</f>
        <v>Categoría II</v>
      </c>
      <c r="E13" s="50">
        <v>227255</v>
      </c>
      <c r="F13" s="50">
        <f t="shared" si="1"/>
        <v>234072.65</v>
      </c>
      <c r="G13" s="83"/>
      <c r="H13" s="84"/>
      <c r="I13" s="85">
        <v>50000</v>
      </c>
      <c r="J13" s="86">
        <f>IFERROR(VLOOKUP(B13,'Publicaciones CM'!B5:E23,4,0),0)</f>
        <v>201761.25824080498</v>
      </c>
      <c r="K13" s="86">
        <f>IFERROR(VLOOKUP(B13,'Acreditación CM'!$B$3:$K$20,10,0),0)</f>
        <v>259947.8360215053</v>
      </c>
      <c r="L13" s="86">
        <f>IFERROR(VLOOKUP(B13,'Doctorado JC CM'!$B$2:$E$20,4,0),0)</f>
        <v>148886.5314674257</v>
      </c>
      <c r="M13" s="86">
        <f>IFERROR(VLOOKUP(B13,'Programas Doct. Acreditados CM'!$B$3:$E$20,4,0),0)</f>
        <v>209157.73972602739</v>
      </c>
      <c r="N13" s="86">
        <f>IFERROR(VLOOKUP(B13,'Académicos JC CM'!$B$3:$E$20,4,0),0)</f>
        <v>122731.09269027882</v>
      </c>
      <c r="O13" s="86">
        <f>IFERROR(VLOOKUP(B13,'Matrícula Regular Pre CM'!B6:E23,4,0),0)</f>
        <v>147954.63594273568</v>
      </c>
      <c r="P13" s="151">
        <f t="shared" si="2"/>
        <v>1090439.0940887777</v>
      </c>
      <c r="Q13" s="152">
        <f t="shared" si="3"/>
        <v>1374511.744088778</v>
      </c>
      <c r="R13" s="153">
        <f>IFERROR(VLOOKUP(B13,Indicadores!$B$5:$AH$22,33,0),0)</f>
        <v>2236930</v>
      </c>
      <c r="S13" s="87">
        <v>100000</v>
      </c>
      <c r="T13" s="87">
        <f>IFERROR(VLOOKUP(B13,'[1]Puntaje Final FID'!$C$7:$M$22,11,0),0)</f>
        <v>407709</v>
      </c>
      <c r="U13" s="88">
        <f t="shared" si="4"/>
        <v>507709</v>
      </c>
      <c r="V13" s="89"/>
      <c r="W13" s="145">
        <f t="shared" si="0"/>
        <v>4119150.7440887783</v>
      </c>
      <c r="X13" s="145">
        <f t="shared" si="5"/>
        <v>4119151</v>
      </c>
      <c r="Y13" s="92">
        <f t="shared" si="6"/>
        <v>6.7445180490702597E-2</v>
      </c>
      <c r="Z13" s="90" t="str">
        <f t="shared" si="7"/>
        <v>FRO</v>
      </c>
    </row>
    <row r="14" spans="1:29" x14ac:dyDescent="0.25">
      <c r="A14" s="51" t="str">
        <f>Indicadores!A9</f>
        <v>UNIVERSIDAD DE TALCA</v>
      </c>
      <c r="B14" s="81" t="str">
        <f>Indicadores!B9</f>
        <v>TAL</v>
      </c>
      <c r="C14" s="82" t="str">
        <f>Indicadores!C9</f>
        <v>CRUCH-ESTATAL</v>
      </c>
      <c r="D14" s="82" t="str">
        <f>Indicadores!D9</f>
        <v>Categoría II</v>
      </c>
      <c r="E14" s="50">
        <v>224727</v>
      </c>
      <c r="F14" s="50">
        <f t="shared" si="1"/>
        <v>231468.81</v>
      </c>
      <c r="G14" s="83"/>
      <c r="H14" s="84"/>
      <c r="I14" s="85">
        <v>50000</v>
      </c>
      <c r="J14" s="86">
        <f>IFERROR(VLOOKUP(B14,'Publicaciones CM'!B6:E24,4,0),0)</f>
        <v>166442.00078070787</v>
      </c>
      <c r="K14" s="86">
        <f>IFERROR(VLOOKUP(B14,'Acreditación CM'!$B$3:$K$20,10,0),0)</f>
        <v>259947.8360215053</v>
      </c>
      <c r="L14" s="86">
        <f>IFERROR(VLOOKUP(B14,'Doctorado JC CM'!$B$2:$E$20,4,0),0)</f>
        <v>171420.70920303607</v>
      </c>
      <c r="M14" s="86">
        <f>IFERROR(VLOOKUP(B14,'Programas Doct. Acreditados CM'!$B$3:$E$20,4,0),0)</f>
        <v>244017.3630136986</v>
      </c>
      <c r="N14" s="86">
        <f>IFERROR(VLOOKUP(B14,'Académicos JC CM'!$B$3:$E$20,4,0),0)</f>
        <v>139606.61793519216</v>
      </c>
      <c r="O14" s="86">
        <f>IFERROR(VLOOKUP(B14,'Matrícula Regular Pre CM'!B7:E24,4,0),0)</f>
        <v>151988.92884594598</v>
      </c>
      <c r="P14" s="151">
        <f t="shared" si="2"/>
        <v>1133423.455800086</v>
      </c>
      <c r="Q14" s="152">
        <f t="shared" si="3"/>
        <v>1414892.2658000859</v>
      </c>
      <c r="R14" s="153">
        <f>IFERROR(VLOOKUP(B14,Indicadores!$B$5:$AH$22,33,0),0)</f>
        <v>2288730</v>
      </c>
      <c r="S14" s="87">
        <v>100000</v>
      </c>
      <c r="T14" s="87">
        <f>IFERROR(VLOOKUP(B14,'[1]Puntaje Final FID'!$C$7:$M$22,11,0),0)</f>
        <v>342184</v>
      </c>
      <c r="U14" s="88">
        <f t="shared" si="4"/>
        <v>442184</v>
      </c>
      <c r="V14" s="89"/>
      <c r="W14" s="145">
        <f t="shared" si="0"/>
        <v>4145806.2658000859</v>
      </c>
      <c r="X14" s="145">
        <f t="shared" si="5"/>
        <v>4145806</v>
      </c>
      <c r="Y14" s="92">
        <f t="shared" si="6"/>
        <v>6.788161782596408E-2</v>
      </c>
      <c r="Z14" s="90" t="str">
        <f t="shared" si="7"/>
        <v>TAL</v>
      </c>
    </row>
    <row r="15" spans="1:29" x14ac:dyDescent="0.25">
      <c r="A15" s="51" t="str">
        <f>Indicadores!A10</f>
        <v>UNIVERSIDAD DE TARAPACÁ</v>
      </c>
      <c r="B15" s="81" t="str">
        <f>Indicadores!B10</f>
        <v>UTA</v>
      </c>
      <c r="C15" s="82" t="str">
        <f>Indicadores!C10</f>
        <v>CRUCH-ESTATAL</v>
      </c>
      <c r="D15" s="82" t="str">
        <f>Indicadores!D10</f>
        <v>Categoría II</v>
      </c>
      <c r="E15" s="50">
        <v>25944</v>
      </c>
      <c r="F15" s="50">
        <f t="shared" si="1"/>
        <v>26722.32</v>
      </c>
      <c r="G15" s="83"/>
      <c r="H15" s="84"/>
      <c r="I15" s="85"/>
      <c r="J15" s="86">
        <f>IFERROR(VLOOKUP(B15,'Publicaciones CM'!B7:E25,4,0),0)</f>
        <v>89622.615804996531</v>
      </c>
      <c r="K15" s="86">
        <f>IFERROR(VLOOKUP(B15,'Acreditación CM'!$B$3:$K$20,10,0),0)</f>
        <v>164177.58064516124</v>
      </c>
      <c r="L15" s="86">
        <f>IFERROR(VLOOKUP(B15,'Doctorado JC CM'!$B$2:$E$20,4,0),0)</f>
        <v>99794.215686274503</v>
      </c>
      <c r="M15" s="86">
        <f>IFERROR(VLOOKUP(B15,'Programas Doct. Acreditados CM'!$B$3:$E$20,4,0),0)</f>
        <v>34859.623287671231</v>
      </c>
      <c r="N15" s="86">
        <f>IFERROR(VLOOKUP(B15,'Académicos JC CM'!$B$3:$E$20,4,0),0)</f>
        <v>122347.55802562169</v>
      </c>
      <c r="O15" s="86">
        <f>IFERROR(VLOOKUP(B15,'Matrícula Regular Pre CM'!B8:E25,4,0),0)</f>
        <v>129158.49855277855</v>
      </c>
      <c r="P15" s="151">
        <f t="shared" si="2"/>
        <v>639960.09200250381</v>
      </c>
      <c r="Q15" s="152">
        <f t="shared" si="3"/>
        <v>666682.41200250364</v>
      </c>
      <c r="R15" s="153">
        <f>IFERROR(VLOOKUP(B15,Indicadores!$B$5:$AH$22,33,0),0)</f>
        <v>1723106</v>
      </c>
      <c r="S15" s="87">
        <v>100000</v>
      </c>
      <c r="T15" s="87">
        <f>IFERROR(VLOOKUP(B15,'[1]Puntaje Final FID'!$C$7:$M$22,11,0),0)</f>
        <v>422270</v>
      </c>
      <c r="U15" s="88">
        <f t="shared" si="4"/>
        <v>522270</v>
      </c>
      <c r="V15" s="89"/>
      <c r="W15" s="145">
        <f t="shared" si="0"/>
        <v>2912058.4120025039</v>
      </c>
      <c r="X15" s="145">
        <f t="shared" si="5"/>
        <v>2912058</v>
      </c>
      <c r="Y15" s="92">
        <f t="shared" si="6"/>
        <v>4.7680766597144514E-2</v>
      </c>
      <c r="Z15" s="90" t="str">
        <f t="shared" si="7"/>
        <v>UTA</v>
      </c>
    </row>
    <row r="16" spans="1:29" x14ac:dyDescent="0.25">
      <c r="A16" s="51" t="str">
        <f>Indicadores!A11</f>
        <v>UNIVERSIDAD DE VALPARAÍSO</v>
      </c>
      <c r="B16" s="81" t="str">
        <f>Indicadores!B11</f>
        <v>UVA</v>
      </c>
      <c r="C16" s="82" t="str">
        <f>Indicadores!C11</f>
        <v>CRUCH-ESTATAL</v>
      </c>
      <c r="D16" s="82" t="str">
        <f>Indicadores!D11</f>
        <v>Categoría II</v>
      </c>
      <c r="E16" s="50">
        <v>281374</v>
      </c>
      <c r="F16" s="50">
        <f t="shared" si="1"/>
        <v>289815.22000000003</v>
      </c>
      <c r="G16" s="83"/>
      <c r="H16" s="84"/>
      <c r="I16" s="85"/>
      <c r="J16" s="86">
        <f>IFERROR(VLOOKUP(B16,'Publicaciones CM'!B8:E26,4,0),0)</f>
        <v>176154.79658223456</v>
      </c>
      <c r="K16" s="86">
        <f>IFERROR(VLOOKUP(B16,'Acreditación CM'!$B$3:$K$20,10,0),0)</f>
        <v>259947.8360215053</v>
      </c>
      <c r="L16" s="86">
        <f>IFERROR(VLOOKUP(B16,'Doctorado JC CM'!$B$2:$E$20,4,0),0)</f>
        <v>173835.08538899431</v>
      </c>
      <c r="M16" s="86">
        <f>IFERROR(VLOOKUP(B16,'Programas Doct. Acreditados CM'!$B$3:$E$20,4,0),0)</f>
        <v>174298.11643835614</v>
      </c>
      <c r="N16" s="86">
        <f>IFERROR(VLOOKUP(B16,'Académicos JC CM'!$B$3:$E$20,4,0),0)</f>
        <v>217847.6895252449</v>
      </c>
      <c r="O16" s="86">
        <f>IFERROR(VLOOKUP(B16,'Matrícula Regular Pre CM'!B9:E26,4,0),0)</f>
        <v>228243.17728162571</v>
      </c>
      <c r="P16" s="151">
        <f t="shared" si="2"/>
        <v>1230326.701237961</v>
      </c>
      <c r="Q16" s="152">
        <f t="shared" si="3"/>
        <v>1520141.9212379612</v>
      </c>
      <c r="R16" s="153">
        <f>IFERROR(VLOOKUP(B16,Indicadores!$B$5:$AH$22,33,0),0)</f>
        <v>1798250</v>
      </c>
      <c r="S16" s="87">
        <v>100000</v>
      </c>
      <c r="T16" s="87">
        <f>IFERROR(VLOOKUP(B16,'[1]Puntaje Final FID'!$C$7:$M$22,11,0),0)</f>
        <v>371306</v>
      </c>
      <c r="U16" s="88">
        <f t="shared" si="4"/>
        <v>471306</v>
      </c>
      <c r="V16" s="89"/>
      <c r="W16" s="145">
        <f t="shared" si="0"/>
        <v>3789697.9212379614</v>
      </c>
      <c r="X16" s="145">
        <f t="shared" si="5"/>
        <v>3789698</v>
      </c>
      <c r="Y16" s="92">
        <f t="shared" si="6"/>
        <v>6.2050860872848473E-2</v>
      </c>
      <c r="Z16" s="90" t="str">
        <f t="shared" si="7"/>
        <v>UVA</v>
      </c>
    </row>
    <row r="17" spans="1:26" x14ac:dyDescent="0.25">
      <c r="A17" s="51" t="str">
        <f>Indicadores!A12</f>
        <v>UNIVERSIDAD DEL BÍO-BÍO</v>
      </c>
      <c r="B17" s="81" t="str">
        <f>Indicadores!B12</f>
        <v>UBB</v>
      </c>
      <c r="C17" s="82" t="str">
        <f>Indicadores!C12</f>
        <v>CRUCH-ESTATAL</v>
      </c>
      <c r="D17" s="82" t="str">
        <f>Indicadores!D12</f>
        <v>Categoría II</v>
      </c>
      <c r="E17" s="50">
        <v>99466</v>
      </c>
      <c r="F17" s="50">
        <f t="shared" si="1"/>
        <v>102449.98</v>
      </c>
      <c r="G17" s="83"/>
      <c r="H17" s="84"/>
      <c r="I17" s="85"/>
      <c r="J17" s="86">
        <f>IFERROR(VLOOKUP(B17,'Publicaciones CM'!B9:E27,4,0),0)</f>
        <v>100218.39304302567</v>
      </c>
      <c r="K17" s="86">
        <f>IFERROR(VLOOKUP(B17,'Acreditación CM'!$B$3:$K$20,10,0),0)</f>
        <v>164177.58064516124</v>
      </c>
      <c r="L17" s="86">
        <f>IFERROR(VLOOKUP(B17,'Doctorado JC CM'!$B$2:$E$20,4,0),0)</f>
        <v>175444.66951296647</v>
      </c>
      <c r="M17" s="86">
        <f>IFERROR(VLOOKUP(B17,'Programas Doct. Acreditados CM'!$B$3:$E$20,4,0),0)</f>
        <v>69719.246575342462</v>
      </c>
      <c r="N17" s="86">
        <f>IFERROR(VLOOKUP(B17,'Académicos JC CM'!$B$3:$E$20,4,0),0)</f>
        <v>176809.48040693294</v>
      </c>
      <c r="O17" s="86">
        <f>IFERROR(VLOOKUP(B17,'Matrícula Regular Pre CM'!B10:E27,4,0),0)</f>
        <v>174498.44947635804</v>
      </c>
      <c r="P17" s="151">
        <f t="shared" si="2"/>
        <v>860867.81965978676</v>
      </c>
      <c r="Q17" s="152">
        <f t="shared" si="3"/>
        <v>963317.79965978698</v>
      </c>
      <c r="R17" s="153">
        <f>IFERROR(VLOOKUP(B17,Indicadores!$B$5:$AH$22,33,0),0)</f>
        <v>1787282</v>
      </c>
      <c r="S17" s="87">
        <v>100000</v>
      </c>
      <c r="T17" s="179">
        <f>IFERROR(VLOOKUP(B17,'[1]Puntaje Final FID'!$C$7:$M$22,11,0),0)-1</f>
        <v>546038</v>
      </c>
      <c r="U17" s="180">
        <f>S17+T17</f>
        <v>646038</v>
      </c>
      <c r="V17" s="89"/>
      <c r="W17" s="145">
        <f t="shared" si="0"/>
        <v>3396637.7996597867</v>
      </c>
      <c r="X17" s="145">
        <f t="shared" si="5"/>
        <v>3396638</v>
      </c>
      <c r="Y17" s="92">
        <f t="shared" si="6"/>
        <v>5.5615068001046597E-2</v>
      </c>
      <c r="Z17" s="90" t="str">
        <f t="shared" si="7"/>
        <v>UBB</v>
      </c>
    </row>
    <row r="18" spans="1:26" x14ac:dyDescent="0.25">
      <c r="A18" s="51" t="str">
        <f>Indicadores!A13</f>
        <v>UNIVERSIDAD DE LA SERENA</v>
      </c>
      <c r="B18" s="81" t="str">
        <f>Indicadores!B13</f>
        <v>ULS</v>
      </c>
      <c r="C18" s="82" t="str">
        <f>Indicadores!C13</f>
        <v>CRUCH-ESTATAL</v>
      </c>
      <c r="D18" s="82" t="str">
        <f>Indicadores!D13</f>
        <v>Categoría II</v>
      </c>
      <c r="E18" s="50">
        <v>108535</v>
      </c>
      <c r="F18" s="50">
        <f t="shared" si="1"/>
        <v>111791.05</v>
      </c>
      <c r="G18" s="83"/>
      <c r="H18" s="84"/>
      <c r="I18" s="85"/>
      <c r="J18" s="86">
        <f>IFERROR(VLOOKUP(B18,'Publicaciones CM'!B10:E28,4,0),0)</f>
        <v>56952.30265440666</v>
      </c>
      <c r="K18" s="86">
        <f>IFERROR(VLOOKUP(B18,'Acreditación CM'!$B$3:$K$20,10,0),0)</f>
        <v>150496.1155913978</v>
      </c>
      <c r="L18" s="86">
        <f>IFERROR(VLOOKUP(B18,'Doctorado JC CM'!$B$2:$E$20,4,0),0)</f>
        <v>89331.9188804554</v>
      </c>
      <c r="M18" s="86">
        <f>IFERROR(VLOOKUP(B18,'Programas Doct. Acreditados CM'!$B$3:$E$20,4,0),0)</f>
        <v>104578.86986301369</v>
      </c>
      <c r="N18" s="86">
        <f>IFERROR(VLOOKUP(B18,'Académicos JC CM'!$B$3:$E$20,4,0),0)</f>
        <v>88980.042200452139</v>
      </c>
      <c r="O18" s="86">
        <f>IFERROR(VLOOKUP(B18,'Matrícula Regular Pre CM'!B11:E28,4,0),0)</f>
        <v>113250.54812761971</v>
      </c>
      <c r="P18" s="151">
        <f t="shared" si="2"/>
        <v>603589.79731734539</v>
      </c>
      <c r="Q18" s="152">
        <f t="shared" si="3"/>
        <v>715380.84731734532</v>
      </c>
      <c r="R18" s="153">
        <f>IFERROR(VLOOKUP(B18,Indicadores!$B$5:$AH$22,33,0),0)</f>
        <v>1554271</v>
      </c>
      <c r="S18" s="87">
        <v>100000</v>
      </c>
      <c r="T18" s="87">
        <f>IFERROR(VLOOKUP(B18,'[1]Puntaje Final FID'!$C$7:$M$22,11,0),0)</f>
        <v>465953</v>
      </c>
      <c r="U18" s="88">
        <f t="shared" si="4"/>
        <v>565953</v>
      </c>
      <c r="V18" s="89"/>
      <c r="W18" s="145">
        <f t="shared" si="0"/>
        <v>2835604.8473173454</v>
      </c>
      <c r="X18" s="145">
        <f t="shared" si="5"/>
        <v>2835605</v>
      </c>
      <c r="Y18" s="92">
        <f t="shared" si="6"/>
        <v>4.6428958546394332E-2</v>
      </c>
      <c r="Z18" s="90" t="str">
        <f t="shared" si="7"/>
        <v>ULS</v>
      </c>
    </row>
    <row r="19" spans="1:26" x14ac:dyDescent="0.25">
      <c r="A19" s="51" t="str">
        <f>Indicadores!A14</f>
        <v>UNIVERSIDAD DE PLAYA ANCHA CS. EDUCACIÓN</v>
      </c>
      <c r="B19" s="81" t="str">
        <f>Indicadores!B14</f>
        <v>UPA</v>
      </c>
      <c r="C19" s="82" t="str">
        <f>Indicadores!C14</f>
        <v>CRUCH-ESTATAL</v>
      </c>
      <c r="D19" s="82" t="str">
        <f>Indicadores!D14</f>
        <v>Categoría II</v>
      </c>
      <c r="E19" s="50">
        <v>24829</v>
      </c>
      <c r="F19" s="50">
        <f t="shared" si="1"/>
        <v>25573.87</v>
      </c>
      <c r="G19" s="83"/>
      <c r="H19" s="84"/>
      <c r="I19" s="85"/>
      <c r="J19" s="86">
        <f>IFERROR(VLOOKUP(B19,'Publicaciones CM'!B11:E29,4,0),0)</f>
        <v>45473.543979875089</v>
      </c>
      <c r="K19" s="86">
        <f>IFERROR(VLOOKUP(B19,'Acreditación CM'!$B$3:$K$20,10,0),0)</f>
        <v>68407.325268817178</v>
      </c>
      <c r="L19" s="86">
        <f>IFERROR(VLOOKUP(B19,'Doctorado JC CM'!$B$2:$E$20,4,0),0)</f>
        <v>88527.126818469333</v>
      </c>
      <c r="M19" s="86">
        <f>IFERROR(VLOOKUP(B19,'Programas Doct. Acreditados CM'!$B$3:$E$20,4,0),0)</f>
        <v>34859.623287671231</v>
      </c>
      <c r="N19" s="86">
        <f>IFERROR(VLOOKUP(B19,'Académicos JC CM'!$B$3:$E$20,4,0),0)</f>
        <v>120429.88470233609</v>
      </c>
      <c r="O19" s="86">
        <f>IFERROR(VLOOKUP(B19,'Matrícula Regular Pre CM'!B12:E29,4,0),0)</f>
        <v>119118.61053228925</v>
      </c>
      <c r="P19" s="151">
        <f t="shared" si="2"/>
        <v>476816.11458945822</v>
      </c>
      <c r="Q19" s="152">
        <f t="shared" si="3"/>
        <v>502389.98458945821</v>
      </c>
      <c r="R19" s="153">
        <f>IFERROR(VLOOKUP(B19,Indicadores!$B$5:$AH$22,33,0),0)</f>
        <v>1407448</v>
      </c>
      <c r="S19" s="87">
        <v>100000</v>
      </c>
      <c r="T19" s="87">
        <f>IFERROR(VLOOKUP(B19,'[1]Puntaje Final FID'!$C$7:$M$22,11,0),0)</f>
        <v>633405</v>
      </c>
      <c r="U19" s="88">
        <f t="shared" si="4"/>
        <v>733405</v>
      </c>
      <c r="V19" s="89"/>
      <c r="W19" s="145">
        <f t="shared" si="0"/>
        <v>2643242.9845894584</v>
      </c>
      <c r="X19" s="145">
        <f t="shared" si="5"/>
        <v>2643243</v>
      </c>
      <c r="Y19" s="92">
        <f t="shared" si="6"/>
        <v>4.3279307123187817E-2</v>
      </c>
      <c r="Z19" s="90" t="str">
        <f t="shared" si="7"/>
        <v>UPA</v>
      </c>
    </row>
    <row r="20" spans="1:26" x14ac:dyDescent="0.25">
      <c r="A20" s="51" t="str">
        <f>Indicadores!A15</f>
        <v>UNIVERSIDAD ARTURO PRAT</v>
      </c>
      <c r="B20" s="81" t="str">
        <f>Indicadores!B15</f>
        <v>UAP</v>
      </c>
      <c r="C20" s="82" t="str">
        <f>Indicadores!C15</f>
        <v>CRUCH-ESTATAL</v>
      </c>
      <c r="D20" s="82" t="str">
        <f>Indicadores!D15</f>
        <v>Categoría III</v>
      </c>
      <c r="E20" s="50">
        <v>15240</v>
      </c>
      <c r="F20" s="50">
        <f t="shared" si="1"/>
        <v>15697.2</v>
      </c>
      <c r="G20" s="83"/>
      <c r="H20" s="84"/>
      <c r="I20" s="85"/>
      <c r="J20" s="86">
        <f>IFERROR(VLOOKUP(B20,'Publicaciones CM'!B12:E30,4,0),0)</f>
        <v>33111.803868841082</v>
      </c>
      <c r="K20" s="86">
        <f>IFERROR(VLOOKUP(B20,'Acreditación CM'!$B$3:$K$20,10,0),0)</f>
        <v>54725.860215053734</v>
      </c>
      <c r="L20" s="86">
        <f>IFERROR(VLOOKUP(B20,'Doctorado JC CM'!$B$2:$E$20,4,0),0)</f>
        <v>49897.107843137252</v>
      </c>
      <c r="M20" s="86">
        <f>IFERROR(VLOOKUP(B20,'Programas Doct. Acreditados CM'!$B$3:$E$20,4,0),0)</f>
        <v>0</v>
      </c>
      <c r="N20" s="86">
        <f>IFERROR(VLOOKUP(B20,'Académicos JC CM'!$B$3:$E$20,4,0),0)</f>
        <v>104704.96345139411</v>
      </c>
      <c r="O20" s="86">
        <f>IFERROR(VLOOKUP(B20,'Matrícula Regular Pre CM'!B13:E30,4,0),0)</f>
        <v>146976.62554195742</v>
      </c>
      <c r="P20" s="151">
        <f t="shared" si="2"/>
        <v>389416.36092038359</v>
      </c>
      <c r="Q20" s="152">
        <f t="shared" si="3"/>
        <v>405113.56092038361</v>
      </c>
      <c r="R20" s="153">
        <f>IFERROR(VLOOKUP(B20,Indicadores!$B$5:$AH$22,33,0),0)</f>
        <v>1190865</v>
      </c>
      <c r="S20" s="87">
        <v>100000</v>
      </c>
      <c r="T20" s="87">
        <f>IFERROR(VLOOKUP(B20,'[1]Puntaje Final FID'!$C$7:$M$22,11,0),0)</f>
        <v>298501</v>
      </c>
      <c r="U20" s="88">
        <f t="shared" si="4"/>
        <v>398501</v>
      </c>
      <c r="V20" s="89">
        <v>1282500</v>
      </c>
      <c r="W20" s="145">
        <f t="shared" si="0"/>
        <v>3276979.5609203838</v>
      </c>
      <c r="X20" s="145">
        <f t="shared" si="5"/>
        <v>3276980</v>
      </c>
      <c r="Y20" s="92">
        <f t="shared" si="6"/>
        <v>5.3655840139005005E-2</v>
      </c>
      <c r="Z20" s="90" t="str">
        <f t="shared" si="7"/>
        <v>UAP</v>
      </c>
    </row>
    <row r="21" spans="1:26" x14ac:dyDescent="0.25">
      <c r="A21" s="51" t="str">
        <f>Indicadores!A16</f>
        <v>UNIVERSIDAD DE ATACAMA</v>
      </c>
      <c r="B21" s="81" t="str">
        <f>Indicadores!B16</f>
        <v>ATA</v>
      </c>
      <c r="C21" s="82" t="str">
        <f>Indicadores!C16</f>
        <v>CRUCH-ESTATAL</v>
      </c>
      <c r="D21" s="82" t="str">
        <f>Indicadores!D16</f>
        <v>Categoría III</v>
      </c>
      <c r="E21" s="50">
        <v>21261</v>
      </c>
      <c r="F21" s="50">
        <f t="shared" si="1"/>
        <v>21898.83</v>
      </c>
      <c r="G21" s="83"/>
      <c r="H21" s="84"/>
      <c r="I21" s="85"/>
      <c r="J21" s="86">
        <f>IFERROR(VLOOKUP(B21,'Publicaciones CM'!B13:E31,4,0),0)</f>
        <v>22516.026630811935</v>
      </c>
      <c r="K21" s="86">
        <f>IFERROR(VLOOKUP(B21,'Acreditación CM'!$B$3:$K$20,10,0),0)</f>
        <v>136814.65053763436</v>
      </c>
      <c r="L21" s="86">
        <f>IFERROR(VLOOKUP(B21,'Doctorado JC CM'!$B$2:$E$20,4,0),0)</f>
        <v>56335.444339025933</v>
      </c>
      <c r="M21" s="86">
        <f>IFERROR(VLOOKUP(B21,'Programas Doct. Acreditados CM'!$B$3:$E$20,4,0),0)</f>
        <v>0</v>
      </c>
      <c r="N21" s="86">
        <f>IFERROR(VLOOKUP(B21,'Académicos JC CM'!$B$3:$E$20,4,0),0)</f>
        <v>119279.28070836473</v>
      </c>
      <c r="O21" s="86">
        <f>IFERROR(VLOOKUP(B21,'Matrícula Regular Pre CM'!B14:E31,4,0),0)</f>
        <v>105426.46492139366</v>
      </c>
      <c r="P21" s="151">
        <f t="shared" si="2"/>
        <v>440371.86713723064</v>
      </c>
      <c r="Q21" s="152">
        <f t="shared" si="3"/>
        <v>462270.69713723066</v>
      </c>
      <c r="R21" s="178">
        <f>IFERROR(VLOOKUP(B21,Indicadores!$B$5:$AH$22,33,0),0)</f>
        <v>1202138</v>
      </c>
      <c r="S21" s="87">
        <v>100000</v>
      </c>
      <c r="T21" s="87">
        <f>IFERROR(VLOOKUP(B21,'[1]Puntaje Final FID'!$C$7:$M$22,11,0),0)</f>
        <v>283940</v>
      </c>
      <c r="U21" s="88">
        <f t="shared" si="4"/>
        <v>383940</v>
      </c>
      <c r="V21" s="89"/>
      <c r="W21" s="145">
        <f t="shared" si="0"/>
        <v>2048348.6971372305</v>
      </c>
      <c r="X21" s="145">
        <f t="shared" si="5"/>
        <v>2048349</v>
      </c>
      <c r="Y21" s="92">
        <f t="shared" si="6"/>
        <v>3.3538772434647375E-2</v>
      </c>
      <c r="Z21" s="90" t="str">
        <f t="shared" si="7"/>
        <v>ATA</v>
      </c>
    </row>
    <row r="22" spans="1:26" x14ac:dyDescent="0.25">
      <c r="A22" s="51" t="str">
        <f>Indicadores!A17</f>
        <v>UNIVERSIDAD DE LOS LAGOS</v>
      </c>
      <c r="B22" s="81" t="str">
        <f>Indicadores!B17</f>
        <v>ULA</v>
      </c>
      <c r="C22" s="82" t="str">
        <f>Indicadores!C17</f>
        <v>CRUCH-ESTATAL</v>
      </c>
      <c r="D22" s="82" t="str">
        <f>Indicadores!D17</f>
        <v>Categoría II</v>
      </c>
      <c r="E22" s="50">
        <v>9441</v>
      </c>
      <c r="F22" s="50">
        <f t="shared" si="1"/>
        <v>9724.23</v>
      </c>
      <c r="G22" s="83"/>
      <c r="H22" s="84"/>
      <c r="I22" s="85"/>
      <c r="J22" s="86">
        <f>IFERROR(VLOOKUP(B22,'Publicaciones CM'!B14:E32,4,0),0)</f>
        <v>44590.56254337266</v>
      </c>
      <c r="K22" s="86">
        <f>IFERROR(VLOOKUP(B22,'Acreditación CM'!$B$3:$K$20,10,0),0)</f>
        <v>54725.860215053734</v>
      </c>
      <c r="L22" s="86">
        <f>IFERROR(VLOOKUP(B22,'Doctorado JC CM'!$B$2:$E$20,4,0),0)</f>
        <v>71626.493516761533</v>
      </c>
      <c r="M22" s="86">
        <f>IFERROR(VLOOKUP(B22,'Programas Doct. Acreditados CM'!$B$3:$E$20,4,0),0)</f>
        <v>34859.623287671231</v>
      </c>
      <c r="N22" s="86">
        <f>IFERROR(VLOOKUP(B22,'Académicos JC CM'!$B$3:$E$20,4,0),0)</f>
        <v>112759.19140919368</v>
      </c>
      <c r="O22" s="86">
        <f>IFERROR(VLOOKUP(B22,'Matrícula Regular Pre CM'!B15:E32,4,0),0)</f>
        <v>127141.35210117338</v>
      </c>
      <c r="P22" s="151">
        <f t="shared" si="2"/>
        <v>445703.08307322621</v>
      </c>
      <c r="Q22" s="152">
        <f t="shared" si="3"/>
        <v>455427.31307322619</v>
      </c>
      <c r="R22" s="153">
        <f>IFERROR(VLOOKUP(B22,Indicadores!$B$5:$AH$22,33,0),0)</f>
        <v>1667389</v>
      </c>
      <c r="S22" s="87">
        <v>100000</v>
      </c>
      <c r="T22" s="87">
        <f>IFERROR(VLOOKUP(B22,'[1]Puntaje Final FID'!$C$7:$M$22,11,0),0)</f>
        <v>509636</v>
      </c>
      <c r="U22" s="88">
        <f t="shared" si="4"/>
        <v>609636</v>
      </c>
      <c r="V22" s="89"/>
      <c r="W22" s="145">
        <f t="shared" si="0"/>
        <v>2732452.3130732263</v>
      </c>
      <c r="X22" s="145">
        <f t="shared" si="5"/>
        <v>2732452</v>
      </c>
      <c r="Y22" s="92">
        <f t="shared" si="6"/>
        <v>4.4739976350024871E-2</v>
      </c>
      <c r="Z22" s="90" t="str">
        <f t="shared" si="7"/>
        <v>ULA</v>
      </c>
    </row>
    <row r="23" spans="1:26" x14ac:dyDescent="0.25">
      <c r="A23" s="51" t="str">
        <f>Indicadores!A18</f>
        <v>UNIVERSIDAD DE MAGALLANES</v>
      </c>
      <c r="B23" s="81" t="str">
        <f>Indicadores!B18</f>
        <v>MAG</v>
      </c>
      <c r="C23" s="82" t="str">
        <f>Indicadores!C18</f>
        <v>CRUCH-ESTATAL</v>
      </c>
      <c r="D23" s="82" t="str">
        <f>Indicadores!D18</f>
        <v>Categoría III</v>
      </c>
      <c r="E23" s="50">
        <v>26019</v>
      </c>
      <c r="F23" s="50">
        <f t="shared" si="1"/>
        <v>26799.57</v>
      </c>
      <c r="G23" s="83"/>
      <c r="H23" s="84"/>
      <c r="I23" s="85"/>
      <c r="J23" s="86">
        <f>IFERROR(VLOOKUP(B23,'Publicaciones CM'!B15:E33,4,0),0)</f>
        <v>52095.904753643299</v>
      </c>
      <c r="K23" s="86">
        <f>IFERROR(VLOOKUP(B23,'Acreditación CM'!$B$3:$K$20,10,0),0)</f>
        <v>150496.1155913978</v>
      </c>
      <c r="L23" s="86">
        <f>IFERROR(VLOOKUP(B23,'Doctorado JC CM'!$B$2:$E$20,4,0),0)</f>
        <v>45873.147533206837</v>
      </c>
      <c r="M23" s="86">
        <f>IFERROR(VLOOKUP(B23,'Programas Doct. Acreditados CM'!$B$3:$E$20,4,0),0)</f>
        <v>0</v>
      </c>
      <c r="N23" s="86">
        <f>IFERROR(VLOOKUP(B23,'Académicos JC CM'!$B$3:$E$20,4,0),0)</f>
        <v>72488.05162019594</v>
      </c>
      <c r="O23" s="86">
        <f>IFERROR(VLOOKUP(B23,'Matrícula Regular Pre CM'!B16:E33,4,0),0)</f>
        <v>62684.354124881393</v>
      </c>
      <c r="P23" s="151">
        <f t="shared" si="2"/>
        <v>383637.57362332527</v>
      </c>
      <c r="Q23" s="152">
        <f t="shared" si="3"/>
        <v>410437.14362332522</v>
      </c>
      <c r="R23" s="153">
        <f>IFERROR(VLOOKUP(B23,Indicadores!$B$5:$AH$22,33,0),0)</f>
        <v>1477059</v>
      </c>
      <c r="S23" s="87">
        <v>100000</v>
      </c>
      <c r="T23" s="87">
        <f>IFERROR(VLOOKUP(B23,'[1]Puntaje Final FID'!$C$7:$M$22,11,0),0)</f>
        <v>371306</v>
      </c>
      <c r="U23" s="88">
        <f t="shared" si="4"/>
        <v>471306</v>
      </c>
      <c r="V23" s="89"/>
      <c r="W23" s="145">
        <f t="shared" si="0"/>
        <v>2358802.143623325</v>
      </c>
      <c r="X23" s="145">
        <f t="shared" si="5"/>
        <v>2358802</v>
      </c>
      <c r="Y23" s="92">
        <f t="shared" si="6"/>
        <v>3.8621994345881053E-2</v>
      </c>
      <c r="Z23" s="90" t="str">
        <f t="shared" si="7"/>
        <v>MAG</v>
      </c>
    </row>
    <row r="24" spans="1:26" x14ac:dyDescent="0.25">
      <c r="A24" s="51" t="str">
        <f>Indicadores!A19</f>
        <v>UNIVERSIDAD METROPOLITANA DE CS.DE LA EDUCACIÓN</v>
      </c>
      <c r="B24" s="81" t="str">
        <f>Indicadores!B19</f>
        <v>UMC</v>
      </c>
      <c r="C24" s="82" t="str">
        <f>Indicadores!C19</f>
        <v>CRUCH-ESTATAL</v>
      </c>
      <c r="D24" s="82" t="str">
        <f>Indicadores!D19</f>
        <v>Categoría III</v>
      </c>
      <c r="E24" s="50">
        <v>102885</v>
      </c>
      <c r="F24" s="50">
        <f t="shared" si="1"/>
        <v>105971.55</v>
      </c>
      <c r="G24" s="83"/>
      <c r="H24" s="84"/>
      <c r="I24" s="85"/>
      <c r="J24" s="86">
        <f>IFERROR(VLOOKUP(B24,'Publicaciones CM'!B16:E34,4,0),0)</f>
        <v>33111.803868841082</v>
      </c>
      <c r="K24" s="86">
        <f>IFERROR(VLOOKUP(B24,'Acreditación CM'!$B$3:$K$20,10,0),0)</f>
        <v>41044.395161290304</v>
      </c>
      <c r="L24" s="86">
        <f>IFERROR(VLOOKUP(B24,'Doctorado JC CM'!$B$2:$E$20,4,0),0)</f>
        <v>48287.523719165081</v>
      </c>
      <c r="M24" s="86">
        <f>IFERROR(VLOOKUP(B24,'Programas Doct. Acreditados CM'!$B$3:$E$20,4,0),0)</f>
        <v>0</v>
      </c>
      <c r="N24" s="86">
        <f>IFERROR(VLOOKUP(B24,'Académicos JC CM'!$B$3:$E$20,4,0),0)</f>
        <v>92048.319517709126</v>
      </c>
      <c r="O24" s="86">
        <f>IFERROR(VLOOKUP(B24,'Matrícula Regular Pre CM'!B17:E34,4,0),0)</f>
        <v>71837.920219665393</v>
      </c>
      <c r="P24" s="151">
        <f t="shared" si="2"/>
        <v>286329.96248667099</v>
      </c>
      <c r="Q24" s="152">
        <f t="shared" si="3"/>
        <v>392301.51248667098</v>
      </c>
      <c r="R24" s="153">
        <f>IFERROR(VLOOKUP(B24,Indicadores!$B$5:$AH$22,33,0),0)</f>
        <v>1258005</v>
      </c>
      <c r="S24" s="87">
        <v>100000</v>
      </c>
      <c r="T24" s="87">
        <f>IFERROR(VLOOKUP(B24,'[1]Puntaje Final FID'!$C$7:$M$22,11,0),0)</f>
        <v>618844</v>
      </c>
      <c r="U24" s="88">
        <f t="shared" si="4"/>
        <v>718844</v>
      </c>
      <c r="V24" s="89">
        <v>1282500</v>
      </c>
      <c r="W24" s="145">
        <f t="shared" si="0"/>
        <v>3651650.5124866711</v>
      </c>
      <c r="X24" s="145">
        <f t="shared" si="5"/>
        <v>3651651</v>
      </c>
      <c r="Y24" s="92">
        <f t="shared" si="6"/>
        <v>5.9790539551488796E-2</v>
      </c>
      <c r="Z24" s="90" t="str">
        <f t="shared" si="7"/>
        <v>UMC</v>
      </c>
    </row>
    <row r="25" spans="1:26" x14ac:dyDescent="0.25">
      <c r="A25" s="51" t="str">
        <f>Indicadores!A20</f>
        <v>UNIVERSIDAD TECNOLÓGICA METROPOLITANA</v>
      </c>
      <c r="B25" s="81" t="str">
        <f>Indicadores!B20</f>
        <v>UTM</v>
      </c>
      <c r="C25" s="82" t="str">
        <f>Indicadores!C20</f>
        <v>CRUCH-ESTATAL</v>
      </c>
      <c r="D25" s="82" t="str">
        <f>Indicadores!D20</f>
        <v>Categoría III</v>
      </c>
      <c r="E25" s="50">
        <v>52483</v>
      </c>
      <c r="F25" s="50">
        <f t="shared" si="1"/>
        <v>54057.49</v>
      </c>
      <c r="G25" s="83"/>
      <c r="H25" s="84"/>
      <c r="I25" s="85"/>
      <c r="J25" s="86">
        <f>IFERROR(VLOOKUP(B25,'Publicaciones CM'!B17:E35,4,0),0)</f>
        <v>15893.665857043719</v>
      </c>
      <c r="K25" s="86">
        <f>IFERROR(VLOOKUP(B25,'Acreditación CM'!$B$3:$K$20,10,0),0)</f>
        <v>54725.860215053734</v>
      </c>
      <c r="L25" s="86">
        <f>IFERROR(VLOOKUP(B25,'Doctorado JC CM'!$B$2:$E$20,4,0),0)</f>
        <v>37825.226913345985</v>
      </c>
      <c r="M25" s="86">
        <f>IFERROR(VLOOKUP(B25,'Programas Doct. Acreditados CM'!$B$3:$E$20,4,0),0)</f>
        <v>0</v>
      </c>
      <c r="N25" s="86">
        <f>IFERROR(VLOOKUP(B25,'Académicos JC CM'!$B$3:$E$20,4,0),0)</f>
        <v>74789.259608138658</v>
      </c>
      <c r="O25" s="86">
        <f>IFERROR(VLOOKUP(B25,'Matrícula Regular Pre CM'!B18:E35,4,0),0)</f>
        <v>126744.03537585723</v>
      </c>
      <c r="P25" s="151">
        <f t="shared" si="2"/>
        <v>309978.0479694393</v>
      </c>
      <c r="Q25" s="152">
        <f t="shared" si="3"/>
        <v>364035.53796943929</v>
      </c>
      <c r="R25" s="153">
        <f>IFERROR(VLOOKUP(B25,Indicadores!$B$5:$AH$22,33,0),0)</f>
        <v>1224975</v>
      </c>
      <c r="S25" s="87">
        <v>0</v>
      </c>
      <c r="T25" s="87">
        <f>IFERROR(VLOOKUP(B25,'[1]Puntaje Final FID'!$C$7:$M$22,11,0),0)</f>
        <v>0</v>
      </c>
      <c r="U25" s="88">
        <f t="shared" si="4"/>
        <v>0</v>
      </c>
      <c r="V25" s="89"/>
      <c r="W25" s="145">
        <f t="shared" si="0"/>
        <v>1589010.5379694393</v>
      </c>
      <c r="X25" s="145">
        <f t="shared" si="5"/>
        <v>1589011</v>
      </c>
      <c r="Y25" s="92">
        <f t="shared" si="6"/>
        <v>2.6017772520772323E-2</v>
      </c>
      <c r="Z25" s="90" t="str">
        <f t="shared" si="7"/>
        <v>UTM</v>
      </c>
    </row>
    <row r="26" spans="1:26" x14ac:dyDescent="0.25">
      <c r="A26" s="51" t="s">
        <v>111</v>
      </c>
      <c r="B26" s="81" t="s">
        <v>112</v>
      </c>
      <c r="C26" s="82" t="s">
        <v>33</v>
      </c>
      <c r="D26" s="82" t="s">
        <v>115</v>
      </c>
      <c r="E26" s="50">
        <v>0</v>
      </c>
      <c r="F26" s="50">
        <f t="shared" si="1"/>
        <v>0</v>
      </c>
      <c r="G26" s="83">
        <v>800000</v>
      </c>
      <c r="H26" s="84"/>
      <c r="I26" s="85"/>
      <c r="J26" s="86">
        <f>IFERROR(VLOOKUP(B26,'Publicaciones CM'!B18:E36,4,0),0)</f>
        <v>0</v>
      </c>
      <c r="K26" s="86">
        <f>IFERROR(VLOOKUP(B26,'Acreditación CM'!$B$3:$K$20,10,0),0)</f>
        <v>0</v>
      </c>
      <c r="L26" s="86">
        <f>IFERROR(VLOOKUP(B26,'Doctorado JC CM'!$B$2:$E$20,4,0),0)</f>
        <v>17705.425363693867</v>
      </c>
      <c r="M26" s="86">
        <f>IFERROR(VLOOKUP(B26,'Programas Doct. Acreditados CM'!$B$3:$E$20,4,0),0)</f>
        <v>0</v>
      </c>
      <c r="N26" s="86">
        <f>IFERROR(VLOOKUP(B26,'Académicos JC CM'!$B$3:$E$20,4,0),0)</f>
        <v>10355.435945742276</v>
      </c>
      <c r="O26" s="86">
        <f>IFERROR(VLOOKUP(B26,'Matrícula Regular Pre CM'!B19:E36,4,0),0)</f>
        <v>6647.4144427897145</v>
      </c>
      <c r="P26" s="151">
        <f t="shared" si="2"/>
        <v>34708.275752225854</v>
      </c>
      <c r="Q26" s="152">
        <f t="shared" si="3"/>
        <v>834708.27575222589</v>
      </c>
      <c r="R26" s="153">
        <f>IFERROR(VLOOKUP(B26,Indicadores!$B$5:$AH$22,33,0),0)</f>
        <v>0</v>
      </c>
      <c r="S26" s="87">
        <v>100000</v>
      </c>
      <c r="T26" s="87">
        <f>IFERROR(VLOOKUP(B26,'[1]Puntaje Final FID'!$C$7:$M$22,11,0),0)</f>
        <v>356745</v>
      </c>
      <c r="U26" s="88">
        <f t="shared" si="4"/>
        <v>456745</v>
      </c>
      <c r="V26" s="89"/>
      <c r="W26" s="145">
        <f t="shared" si="0"/>
        <v>1291453.2757522259</v>
      </c>
      <c r="X26" s="145">
        <f t="shared" si="5"/>
        <v>1291453</v>
      </c>
      <c r="Y26" s="92">
        <f t="shared" si="6"/>
        <v>2.1145687710952901E-2</v>
      </c>
      <c r="Z26" s="90" t="str">
        <f>+B26</f>
        <v>URO</v>
      </c>
    </row>
    <row r="27" spans="1:26" ht="15.75" thickBot="1" x14ac:dyDescent="0.3">
      <c r="A27" s="93" t="s">
        <v>113</v>
      </c>
      <c r="B27" s="94" t="s">
        <v>114</v>
      </c>
      <c r="C27" s="95" t="s">
        <v>33</v>
      </c>
      <c r="D27" s="95" t="s">
        <v>115</v>
      </c>
      <c r="E27" s="96">
        <v>0</v>
      </c>
      <c r="F27" s="96">
        <f t="shared" si="1"/>
        <v>0</v>
      </c>
      <c r="G27" s="97">
        <v>800000</v>
      </c>
      <c r="H27" s="98"/>
      <c r="I27" s="99"/>
      <c r="J27" s="100">
        <f>IFERROR(VLOOKUP(B27,'Publicaciones CM'!B19:E37,4,0),0)</f>
        <v>0</v>
      </c>
      <c r="K27" s="100">
        <f>IFERROR(VLOOKUP(B27,'Acreditación CM'!$B$3:$K$20,10,0),0)</f>
        <v>0</v>
      </c>
      <c r="L27" s="100">
        <f>IFERROR(VLOOKUP(B27,'Doctorado JC CM'!$B$2:$E$20,4,0),0)</f>
        <v>5633.5444339025935</v>
      </c>
      <c r="M27" s="100">
        <f>IFERROR(VLOOKUP(B27,'Programas Doct. Acreditados CM'!$B$3:$E$20,4,0),0)</f>
        <v>0</v>
      </c>
      <c r="N27" s="100">
        <f>IFERROR(VLOOKUP(B27,'Académicos JC CM'!$B$3:$E$20,4,0),0)</f>
        <v>5369.4853051996988</v>
      </c>
      <c r="O27" s="100">
        <f>IFERROR(VLOOKUP(B27,'Matrícula Regular Pre CM'!B20:E37,4,0),0)</f>
        <v>1421.1713636309044</v>
      </c>
      <c r="P27" s="154">
        <f t="shared" si="2"/>
        <v>12424.201102733197</v>
      </c>
      <c r="Q27" s="155">
        <f t="shared" si="3"/>
        <v>812424.20110273326</v>
      </c>
      <c r="R27" s="156">
        <f>IFERROR(VLOOKUP(B27,Indicadores!$B$5:$AH$22,33,0),0)</f>
        <v>0</v>
      </c>
      <c r="S27" s="101">
        <v>0</v>
      </c>
      <c r="T27" s="101">
        <f>IFERROR(VLOOKUP(B27,'[1]Puntaje Final FID'!$C$7:$M$22,11,0),0)</f>
        <v>0</v>
      </c>
      <c r="U27" s="102">
        <f t="shared" si="4"/>
        <v>0</v>
      </c>
      <c r="V27" s="103"/>
      <c r="W27" s="146">
        <f t="shared" si="0"/>
        <v>812424.20110273326</v>
      </c>
      <c r="X27" s="146">
        <f t="shared" si="5"/>
        <v>812424</v>
      </c>
      <c r="Y27" s="104">
        <f t="shared" si="6"/>
        <v>1.3302275958074507E-2</v>
      </c>
      <c r="Z27" s="90" t="str">
        <f t="shared" si="7"/>
        <v>URY</v>
      </c>
    </row>
    <row r="28" spans="1:26" ht="15.75" thickBot="1" x14ac:dyDescent="0.3">
      <c r="A28" s="105" t="s">
        <v>95</v>
      </c>
      <c r="B28" s="106"/>
      <c r="C28" s="107"/>
      <c r="D28" s="107"/>
      <c r="E28" s="108">
        <f>SUM(E10:E27)</f>
        <v>4471499</v>
      </c>
      <c r="F28" s="108">
        <f t="shared" ref="F28:Y28" si="8">SUM(F10:F27)</f>
        <v>4605643.9700000016</v>
      </c>
      <c r="G28" s="109">
        <f t="shared" si="8"/>
        <v>1600000</v>
      </c>
      <c r="H28" s="110">
        <f t="shared" si="8"/>
        <v>400000</v>
      </c>
      <c r="I28" s="111">
        <f t="shared" si="8"/>
        <v>100000</v>
      </c>
      <c r="J28" s="112">
        <f t="shared" si="8"/>
        <v>2544752.4999999995</v>
      </c>
      <c r="K28" s="112">
        <f t="shared" si="8"/>
        <v>2544752.4999999991</v>
      </c>
      <c r="L28" s="112">
        <f t="shared" si="8"/>
        <v>2544752.4999999991</v>
      </c>
      <c r="M28" s="112">
        <f t="shared" si="8"/>
        <v>2544752.5</v>
      </c>
      <c r="N28" s="112">
        <f t="shared" si="8"/>
        <v>2544752.5000000009</v>
      </c>
      <c r="O28" s="112">
        <f t="shared" si="8"/>
        <v>2544752.5</v>
      </c>
      <c r="P28" s="112">
        <f t="shared" si="8"/>
        <v>15268515</v>
      </c>
      <c r="Q28" s="113">
        <f t="shared" si="8"/>
        <v>21974158.969999991</v>
      </c>
      <c r="R28" s="114">
        <f t="shared" si="8"/>
        <v>28134901</v>
      </c>
      <c r="S28" s="115">
        <f t="shared" si="8"/>
        <v>1600000</v>
      </c>
      <c r="T28" s="115">
        <f t="shared" si="8"/>
        <v>6800000</v>
      </c>
      <c r="U28" s="116">
        <f t="shared" si="8"/>
        <v>8400000</v>
      </c>
      <c r="V28" s="117">
        <f t="shared" si="8"/>
        <v>2565000</v>
      </c>
      <c r="W28" s="147">
        <f t="shared" si="8"/>
        <v>61074059.969999999</v>
      </c>
      <c r="X28" s="147">
        <f t="shared" si="8"/>
        <v>61074060</v>
      </c>
      <c r="Y28" s="118">
        <f t="shared" si="8"/>
        <v>1.0000000000000002</v>
      </c>
      <c r="Z28" s="90"/>
    </row>
    <row r="32" spans="1:26" ht="25.5" x14ac:dyDescent="0.25">
      <c r="A32" s="141" t="s">
        <v>125</v>
      </c>
      <c r="B32" s="141" t="s">
        <v>158</v>
      </c>
      <c r="C32" s="141" t="s">
        <v>193</v>
      </c>
      <c r="D32" s="141" t="s">
        <v>165</v>
      </c>
      <c r="E32" s="141" t="s">
        <v>123</v>
      </c>
      <c r="F32" s="141" t="s">
        <v>124</v>
      </c>
      <c r="G32" s="141" t="s">
        <v>153</v>
      </c>
      <c r="H32" s="141" t="s">
        <v>94</v>
      </c>
      <c r="I32" s="141" t="s">
        <v>96</v>
      </c>
      <c r="J32" s="141" t="s">
        <v>91</v>
      </c>
      <c r="K32" s="141" t="s">
        <v>93</v>
      </c>
      <c r="N32" s="49"/>
      <c r="O32" s="49"/>
      <c r="P32" s="49"/>
      <c r="Q32" s="49"/>
    </row>
    <row r="33" spans="1:11" x14ac:dyDescent="0.25">
      <c r="A33" s="51" t="s">
        <v>95</v>
      </c>
      <c r="B33" s="28">
        <v>61074060</v>
      </c>
      <c r="C33" s="28">
        <f>F28</f>
        <v>4605643.9700000016</v>
      </c>
      <c r="D33" s="28">
        <f>G28</f>
        <v>1600000</v>
      </c>
      <c r="E33" s="28">
        <f t="shared" ref="E33:F33" si="9">H28</f>
        <v>400000</v>
      </c>
      <c r="F33" s="28">
        <f t="shared" si="9"/>
        <v>100000</v>
      </c>
      <c r="G33" s="28">
        <f>P28</f>
        <v>15268515</v>
      </c>
      <c r="H33" s="28">
        <f>Q28</f>
        <v>21974158.969999991</v>
      </c>
      <c r="I33" s="28">
        <f>B33-H33-J33-K33</f>
        <v>28134901.030000009</v>
      </c>
      <c r="J33" s="28">
        <f>U28</f>
        <v>8400000</v>
      </c>
      <c r="K33" s="28">
        <f>V28</f>
        <v>2565000</v>
      </c>
    </row>
    <row r="36" spans="1:11" x14ac:dyDescent="0.25">
      <c r="A36" s="26" t="s">
        <v>167</v>
      </c>
      <c r="B36" s="28">
        <f>25%*B33</f>
        <v>15268515</v>
      </c>
    </row>
    <row r="37" spans="1:11" x14ac:dyDescent="0.25">
      <c r="A37" s="26" t="s">
        <v>116</v>
      </c>
      <c r="B37" s="27">
        <v>0.03</v>
      </c>
    </row>
    <row r="38" spans="1:11" x14ac:dyDescent="0.25">
      <c r="A38" s="2"/>
    </row>
  </sheetData>
  <mergeCells count="14">
    <mergeCell ref="A7:A9"/>
    <mergeCell ref="B7:B9"/>
    <mergeCell ref="C7:C9"/>
    <mergeCell ref="D7:D9"/>
    <mergeCell ref="Y7:Y9"/>
    <mergeCell ref="Q7:Q9"/>
    <mergeCell ref="R7:R9"/>
    <mergeCell ref="V7:V9"/>
    <mergeCell ref="W7:W9"/>
    <mergeCell ref="X7:X9"/>
    <mergeCell ref="S7:U8"/>
    <mergeCell ref="E8:F8"/>
    <mergeCell ref="J8:P8"/>
    <mergeCell ref="E7:P7"/>
  </mergeCells>
  <pageMargins left="0.70866141732283472" right="0.70866141732283472" top="0.74803149606299213" bottom="0.74803149606299213" header="0.31496062992125984" footer="0.31496062992125984"/>
  <pageSetup paperSize="14" scale="6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0C240-7C6A-4753-8C26-BFAAE26C715F}">
  <dimension ref="A1:N34"/>
  <sheetViews>
    <sheetView workbookViewId="0">
      <pane xSplit="1" ySplit="6" topLeftCell="E7" activePane="bottomRight" state="frozen"/>
      <selection pane="topRight" activeCell="B1" sqref="B1"/>
      <selection pane="bottomLeft" activeCell="A4" sqref="A4"/>
      <selection pane="bottomRight" activeCell="I30" sqref="I30"/>
    </sheetView>
  </sheetViews>
  <sheetFormatPr baseColWidth="10" defaultRowHeight="15" x14ac:dyDescent="0.25"/>
  <cols>
    <col min="1" max="1" width="46" customWidth="1"/>
    <col min="2" max="2" width="15.28515625" bestFit="1" customWidth="1"/>
    <col min="3" max="3" width="13.42578125" customWidth="1"/>
    <col min="4" max="4" width="15" customWidth="1"/>
    <col min="5" max="5" width="14.42578125" customWidth="1"/>
    <col min="6" max="6" width="12.85546875" customWidth="1"/>
    <col min="7" max="7" width="5.28515625" bestFit="1" customWidth="1"/>
    <col min="9" max="9" width="11.7109375" bestFit="1" customWidth="1"/>
    <col min="13" max="13" width="11.7109375" bestFit="1" customWidth="1"/>
  </cols>
  <sheetData>
    <row r="1" spans="1:14" ht="18.75" x14ac:dyDescent="0.3">
      <c r="A1" s="143" t="s">
        <v>195</v>
      </c>
    </row>
    <row r="2" spans="1:14" x14ac:dyDescent="0.25">
      <c r="A2" s="24" t="s">
        <v>200</v>
      </c>
    </row>
    <row r="3" spans="1:14" x14ac:dyDescent="0.25">
      <c r="A3" t="s">
        <v>222</v>
      </c>
    </row>
    <row r="4" spans="1:14" s="80" customFormat="1" x14ac:dyDescent="0.25"/>
    <row r="5" spans="1:14" s="80" customFormat="1" ht="15.75" thickBot="1" x14ac:dyDescent="0.3"/>
    <row r="6" spans="1:14" ht="39" x14ac:dyDescent="0.25">
      <c r="A6" s="166" t="s">
        <v>22</v>
      </c>
      <c r="B6" s="167" t="s">
        <v>10</v>
      </c>
      <c r="C6" s="167" t="s">
        <v>32</v>
      </c>
      <c r="D6" s="167" t="s">
        <v>53</v>
      </c>
      <c r="E6" s="164" t="s">
        <v>197</v>
      </c>
      <c r="F6" s="165" t="s">
        <v>108</v>
      </c>
      <c r="G6" s="1"/>
      <c r="H6" s="1"/>
      <c r="I6" s="159" t="s">
        <v>212</v>
      </c>
      <c r="J6" s="161" t="s">
        <v>213</v>
      </c>
      <c r="K6" s="159" t="s">
        <v>214</v>
      </c>
      <c r="L6" s="173" t="s">
        <v>93</v>
      </c>
      <c r="M6" s="91" t="s">
        <v>215</v>
      </c>
      <c r="N6" s="91" t="s">
        <v>216</v>
      </c>
    </row>
    <row r="7" spans="1:14" x14ac:dyDescent="0.25">
      <c r="A7" s="168" t="str">
        <f>Indicadores!A5</f>
        <v>UNIVERSIDAD DE CHILE</v>
      </c>
      <c r="B7" s="120" t="s">
        <v>13</v>
      </c>
      <c r="C7" s="121" t="str">
        <f>Indicadores!C5</f>
        <v>CRUCH-ESTATAL</v>
      </c>
      <c r="D7" s="121" t="str">
        <f>Indicadores!D5</f>
        <v>Categoría I</v>
      </c>
      <c r="E7" s="144">
        <f>VLOOKUP($B7,'Montos CM 2018'!$B$10:$X$27,23,0)</f>
        <v>10865180</v>
      </c>
      <c r="F7" s="169">
        <f>+E7/$E$25</f>
        <v>0.17790171473781177</v>
      </c>
      <c r="G7" s="90" t="str">
        <f t="shared" ref="G7:G24" si="0">+B7</f>
        <v>UCH</v>
      </c>
      <c r="H7" s="13"/>
      <c r="I7" s="160">
        <f>VLOOKUP(B7,'[2]CM_Calculo 2017'!$A$9:$O$26,15,0)</f>
        <v>10662356</v>
      </c>
      <c r="J7" s="175">
        <f>+I7/$I$25</f>
        <v>0.18438569862207507</v>
      </c>
      <c r="K7" s="172">
        <f>TRUNC(J7*$B$32,0)</f>
        <v>4315293</v>
      </c>
      <c r="L7" s="176">
        <f>VLOOKUP($B7,'Montos CM 2018'!$B$10:$X$27,21,0)</f>
        <v>0</v>
      </c>
      <c r="M7" s="172">
        <f>E7-K7-L7</f>
        <v>6549887</v>
      </c>
      <c r="N7" s="174">
        <f>+M7/E7</f>
        <v>0.60283281086921703</v>
      </c>
    </row>
    <row r="8" spans="1:14" x14ac:dyDescent="0.25">
      <c r="A8" s="170" t="str">
        <f>Indicadores!A6</f>
        <v>UNIVERSIDAD DE SANTIAGO DE CHILE</v>
      </c>
      <c r="B8" s="81" t="s">
        <v>14</v>
      </c>
      <c r="C8" s="82" t="str">
        <f>Indicadores!C6</f>
        <v>CRUCH-ESTATAL</v>
      </c>
      <c r="D8" s="82" t="str">
        <f>Indicadores!D6</f>
        <v>Categoría I</v>
      </c>
      <c r="E8" s="144">
        <f>VLOOKUP($B8,'Montos CM 2018'!$B$10:$X$27,23,0)</f>
        <v>5587448</v>
      </c>
      <c r="F8" s="169">
        <f t="shared" ref="F8:F24" si="1">+E8/$E$25</f>
        <v>9.1486434666370631E-2</v>
      </c>
      <c r="G8" s="90" t="str">
        <f t="shared" si="0"/>
        <v>USA</v>
      </c>
      <c r="I8" s="160">
        <f>VLOOKUP(B8,'[2]CM_Calculo 2017'!$A$9:$O$26,15,0)</f>
        <v>5660481</v>
      </c>
      <c r="J8" s="175">
        <f t="shared" ref="J8:J24" si="2">+I8/$I$25</f>
        <v>9.7887534773926338E-2</v>
      </c>
      <c r="K8" s="172">
        <f t="shared" ref="K8:K24" si="3">TRUNC(J8*$B$32,0)</f>
        <v>2290923</v>
      </c>
      <c r="L8" s="176">
        <f>VLOOKUP($B8,'Montos CM 2018'!$B$10:$X$27,21,0)</f>
        <v>0</v>
      </c>
      <c r="M8" s="172">
        <f t="shared" ref="M8:M24" si="4">E8-K8-L8</f>
        <v>3296525</v>
      </c>
      <c r="N8" s="174">
        <f t="shared" ref="N8:N24" si="5">+M8/E8</f>
        <v>0.58998759362055808</v>
      </c>
    </row>
    <row r="9" spans="1:14" x14ac:dyDescent="0.25">
      <c r="A9" s="170" t="str">
        <f>Indicadores!A7</f>
        <v>UNIVERSIDAD DE ANTOFAGASTA</v>
      </c>
      <c r="B9" s="81" t="s">
        <v>20</v>
      </c>
      <c r="C9" s="82" t="str">
        <f>Indicadores!C7</f>
        <v>CRUCH-ESTATAL</v>
      </c>
      <c r="D9" s="82" t="str">
        <f>Indicadores!D7</f>
        <v>Categoría II</v>
      </c>
      <c r="E9" s="144">
        <f>VLOOKUP($B9,'Montos CM 2018'!$B$10:$X$27,23,0)</f>
        <v>3018111</v>
      </c>
      <c r="F9" s="169">
        <f t="shared" si="1"/>
        <v>4.9417232127682356E-2</v>
      </c>
      <c r="G9" s="90" t="str">
        <f t="shared" si="0"/>
        <v>ANT</v>
      </c>
      <c r="I9" s="160">
        <f>VLOOKUP(B9,'[2]CM_Calculo 2017'!$A$9:$O$26,15,0)</f>
        <v>2738569</v>
      </c>
      <c r="J9" s="175">
        <f t="shared" si="2"/>
        <v>4.7358478584822852E-2</v>
      </c>
      <c r="K9" s="172">
        <f t="shared" si="3"/>
        <v>1108360</v>
      </c>
      <c r="L9" s="176">
        <f>VLOOKUP($B9,'Montos CM 2018'!$B$10:$X$27,21,0)</f>
        <v>0</v>
      </c>
      <c r="M9" s="172">
        <f t="shared" si="4"/>
        <v>1909751</v>
      </c>
      <c r="N9" s="174">
        <f t="shared" si="5"/>
        <v>0.63276367237652953</v>
      </c>
    </row>
    <row r="10" spans="1:14" x14ac:dyDescent="0.25">
      <c r="A10" s="170" t="str">
        <f>Indicadores!A8</f>
        <v>UNIVERSIDAD DE LA FRONTERA</v>
      </c>
      <c r="B10" s="81" t="s">
        <v>17</v>
      </c>
      <c r="C10" s="82" t="str">
        <f>Indicadores!C8</f>
        <v>CRUCH-ESTATAL</v>
      </c>
      <c r="D10" s="82" t="str">
        <f>Indicadores!D8</f>
        <v>Categoría II</v>
      </c>
      <c r="E10" s="144">
        <f>VLOOKUP($B10,'Montos CM 2018'!$B$10:$X$27,23,0)</f>
        <v>4119151</v>
      </c>
      <c r="F10" s="169">
        <f t="shared" si="1"/>
        <v>6.7445180490702597E-2</v>
      </c>
      <c r="G10" s="90" t="str">
        <f t="shared" si="0"/>
        <v>FRO</v>
      </c>
      <c r="I10" s="160">
        <f>VLOOKUP(B10,'[2]CM_Calculo 2017'!$A$9:$O$26,15,0)</f>
        <v>3945740</v>
      </c>
      <c r="J10" s="175">
        <f t="shared" si="2"/>
        <v>6.8234265155005747E-2</v>
      </c>
      <c r="K10" s="172">
        <f t="shared" si="3"/>
        <v>1596929</v>
      </c>
      <c r="L10" s="176">
        <f>VLOOKUP($B10,'Montos CM 2018'!$B$10:$X$27,21,0)</f>
        <v>0</v>
      </c>
      <c r="M10" s="172">
        <f t="shared" si="4"/>
        <v>2522222</v>
      </c>
      <c r="N10" s="174">
        <f t="shared" si="5"/>
        <v>0.61231598453176395</v>
      </c>
    </row>
    <row r="11" spans="1:14" x14ac:dyDescent="0.25">
      <c r="A11" s="170" t="str">
        <f>Indicadores!A9</f>
        <v>UNIVERSIDAD DE TALCA</v>
      </c>
      <c r="B11" s="81" t="s">
        <v>16</v>
      </c>
      <c r="C11" s="82" t="str">
        <f>Indicadores!C9</f>
        <v>CRUCH-ESTATAL</v>
      </c>
      <c r="D11" s="82" t="str">
        <f>Indicadores!D9</f>
        <v>Categoría II</v>
      </c>
      <c r="E11" s="144">
        <f>VLOOKUP($B11,'Montos CM 2018'!$B$10:$X$27,23,0)</f>
        <v>4145806</v>
      </c>
      <c r="F11" s="169">
        <f t="shared" si="1"/>
        <v>6.788161782596408E-2</v>
      </c>
      <c r="G11" s="90" t="str">
        <f t="shared" si="0"/>
        <v>TAL</v>
      </c>
      <c r="I11" s="160">
        <f>VLOOKUP(B11,'[2]CM_Calculo 2017'!$A$9:$O$26,15,0)</f>
        <v>4054014</v>
      </c>
      <c r="J11" s="175">
        <f t="shared" si="2"/>
        <v>7.0106663444146206E-2</v>
      </c>
      <c r="K11" s="172">
        <f t="shared" si="3"/>
        <v>1640749</v>
      </c>
      <c r="L11" s="176">
        <f>VLOOKUP($B11,'Montos CM 2018'!$B$10:$X$27,21,0)</f>
        <v>0</v>
      </c>
      <c r="M11" s="172">
        <f t="shared" si="4"/>
        <v>2505057</v>
      </c>
      <c r="N11" s="174">
        <f t="shared" si="5"/>
        <v>0.60423883799676104</v>
      </c>
    </row>
    <row r="12" spans="1:14" x14ac:dyDescent="0.25">
      <c r="A12" s="170" t="str">
        <f>Indicadores!A10</f>
        <v>UNIVERSIDAD DE TARAPACÁ</v>
      </c>
      <c r="B12" s="81" t="s">
        <v>21</v>
      </c>
      <c r="C12" s="82" t="str">
        <f>Indicadores!C10</f>
        <v>CRUCH-ESTATAL</v>
      </c>
      <c r="D12" s="82" t="str">
        <f>Indicadores!D10</f>
        <v>Categoría II</v>
      </c>
      <c r="E12" s="144">
        <f>VLOOKUP($B12,'Montos CM 2018'!$B$10:$X$27,23,0)</f>
        <v>2912058</v>
      </c>
      <c r="F12" s="169">
        <f t="shared" si="1"/>
        <v>4.7680766597144514E-2</v>
      </c>
      <c r="G12" s="90" t="str">
        <f t="shared" si="0"/>
        <v>UTA</v>
      </c>
      <c r="I12" s="160">
        <f>VLOOKUP(B12,'[2]CM_Calculo 2017'!$A$9:$O$26,15,0)</f>
        <v>3196498</v>
      </c>
      <c r="J12" s="175">
        <f t="shared" si="2"/>
        <v>5.5277512481675319E-2</v>
      </c>
      <c r="K12" s="172">
        <f t="shared" si="3"/>
        <v>1293694</v>
      </c>
      <c r="L12" s="176">
        <f>VLOOKUP($B12,'Montos CM 2018'!$B$10:$X$27,21,0)</f>
        <v>0</v>
      </c>
      <c r="M12" s="172">
        <f t="shared" si="4"/>
        <v>1618364</v>
      </c>
      <c r="N12" s="174">
        <f t="shared" si="5"/>
        <v>0.55574579901911292</v>
      </c>
    </row>
    <row r="13" spans="1:14" x14ac:dyDescent="0.25">
      <c r="A13" s="170" t="str">
        <f>Indicadores!A11</f>
        <v>UNIVERSIDAD DE VALPARAÍSO</v>
      </c>
      <c r="B13" s="81" t="s">
        <v>15</v>
      </c>
      <c r="C13" s="82" t="str">
        <f>Indicadores!C11</f>
        <v>CRUCH-ESTATAL</v>
      </c>
      <c r="D13" s="82" t="str">
        <f>Indicadores!D11</f>
        <v>Categoría II</v>
      </c>
      <c r="E13" s="144">
        <f>VLOOKUP($B13,'Montos CM 2018'!$B$10:$X$27,23,0)</f>
        <v>3789698</v>
      </c>
      <c r="F13" s="169">
        <f t="shared" si="1"/>
        <v>6.2050860872848473E-2</v>
      </c>
      <c r="G13" s="90" t="str">
        <f t="shared" si="0"/>
        <v>UVA</v>
      </c>
      <c r="I13" s="160">
        <f>VLOOKUP(B13,'[2]CM_Calculo 2017'!$A$9:$O$26,15,0)</f>
        <v>3522735</v>
      </c>
      <c r="J13" s="175">
        <f t="shared" si="2"/>
        <v>6.0919177153289157E-2</v>
      </c>
      <c r="K13" s="172">
        <f t="shared" si="3"/>
        <v>1425729</v>
      </c>
      <c r="L13" s="176">
        <f>VLOOKUP($B13,'Montos CM 2018'!$B$10:$X$27,21,0)</f>
        <v>0</v>
      </c>
      <c r="M13" s="172">
        <f t="shared" si="4"/>
        <v>2363969</v>
      </c>
      <c r="N13" s="174">
        <f t="shared" si="5"/>
        <v>0.62378822798017153</v>
      </c>
    </row>
    <row r="14" spans="1:14" x14ac:dyDescent="0.25">
      <c r="A14" s="170" t="str">
        <f>Indicadores!A12</f>
        <v>UNIVERSIDAD DEL BÍO-BÍO</v>
      </c>
      <c r="B14" s="81" t="s">
        <v>19</v>
      </c>
      <c r="C14" s="82" t="str">
        <f>Indicadores!C12</f>
        <v>CRUCH-ESTATAL</v>
      </c>
      <c r="D14" s="82" t="str">
        <f>Indicadores!D12</f>
        <v>Categoría II</v>
      </c>
      <c r="E14" s="144">
        <f>VLOOKUP($B14,'Montos CM 2018'!$B$10:$X$27,23,0)</f>
        <v>3396638</v>
      </c>
      <c r="F14" s="169">
        <f t="shared" si="1"/>
        <v>5.5615068001046597E-2</v>
      </c>
      <c r="G14" s="90" t="str">
        <f t="shared" si="0"/>
        <v>UBB</v>
      </c>
      <c r="I14" s="160">
        <f>VLOOKUP(B14,'[2]CM_Calculo 2017'!$A$9:$O$26,15,0)</f>
        <v>3475407</v>
      </c>
      <c r="J14" s="175">
        <f t="shared" si="2"/>
        <v>6.0100727052355973E-2</v>
      </c>
      <c r="K14" s="172">
        <f t="shared" si="3"/>
        <v>1406574</v>
      </c>
      <c r="L14" s="176">
        <f>VLOOKUP($B14,'Montos CM 2018'!$B$10:$X$27,21,0)</f>
        <v>0</v>
      </c>
      <c r="M14" s="172">
        <f t="shared" si="4"/>
        <v>1990064</v>
      </c>
      <c r="N14" s="174">
        <f t="shared" si="5"/>
        <v>0.58589228525383041</v>
      </c>
    </row>
    <row r="15" spans="1:14" x14ac:dyDescent="0.25">
      <c r="A15" s="170" t="str">
        <f>Indicadores!A13</f>
        <v>UNIVERSIDAD DE LA SERENA</v>
      </c>
      <c r="B15" s="81" t="s">
        <v>18</v>
      </c>
      <c r="C15" s="82" t="str">
        <f>Indicadores!C13</f>
        <v>CRUCH-ESTATAL</v>
      </c>
      <c r="D15" s="82" t="str">
        <f>Indicadores!D13</f>
        <v>Categoría II</v>
      </c>
      <c r="E15" s="144">
        <f>VLOOKUP($B15,'Montos CM 2018'!$B$10:$X$27,23,0)</f>
        <v>2835605</v>
      </c>
      <c r="F15" s="169">
        <f t="shared" si="1"/>
        <v>4.6428958546394332E-2</v>
      </c>
      <c r="G15" s="90" t="str">
        <f t="shared" si="0"/>
        <v>ULS</v>
      </c>
      <c r="I15" s="160">
        <f>VLOOKUP(B15,'[2]CM_Calculo 2017'!$A$9:$O$26,15,0)</f>
        <v>2804317</v>
      </c>
      <c r="J15" s="175">
        <f t="shared" si="2"/>
        <v>4.8495468468953924E-2</v>
      </c>
      <c r="K15" s="172">
        <f t="shared" si="3"/>
        <v>1134969</v>
      </c>
      <c r="L15" s="176">
        <f>VLOOKUP($B15,'Montos CM 2018'!$B$10:$X$27,21,0)</f>
        <v>0</v>
      </c>
      <c r="M15" s="172">
        <f t="shared" si="4"/>
        <v>1700636</v>
      </c>
      <c r="N15" s="174">
        <f t="shared" si="5"/>
        <v>0.59974361732328729</v>
      </c>
    </row>
    <row r="16" spans="1:14" x14ac:dyDescent="0.25">
      <c r="A16" s="170" t="str">
        <f>Indicadores!A14</f>
        <v>UNIVERSIDAD DE PLAYA ANCHA CS. EDUCACIÓN</v>
      </c>
      <c r="B16" s="81" t="s">
        <v>38</v>
      </c>
      <c r="C16" s="82" t="str">
        <f>Indicadores!C14</f>
        <v>CRUCH-ESTATAL</v>
      </c>
      <c r="D16" s="82" t="str">
        <f>Indicadores!D14</f>
        <v>Categoría II</v>
      </c>
      <c r="E16" s="144">
        <f>VLOOKUP($B16,'Montos CM 2018'!$B$10:$X$27,23,0)</f>
        <v>2643243</v>
      </c>
      <c r="F16" s="169">
        <f t="shared" si="1"/>
        <v>4.3279307123187817E-2</v>
      </c>
      <c r="G16" s="90" t="str">
        <f t="shared" si="0"/>
        <v>UPA</v>
      </c>
      <c r="I16" s="160">
        <f>VLOOKUP(B16,'[2]CM_Calculo 2017'!$A$9:$O$26,15,0)</f>
        <v>2721656</v>
      </c>
      <c r="J16" s="175">
        <f t="shared" si="2"/>
        <v>4.7065999575418634E-2</v>
      </c>
      <c r="K16" s="172">
        <f t="shared" si="3"/>
        <v>1101514</v>
      </c>
      <c r="L16" s="176">
        <f>VLOOKUP($B16,'Montos CM 2018'!$B$10:$X$27,21,0)</f>
        <v>0</v>
      </c>
      <c r="M16" s="172">
        <f t="shared" si="4"/>
        <v>1541729</v>
      </c>
      <c r="N16" s="174">
        <f t="shared" si="5"/>
        <v>0.5832717612417776</v>
      </c>
    </row>
    <row r="17" spans="1:14" x14ac:dyDescent="0.25">
      <c r="A17" s="170" t="str">
        <f>Indicadores!A15</f>
        <v>UNIVERSIDAD ARTURO PRAT</v>
      </c>
      <c r="B17" s="81" t="s">
        <v>34</v>
      </c>
      <c r="C17" s="82" t="str">
        <f>Indicadores!C15</f>
        <v>CRUCH-ESTATAL</v>
      </c>
      <c r="D17" s="82" t="str">
        <f>Indicadores!D15</f>
        <v>Categoría III</v>
      </c>
      <c r="E17" s="144">
        <f>VLOOKUP($B17,'Montos CM 2018'!$B$10:$X$27,23,0)</f>
        <v>3276980</v>
      </c>
      <c r="F17" s="169">
        <f t="shared" si="1"/>
        <v>5.3655840139005005E-2</v>
      </c>
      <c r="G17" s="90" t="str">
        <f t="shared" si="0"/>
        <v>UAP</v>
      </c>
      <c r="I17" s="160">
        <f>VLOOKUP(B17,'[2]CM_Calculo 2017'!$A$9:$O$26,15,0)</f>
        <v>2861756</v>
      </c>
      <c r="J17" s="175">
        <f t="shared" si="2"/>
        <v>4.9488769587689163E-2</v>
      </c>
      <c r="K17" s="172">
        <f t="shared" si="3"/>
        <v>1158216</v>
      </c>
      <c r="L17" s="176">
        <f>VLOOKUP($B17,'Montos CM 2018'!$B$10:$X$27,21,0)</f>
        <v>1282500</v>
      </c>
      <c r="M17" s="172">
        <f t="shared" si="4"/>
        <v>836264</v>
      </c>
      <c r="N17" s="174">
        <f t="shared" si="5"/>
        <v>0.2551935013335449</v>
      </c>
    </row>
    <row r="18" spans="1:14" x14ac:dyDescent="0.25">
      <c r="A18" s="170" t="str">
        <f>Indicadores!A16</f>
        <v>UNIVERSIDAD DE ATACAMA</v>
      </c>
      <c r="B18" s="81" t="s">
        <v>35</v>
      </c>
      <c r="C18" s="82" t="str">
        <f>Indicadores!C16</f>
        <v>CRUCH-ESTATAL</v>
      </c>
      <c r="D18" s="82" t="str">
        <f>Indicadores!D16</f>
        <v>Categoría III</v>
      </c>
      <c r="E18" s="144">
        <f>VLOOKUP($B18,'Montos CM 2018'!$B$10:$X$27,23,0)</f>
        <v>2048349</v>
      </c>
      <c r="F18" s="169">
        <f t="shared" si="1"/>
        <v>3.3538772434647375E-2</v>
      </c>
      <c r="G18" s="90" t="str">
        <f t="shared" si="0"/>
        <v>ATA</v>
      </c>
      <c r="I18" s="160">
        <f>VLOOKUP(B18,'[2]CM_Calculo 2017'!$A$9:$O$26,15,0)</f>
        <v>1770249</v>
      </c>
      <c r="J18" s="175">
        <f t="shared" si="2"/>
        <v>3.0613177669178347E-2</v>
      </c>
      <c r="K18" s="172">
        <f t="shared" si="3"/>
        <v>716459</v>
      </c>
      <c r="L18" s="176">
        <f>VLOOKUP($B18,'Montos CM 2018'!$B$10:$X$27,21,0)</f>
        <v>0</v>
      </c>
      <c r="M18" s="172">
        <f t="shared" si="4"/>
        <v>1331890</v>
      </c>
      <c r="N18" s="174">
        <f t="shared" si="5"/>
        <v>0.65022610892967947</v>
      </c>
    </row>
    <row r="19" spans="1:14" x14ac:dyDescent="0.25">
      <c r="A19" s="170" t="str">
        <f>Indicadores!A17</f>
        <v>UNIVERSIDAD DE LOS LAGOS</v>
      </c>
      <c r="B19" s="81" t="s">
        <v>36</v>
      </c>
      <c r="C19" s="82" t="str">
        <f>Indicadores!C17</f>
        <v>CRUCH-ESTATAL</v>
      </c>
      <c r="D19" s="82" t="str">
        <f>Indicadores!D17</f>
        <v>Categoría II</v>
      </c>
      <c r="E19" s="144">
        <f>VLOOKUP($B19,'Montos CM 2018'!$B$10:$X$27,23,0)</f>
        <v>2732452</v>
      </c>
      <c r="F19" s="169">
        <f t="shared" si="1"/>
        <v>4.4739976350024871E-2</v>
      </c>
      <c r="G19" s="90" t="str">
        <f t="shared" si="0"/>
        <v>ULA</v>
      </c>
      <c r="I19" s="160">
        <f>VLOOKUP(B19,'[2]CM_Calculo 2017'!$A$9:$O$26,15,0)</f>
        <v>3242659</v>
      </c>
      <c r="J19" s="175">
        <f t="shared" si="2"/>
        <v>5.607578147908017E-2</v>
      </c>
      <c r="K19" s="172">
        <f t="shared" si="3"/>
        <v>1312376</v>
      </c>
      <c r="L19" s="176">
        <f>VLOOKUP($B19,'Montos CM 2018'!$B$10:$X$27,21,0)</f>
        <v>0</v>
      </c>
      <c r="M19" s="172">
        <f t="shared" si="4"/>
        <v>1420076</v>
      </c>
      <c r="N19" s="174">
        <f t="shared" si="5"/>
        <v>0.51970757400312984</v>
      </c>
    </row>
    <row r="20" spans="1:14" x14ac:dyDescent="0.25">
      <c r="A20" s="170" t="str">
        <f>Indicadores!A18</f>
        <v>UNIVERSIDAD DE MAGALLANES</v>
      </c>
      <c r="B20" s="81" t="s">
        <v>37</v>
      </c>
      <c r="C20" s="82" t="str">
        <f>Indicadores!C18</f>
        <v>CRUCH-ESTATAL</v>
      </c>
      <c r="D20" s="82" t="str">
        <f>Indicadores!D18</f>
        <v>Categoría III</v>
      </c>
      <c r="E20" s="144">
        <f>VLOOKUP($B20,'Montos CM 2018'!$B$10:$X$27,23,0)</f>
        <v>2358802</v>
      </c>
      <c r="F20" s="169">
        <f t="shared" si="1"/>
        <v>3.8621994345881053E-2</v>
      </c>
      <c r="G20" s="90" t="str">
        <f t="shared" si="0"/>
        <v>MAG</v>
      </c>
      <c r="I20" s="160">
        <f>VLOOKUP(B20,'[2]CM_Calculo 2017'!$A$9:$O$26,15,0)</f>
        <v>2284021</v>
      </c>
      <c r="J20" s="175">
        <f t="shared" si="2"/>
        <v>3.9497912820814697E-2</v>
      </c>
      <c r="K20" s="172">
        <f t="shared" si="3"/>
        <v>924394</v>
      </c>
      <c r="L20" s="176">
        <f>VLOOKUP($B20,'Montos CM 2018'!$B$10:$X$27,21,0)</f>
        <v>0</v>
      </c>
      <c r="M20" s="172">
        <f t="shared" si="4"/>
        <v>1434408</v>
      </c>
      <c r="N20" s="174">
        <f t="shared" si="5"/>
        <v>0.60810869246337762</v>
      </c>
    </row>
    <row r="21" spans="1:14" x14ac:dyDescent="0.25">
      <c r="A21" s="170" t="str">
        <f>Indicadores!A19</f>
        <v>UNIVERSIDAD METROPOLITANA DE CS.DE LA EDUCACIÓN</v>
      </c>
      <c r="B21" s="81" t="s">
        <v>39</v>
      </c>
      <c r="C21" s="82" t="str">
        <f>Indicadores!C19</f>
        <v>CRUCH-ESTATAL</v>
      </c>
      <c r="D21" s="82" t="str">
        <f>Indicadores!D19</f>
        <v>Categoría III</v>
      </c>
      <c r="E21" s="144">
        <f>VLOOKUP($B21,'Montos CM 2018'!$B$10:$X$27,23,0)</f>
        <v>3651651</v>
      </c>
      <c r="F21" s="169">
        <f t="shared" si="1"/>
        <v>5.9790539551488796E-2</v>
      </c>
      <c r="G21" s="90" t="str">
        <f t="shared" si="0"/>
        <v>UMC</v>
      </c>
      <c r="I21" s="160">
        <f>VLOOKUP(B21,'[2]CM_Calculo 2017'!$A$9:$O$26,15,0)</f>
        <v>2237267</v>
      </c>
      <c r="J21" s="175">
        <f t="shared" si="2"/>
        <v>3.8689388986741208E-2</v>
      </c>
      <c r="K21" s="172">
        <f t="shared" si="3"/>
        <v>905471</v>
      </c>
      <c r="L21" s="176">
        <f>VLOOKUP($B21,'Montos CM 2018'!$B$10:$X$27,21,0)</f>
        <v>1282500</v>
      </c>
      <c r="M21" s="172">
        <f t="shared" si="4"/>
        <v>1463680</v>
      </c>
      <c r="N21" s="174">
        <f t="shared" si="5"/>
        <v>0.40082691363440809</v>
      </c>
    </row>
    <row r="22" spans="1:14" x14ac:dyDescent="0.25">
      <c r="A22" s="170" t="str">
        <f>Indicadores!A20</f>
        <v>UNIVERSIDAD TECNOLÓGICA METROPOLITANA</v>
      </c>
      <c r="B22" s="81" t="s">
        <v>40</v>
      </c>
      <c r="C22" s="82" t="str">
        <f>Indicadores!C20</f>
        <v>CRUCH-ESTATAL</v>
      </c>
      <c r="D22" s="82" t="str">
        <f>Indicadores!D20</f>
        <v>Categoría III</v>
      </c>
      <c r="E22" s="144">
        <f>VLOOKUP($B22,'Montos CM 2018'!$B$10:$X$27,23,0)</f>
        <v>1589011</v>
      </c>
      <c r="F22" s="169">
        <f t="shared" si="1"/>
        <v>2.6017772520772323E-2</v>
      </c>
      <c r="G22" s="90" t="str">
        <f t="shared" si="0"/>
        <v>UTM</v>
      </c>
      <c r="I22" s="160">
        <f>VLOOKUP(B22,'[2]CM_Calculo 2017'!$A$9:$O$26,15,0)</f>
        <v>2348647</v>
      </c>
      <c r="J22" s="175">
        <f t="shared" si="2"/>
        <v>4.0615499793070192E-2</v>
      </c>
      <c r="K22" s="172">
        <f t="shared" si="3"/>
        <v>950549</v>
      </c>
      <c r="L22" s="176">
        <f>VLOOKUP($B22,'Montos CM 2018'!$B$10:$X$27,21,0)</f>
        <v>0</v>
      </c>
      <c r="M22" s="172">
        <f t="shared" si="4"/>
        <v>638462</v>
      </c>
      <c r="N22" s="174">
        <f t="shared" si="5"/>
        <v>0.40179835130153285</v>
      </c>
    </row>
    <row r="23" spans="1:14" x14ac:dyDescent="0.25">
      <c r="A23" s="170" t="s">
        <v>111</v>
      </c>
      <c r="B23" s="81" t="s">
        <v>112</v>
      </c>
      <c r="C23" s="82" t="s">
        <v>33</v>
      </c>
      <c r="D23" s="82" t="s">
        <v>115</v>
      </c>
      <c r="E23" s="144">
        <f>VLOOKUP($B23,'Montos CM 2018'!$B$10:$X$27,23,0)</f>
        <v>1291453</v>
      </c>
      <c r="F23" s="169">
        <f t="shared" si="1"/>
        <v>2.1145687710952901E-2</v>
      </c>
      <c r="G23" s="90" t="str">
        <f t="shared" si="0"/>
        <v>URO</v>
      </c>
      <c r="I23" s="160">
        <f>VLOOKUP(B23,'[2]CM_Calculo 2017'!$A$9:$O$26,15,0)</f>
        <v>150000</v>
      </c>
      <c r="J23" s="175">
        <f t="shared" si="2"/>
        <v>2.5939721758785074E-3</v>
      </c>
      <c r="K23" s="172">
        <f t="shared" si="3"/>
        <v>60708</v>
      </c>
      <c r="L23" s="176">
        <f>VLOOKUP($B23,'Montos CM 2018'!$B$10:$X$27,21,0)</f>
        <v>0</v>
      </c>
      <c r="M23" s="172">
        <f t="shared" si="4"/>
        <v>1230745</v>
      </c>
      <c r="N23" s="174">
        <f t="shared" si="5"/>
        <v>0.95299248211123444</v>
      </c>
    </row>
    <row r="24" spans="1:14" ht="15.75" thickBot="1" x14ac:dyDescent="0.3">
      <c r="A24" s="171" t="s">
        <v>113</v>
      </c>
      <c r="B24" s="94" t="s">
        <v>114</v>
      </c>
      <c r="C24" s="95" t="s">
        <v>33</v>
      </c>
      <c r="D24" s="95" t="s">
        <v>115</v>
      </c>
      <c r="E24" s="144">
        <f>VLOOKUP($B24,'Montos CM 2018'!$B$10:$X$27,23,0)</f>
        <v>812424</v>
      </c>
      <c r="F24" s="169">
        <f t="shared" si="1"/>
        <v>1.3302275958074507E-2</v>
      </c>
      <c r="G24" s="90" t="str">
        <f t="shared" si="0"/>
        <v>URY</v>
      </c>
      <c r="I24" s="160">
        <f>VLOOKUP(B24,'[2]CM_Calculo 2017'!$A$9:$O$26,15,0)</f>
        <v>150000</v>
      </c>
      <c r="J24" s="175">
        <f t="shared" si="2"/>
        <v>2.5939721758785074E-3</v>
      </c>
      <c r="K24" s="172">
        <f t="shared" si="3"/>
        <v>60708</v>
      </c>
      <c r="L24" s="176">
        <f>VLOOKUP($B24,'Montos CM 2018'!$B$10:$X$27,21,0)</f>
        <v>0</v>
      </c>
      <c r="M24" s="172">
        <f t="shared" si="4"/>
        <v>751716</v>
      </c>
      <c r="N24" s="174">
        <f t="shared" si="5"/>
        <v>0.92527547192106585</v>
      </c>
    </row>
    <row r="25" spans="1:14" ht="15.75" thickBot="1" x14ac:dyDescent="0.3">
      <c r="A25" s="105" t="s">
        <v>95</v>
      </c>
      <c r="B25" s="106"/>
      <c r="C25" s="107"/>
      <c r="D25" s="107"/>
      <c r="E25" s="147">
        <f t="shared" ref="E25:F25" si="6">SUM(E7:E24)</f>
        <v>61074060</v>
      </c>
      <c r="F25" s="118">
        <f t="shared" si="6"/>
        <v>1.0000000000000002</v>
      </c>
      <c r="G25" s="90"/>
      <c r="I25" s="162">
        <f>SUM(I7:I24)</f>
        <v>57826372</v>
      </c>
      <c r="J25" s="163">
        <f t="shared" ref="J25" si="7">SUM(J7:J24)</f>
        <v>1.0000000000000002</v>
      </c>
      <c r="K25" s="162">
        <f>SUM(K7:K24)</f>
        <v>23403615</v>
      </c>
      <c r="L25" s="162">
        <f>SUM(L7:L24)</f>
        <v>2565000</v>
      </c>
      <c r="M25" s="162">
        <f t="shared" ref="M25" si="8">SUM(M7:M24)</f>
        <v>35105445</v>
      </c>
      <c r="N25" s="162"/>
    </row>
    <row r="26" spans="1:14" x14ac:dyDescent="0.25">
      <c r="M26" s="162">
        <f>SUM(K25:M25)</f>
        <v>61074060</v>
      </c>
    </row>
    <row r="29" spans="1:14" x14ac:dyDescent="0.25">
      <c r="A29" s="141" t="s">
        <v>125</v>
      </c>
      <c r="B29" s="141" t="s">
        <v>158</v>
      </c>
    </row>
    <row r="30" spans="1:14" x14ac:dyDescent="0.25">
      <c r="A30" s="51" t="s">
        <v>95</v>
      </c>
      <c r="B30" s="28">
        <v>61074060</v>
      </c>
    </row>
    <row r="31" spans="1:14" x14ac:dyDescent="0.25">
      <c r="A31" s="51" t="s">
        <v>217</v>
      </c>
      <c r="B31" s="28">
        <f>+B30-2565000</f>
        <v>58509060</v>
      </c>
    </row>
    <row r="32" spans="1:14" x14ac:dyDescent="0.25">
      <c r="A32" s="51" t="s">
        <v>218</v>
      </c>
      <c r="B32" s="28">
        <f>B31*0.4</f>
        <v>23403624</v>
      </c>
    </row>
    <row r="33" spans="2:2" x14ac:dyDescent="0.25">
      <c r="B33" s="25"/>
    </row>
    <row r="34" spans="2:2" x14ac:dyDescent="0.25">
      <c r="B34" s="25"/>
    </row>
  </sheetData>
  <pageMargins left="0.70866141732283472" right="0.70866141732283472" top="0.74803149606299213" bottom="0.74803149606299213" header="0.31496062992125984" footer="0.31496062992125984"/>
  <pageSetup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2"/>
  <sheetViews>
    <sheetView workbookViewId="0"/>
  </sheetViews>
  <sheetFormatPr baseColWidth="10" defaultRowHeight="15" x14ac:dyDescent="0.25"/>
  <cols>
    <col min="1" max="1" width="47" customWidth="1"/>
    <col min="2" max="2" width="14.140625" customWidth="1"/>
    <col min="3" max="3" width="11.28515625" customWidth="1"/>
    <col min="4" max="4" width="14.42578125" customWidth="1"/>
    <col min="5" max="37" width="11.28515625" customWidth="1"/>
    <col min="38" max="38" width="23.42578125" bestFit="1" customWidth="1"/>
  </cols>
  <sheetData>
    <row r="1" spans="1:38" x14ac:dyDescent="0.25">
      <c r="A1" s="24" t="s">
        <v>201</v>
      </c>
    </row>
    <row r="2" spans="1:38" x14ac:dyDescent="0.2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D2">
        <v>29</v>
      </c>
      <c r="AE2">
        <v>30</v>
      </c>
      <c r="AF2">
        <v>31</v>
      </c>
      <c r="AG2">
        <v>32</v>
      </c>
      <c r="AH2">
        <v>33</v>
      </c>
      <c r="AI2">
        <v>34</v>
      </c>
    </row>
    <row r="3" spans="1:38" s="158" customFormat="1" ht="25.5" customHeight="1" x14ac:dyDescent="0.25">
      <c r="D3" s="207" t="s">
        <v>202</v>
      </c>
      <c r="E3" s="207"/>
      <c r="F3" s="207"/>
      <c r="G3" s="207" t="s">
        <v>203</v>
      </c>
      <c r="H3" s="207"/>
      <c r="I3" s="207"/>
      <c r="J3" s="207" t="s">
        <v>204</v>
      </c>
      <c r="K3" s="207"/>
      <c r="L3" s="207"/>
      <c r="M3" s="207" t="s">
        <v>205</v>
      </c>
      <c r="N3" s="207"/>
      <c r="O3" s="207"/>
      <c r="P3" s="207" t="s">
        <v>206</v>
      </c>
      <c r="Q3" s="207"/>
      <c r="R3" s="207"/>
      <c r="S3" s="207" t="s">
        <v>207</v>
      </c>
      <c r="T3" s="207"/>
      <c r="U3" s="207"/>
      <c r="V3" s="207" t="s">
        <v>208</v>
      </c>
      <c r="W3" s="207"/>
      <c r="X3" s="207"/>
      <c r="Y3" s="207" t="s">
        <v>209</v>
      </c>
      <c r="Z3" s="207"/>
      <c r="AA3" s="207"/>
      <c r="AB3" s="207" t="s">
        <v>210</v>
      </c>
      <c r="AC3" s="207"/>
      <c r="AD3" s="207"/>
      <c r="AE3" s="207" t="s">
        <v>211</v>
      </c>
      <c r="AF3" s="207"/>
      <c r="AG3" s="207"/>
      <c r="AH3" s="208" t="s">
        <v>50</v>
      </c>
      <c r="AI3" s="208" t="s">
        <v>51</v>
      </c>
      <c r="AJ3" s="208" t="s">
        <v>52</v>
      </c>
    </row>
    <row r="4" spans="1:38" ht="39" customHeight="1" x14ac:dyDescent="0.25">
      <c r="A4" s="30" t="s">
        <v>22</v>
      </c>
      <c r="B4" s="30" t="s">
        <v>10</v>
      </c>
      <c r="C4" s="30" t="s">
        <v>32</v>
      </c>
      <c r="D4" s="30" t="s">
        <v>11</v>
      </c>
      <c r="E4" s="30" t="s">
        <v>12</v>
      </c>
      <c r="F4" s="30" t="s">
        <v>0</v>
      </c>
      <c r="G4" s="30" t="s">
        <v>11</v>
      </c>
      <c r="H4" s="30" t="s">
        <v>12</v>
      </c>
      <c r="I4" s="30" t="s">
        <v>1</v>
      </c>
      <c r="J4" s="30" t="s">
        <v>11</v>
      </c>
      <c r="K4" s="30" t="s">
        <v>12</v>
      </c>
      <c r="L4" s="30" t="s">
        <v>2</v>
      </c>
      <c r="M4" s="30" t="s">
        <v>11</v>
      </c>
      <c r="N4" s="30" t="s">
        <v>12</v>
      </c>
      <c r="O4" s="30" t="s">
        <v>3</v>
      </c>
      <c r="P4" s="30" t="s">
        <v>11</v>
      </c>
      <c r="Q4" s="30" t="s">
        <v>12</v>
      </c>
      <c r="R4" s="30" t="s">
        <v>4</v>
      </c>
      <c r="S4" s="30" t="s">
        <v>11</v>
      </c>
      <c r="T4" s="30" t="s">
        <v>12</v>
      </c>
      <c r="U4" s="30" t="s">
        <v>5</v>
      </c>
      <c r="V4" s="30" t="s">
        <v>11</v>
      </c>
      <c r="W4" s="30" t="s">
        <v>12</v>
      </c>
      <c r="X4" s="30" t="s">
        <v>6</v>
      </c>
      <c r="Y4" s="30" t="s">
        <v>11</v>
      </c>
      <c r="Z4" s="30" t="s">
        <v>12</v>
      </c>
      <c r="AA4" s="30" t="s">
        <v>7</v>
      </c>
      <c r="AB4" s="30" t="s">
        <v>11</v>
      </c>
      <c r="AC4" s="30" t="s">
        <v>12</v>
      </c>
      <c r="AD4" s="30" t="s">
        <v>8</v>
      </c>
      <c r="AE4" s="30" t="s">
        <v>48</v>
      </c>
      <c r="AF4" s="30" t="s">
        <v>49</v>
      </c>
      <c r="AG4" s="30" t="s">
        <v>9</v>
      </c>
      <c r="AH4" s="208"/>
      <c r="AI4" s="208"/>
      <c r="AJ4" s="208"/>
      <c r="AK4" s="30" t="s">
        <v>53</v>
      </c>
      <c r="AL4" s="30" t="s">
        <v>85</v>
      </c>
    </row>
    <row r="5" spans="1:38" x14ac:dyDescent="0.25">
      <c r="A5" s="1" t="s">
        <v>23</v>
      </c>
      <c r="B5" s="1" t="s">
        <v>13</v>
      </c>
      <c r="C5" s="3" t="s">
        <v>33</v>
      </c>
      <c r="D5" s="1">
        <v>0</v>
      </c>
      <c r="E5" s="1">
        <f>IFERROR(VLOOKUP(B5,[3]Hoja1!$A$7:$Y$31,2,0),0)</f>
        <v>3</v>
      </c>
      <c r="F5" s="1">
        <f>D5+E5</f>
        <v>3</v>
      </c>
      <c r="G5" s="1">
        <f>IFERROR(VLOOKUP(B5,[3]Hoja1!$A$7:$Y$31,4,0),0)</f>
        <v>0</v>
      </c>
      <c r="H5" s="1">
        <f>IFERROR(VLOOKUP(B5,[3]Hoja1!$A$7:$Y$31,5,0),0)</f>
        <v>4</v>
      </c>
      <c r="I5" s="1">
        <f>G5+H5</f>
        <v>4</v>
      </c>
      <c r="J5" s="1">
        <f>IFERROR(VLOOKUP(B5,[3]Hoja1!$A$7:$Y$31,7,0),0)</f>
        <v>0</v>
      </c>
      <c r="K5" s="1">
        <f>IFERROR(VLOOKUP(B5,[3]Hoja1!$A$7:$Y$31,8,0),0)</f>
        <v>6</v>
      </c>
      <c r="L5" s="1">
        <f>J5+K5</f>
        <v>6</v>
      </c>
      <c r="M5" s="1">
        <f>IFERROR(VLOOKUP(B5,[3]Hoja1!$A$7:$Y$31,10,0),0)</f>
        <v>0</v>
      </c>
      <c r="N5" s="1">
        <f>IFERROR(VLOOKUP(B5,[3]Hoja1!$A$7:$Y$31,11,0),0)</f>
        <v>3</v>
      </c>
      <c r="O5" s="1">
        <f>M5+N5</f>
        <v>3</v>
      </c>
      <c r="P5" s="1">
        <f>IFERROR(VLOOKUP(B5,[3]Hoja1!$A$7:$Y$31,13,0),0)</f>
        <v>2</v>
      </c>
      <c r="Q5" s="1">
        <f>IFERROR(VLOOKUP(B5,[3]Hoja1!$A$7:$Y$31,14,0),0)</f>
        <v>4</v>
      </c>
      <c r="R5" s="1">
        <f>P5+Q5</f>
        <v>6</v>
      </c>
      <c r="S5" s="1">
        <v>0</v>
      </c>
      <c r="T5" s="1">
        <f>IFERROR(VLOOKUP(B5,[3]Hoja1!$A$7:$Y$31,16,0),0)</f>
        <v>7</v>
      </c>
      <c r="U5" s="1">
        <f>S5+T5</f>
        <v>7</v>
      </c>
      <c r="V5" s="1">
        <v>0</v>
      </c>
      <c r="W5" s="1">
        <f>IFERROR(VLOOKUP(B5,[3]Hoja1!$A$7:$Y$31,18,0),0)</f>
        <v>4</v>
      </c>
      <c r="X5" s="1">
        <f>V5+W5</f>
        <v>4</v>
      </c>
      <c r="Y5" s="1">
        <f>IFERROR(VLOOKUP(B5,[3]Hoja1!$A$7:$Y$31,20,0),0)</f>
        <v>1</v>
      </c>
      <c r="Z5" s="1">
        <f>IFERROR(VLOOKUP(B5,[3]Hoja1!$A$7:$Y$31,21,0),0)</f>
        <v>1</v>
      </c>
      <c r="AA5" s="1">
        <f>Y5+Z5</f>
        <v>2</v>
      </c>
      <c r="AB5" s="1">
        <f>IFERROR(VLOOKUP(B5,[3]Hoja1!$A$7:$Y$31,23,0),0)</f>
        <v>0</v>
      </c>
      <c r="AC5" s="1">
        <v>0</v>
      </c>
      <c r="AD5" s="1">
        <f>AB5+AC5</f>
        <v>0</v>
      </c>
      <c r="AE5" s="1">
        <f>D5+G5+J5+M5+P5+S5+V5+Y5+AB5</f>
        <v>3</v>
      </c>
      <c r="AF5" s="1">
        <f>E5+H5+K5+N5+Q5+T5+W5+Z5+AC5</f>
        <v>32</v>
      </c>
      <c r="AG5" s="1">
        <f>AE5+AF5</f>
        <v>35</v>
      </c>
      <c r="AH5" s="1">
        <f>P5+S5+V5+Y5+AB5+M5</f>
        <v>3</v>
      </c>
      <c r="AI5" s="1">
        <f>AF5+AH5</f>
        <v>35</v>
      </c>
      <c r="AJ5" s="1">
        <f>VLOOKUP(B5,[4]SCOPUS!$B$7:$L$31,10,0)</f>
        <v>2598</v>
      </c>
      <c r="AK5" s="1" t="str">
        <f t="shared" ref="AK5:AK20" si="0">IF(AND(AI5&gt;=10,AJ5&gt;=300),"Categoría I",IF(AND(AI5&gt;=1,AJ5&gt;=100),"Categoría II","Categoría III"))</f>
        <v>Categoría I</v>
      </c>
      <c r="AL5" s="1" t="str">
        <f>CONCATENATE(C5,AK5)</f>
        <v>CRUCH-ESTATALCategoría I</v>
      </c>
    </row>
    <row r="6" spans="1:38" x14ac:dyDescent="0.25">
      <c r="A6" s="1" t="s">
        <v>24</v>
      </c>
      <c r="B6" s="1" t="s">
        <v>14</v>
      </c>
      <c r="C6" s="3" t="s">
        <v>33</v>
      </c>
      <c r="D6" s="1">
        <v>0</v>
      </c>
      <c r="E6" s="1">
        <f>IFERROR(VLOOKUP(B6,[3]Hoja1!$A$7:$Y$31,2,0),0)</f>
        <v>0</v>
      </c>
      <c r="F6" s="1">
        <f t="shared" ref="F6:F20" si="1">D6+E6</f>
        <v>0</v>
      </c>
      <c r="G6" s="1">
        <f>IFERROR(VLOOKUP(B6,[3]Hoja1!$A$7:$Y$31,4,0),0)</f>
        <v>0</v>
      </c>
      <c r="H6" s="1">
        <f>IFERROR(VLOOKUP(B6,[3]Hoja1!$A$7:$Y$31,5,0),0)</f>
        <v>4</v>
      </c>
      <c r="I6" s="1">
        <f t="shared" ref="I6:I20" si="2">G6+H6</f>
        <v>4</v>
      </c>
      <c r="J6" s="1">
        <f>IFERROR(VLOOKUP(B6,[3]Hoja1!$A$7:$Y$31,7,0),0)</f>
        <v>0</v>
      </c>
      <c r="K6" s="1">
        <f>IFERROR(VLOOKUP(B6,[3]Hoja1!$A$7:$Y$31,8,0),0)</f>
        <v>0</v>
      </c>
      <c r="L6" s="1">
        <f t="shared" ref="L6:L20" si="3">J6+K6</f>
        <v>0</v>
      </c>
      <c r="M6" s="1">
        <f>IFERROR(VLOOKUP(B6,[3]Hoja1!$A$7:$Y$31,10,0),0)</f>
        <v>0</v>
      </c>
      <c r="N6" s="1">
        <f>IFERROR(VLOOKUP(B6,[3]Hoja1!$A$7:$Y$31,11,0),0)</f>
        <v>1</v>
      </c>
      <c r="O6" s="1">
        <f t="shared" ref="O6:O20" si="4">M6+N6</f>
        <v>1</v>
      </c>
      <c r="P6" s="1">
        <f>IFERROR(VLOOKUP(B6,[3]Hoja1!$A$7:$Y$31,13,0),0)</f>
        <v>0</v>
      </c>
      <c r="Q6" s="1">
        <f>IFERROR(VLOOKUP(B6,[3]Hoja1!$A$7:$Y$31,14,0),0)</f>
        <v>2</v>
      </c>
      <c r="R6" s="1">
        <f t="shared" ref="R6:R20" si="5">P6+Q6</f>
        <v>2</v>
      </c>
      <c r="S6" s="1">
        <v>0</v>
      </c>
      <c r="T6" s="1">
        <f>IFERROR(VLOOKUP(B6,[3]Hoja1!$A$7:$Y$31,16,0),0)</f>
        <v>1</v>
      </c>
      <c r="U6" s="1">
        <f t="shared" ref="U6:U20" si="6">S6+T6</f>
        <v>1</v>
      </c>
      <c r="V6" s="1">
        <v>0</v>
      </c>
      <c r="W6" s="1">
        <f>IFERROR(VLOOKUP(B6,[3]Hoja1!$A$7:$Y$31,18,0),0)</f>
        <v>0</v>
      </c>
      <c r="X6" s="1">
        <f t="shared" ref="X6:X20" si="7">V6+W6</f>
        <v>0</v>
      </c>
      <c r="Y6" s="1">
        <f>IFERROR(VLOOKUP(B6,[3]Hoja1!$A$7:$Y$31,20,0),0)</f>
        <v>1</v>
      </c>
      <c r="Z6" s="1">
        <f>IFERROR(VLOOKUP(B6,[3]Hoja1!$A$7:$Y$31,21,0),0)</f>
        <v>1</v>
      </c>
      <c r="AA6" s="1">
        <f t="shared" ref="AA6:AA20" si="8">Y6+Z6</f>
        <v>2</v>
      </c>
      <c r="AB6" s="1">
        <f>IFERROR(VLOOKUP(B6,[3]Hoja1!$A$7:$Y$31,23,0),0)</f>
        <v>0</v>
      </c>
      <c r="AC6" s="1">
        <v>0</v>
      </c>
      <c r="AD6" s="1">
        <f t="shared" ref="AD6:AD20" si="9">AB6+AC6</f>
        <v>0</v>
      </c>
      <c r="AE6" s="1">
        <f t="shared" ref="AE6:AE20" si="10">D6+G6+J6+M6+P6+S6+V6+Y6+AB6</f>
        <v>1</v>
      </c>
      <c r="AF6" s="1">
        <f t="shared" ref="AF6:AF20" si="11">E6+H6+K6+N6+Q6+T6+W6+Z6+AC6</f>
        <v>9</v>
      </c>
      <c r="AG6" s="1">
        <f t="shared" ref="AG6:AG20" si="12">AE6+AF6</f>
        <v>10</v>
      </c>
      <c r="AH6" s="1">
        <f t="shared" ref="AH6:AH20" si="13">P6+S6+V6+Y6+AB6+M6</f>
        <v>1</v>
      </c>
      <c r="AI6" s="1">
        <f t="shared" ref="AI6:AI20" si="14">AF6+AH6</f>
        <v>10</v>
      </c>
      <c r="AJ6" s="1">
        <f>VLOOKUP(B6,[4]SCOPUS!$B$7:$L$31,10,0)</f>
        <v>624</v>
      </c>
      <c r="AK6" s="1" t="str">
        <f t="shared" si="0"/>
        <v>Categoría I</v>
      </c>
      <c r="AL6" s="1" t="str">
        <f t="shared" ref="AL6:AL20" si="15">CONCATENATE(C6,AK6)</f>
        <v>CRUCH-ESTATALCategoría I</v>
      </c>
    </row>
    <row r="7" spans="1:38" x14ac:dyDescent="0.25">
      <c r="A7" s="1" t="s">
        <v>30</v>
      </c>
      <c r="B7" s="1" t="s">
        <v>20</v>
      </c>
      <c r="C7" s="3" t="s">
        <v>33</v>
      </c>
      <c r="D7" s="1">
        <v>0</v>
      </c>
      <c r="E7" s="1">
        <f>IFERROR(VLOOKUP(B7,[3]Hoja1!$A$7:$Y$31,2,0),0)</f>
        <v>1</v>
      </c>
      <c r="F7" s="1">
        <f t="shared" si="1"/>
        <v>1</v>
      </c>
      <c r="G7" s="1">
        <f>IFERROR(VLOOKUP(B7,[3]Hoja1!$A$7:$Y$31,4,0),0)</f>
        <v>0</v>
      </c>
      <c r="H7" s="1">
        <f>IFERROR(VLOOKUP(B7,[3]Hoja1!$A$7:$Y$31,5,0),0)</f>
        <v>0</v>
      </c>
      <c r="I7" s="1">
        <f t="shared" si="2"/>
        <v>0</v>
      </c>
      <c r="J7" s="1">
        <f>IFERROR(VLOOKUP(B7,[3]Hoja1!$A$7:$Y$31,7,0),0)</f>
        <v>0</v>
      </c>
      <c r="K7" s="1">
        <f>IFERROR(VLOOKUP(B7,[3]Hoja1!$A$7:$Y$31,8,0),0)</f>
        <v>0</v>
      </c>
      <c r="L7" s="1">
        <f t="shared" si="3"/>
        <v>0</v>
      </c>
      <c r="M7" s="1">
        <f>IFERROR(VLOOKUP(B7,[3]Hoja1!$A$7:$Y$31,10,0),0)</f>
        <v>0</v>
      </c>
      <c r="N7" s="1">
        <f>IFERROR(VLOOKUP(B7,[3]Hoja1!$A$7:$Y$31,11,0),0)</f>
        <v>0</v>
      </c>
      <c r="O7" s="1">
        <f t="shared" si="4"/>
        <v>0</v>
      </c>
      <c r="P7" s="1">
        <f>IFERROR(VLOOKUP(B7,[3]Hoja1!$A$7:$Y$31,13,0),0)</f>
        <v>0</v>
      </c>
      <c r="Q7" s="1">
        <f>IFERROR(VLOOKUP(B7,[3]Hoja1!$A$7:$Y$31,14,0),0)</f>
        <v>1</v>
      </c>
      <c r="R7" s="1">
        <f t="shared" si="5"/>
        <v>1</v>
      </c>
      <c r="S7" s="1">
        <v>0</v>
      </c>
      <c r="T7" s="1">
        <f>IFERROR(VLOOKUP(B7,[3]Hoja1!$A$7:$Y$31,16,0),0)</f>
        <v>0</v>
      </c>
      <c r="U7" s="1">
        <f t="shared" si="6"/>
        <v>0</v>
      </c>
      <c r="V7" s="1">
        <v>0</v>
      </c>
      <c r="W7" s="1">
        <f>IFERROR(VLOOKUP(B7,[3]Hoja1!$A$7:$Y$31,18,0),0)</f>
        <v>0</v>
      </c>
      <c r="X7" s="1">
        <f t="shared" si="7"/>
        <v>0</v>
      </c>
      <c r="Y7" s="1">
        <f>IFERROR(VLOOKUP(B7,[3]Hoja1!$A$7:$Y$31,20,0),0)</f>
        <v>0</v>
      </c>
      <c r="Z7" s="1">
        <f>IFERROR(VLOOKUP(B7,[3]Hoja1!$A$7:$Y$31,21,0),0)</f>
        <v>0</v>
      </c>
      <c r="AA7" s="1">
        <f t="shared" si="8"/>
        <v>0</v>
      </c>
      <c r="AB7" s="1">
        <f>IFERROR(VLOOKUP(B7,[3]Hoja1!$A$7:$Y$31,23,0),0)</f>
        <v>0</v>
      </c>
      <c r="AC7" s="1">
        <v>0</v>
      </c>
      <c r="AD7" s="1">
        <f t="shared" si="9"/>
        <v>0</v>
      </c>
      <c r="AE7" s="1">
        <f t="shared" si="10"/>
        <v>0</v>
      </c>
      <c r="AF7" s="1">
        <f t="shared" si="11"/>
        <v>2</v>
      </c>
      <c r="AG7" s="1">
        <f t="shared" si="12"/>
        <v>2</v>
      </c>
      <c r="AH7" s="1">
        <f t="shared" si="13"/>
        <v>0</v>
      </c>
      <c r="AI7" s="1">
        <f t="shared" si="14"/>
        <v>2</v>
      </c>
      <c r="AJ7" s="1">
        <f>VLOOKUP(B7,[4]SCOPUS!$B$7:$L$31,10,0)</f>
        <v>191</v>
      </c>
      <c r="AK7" s="1" t="str">
        <f t="shared" si="0"/>
        <v>Categoría II</v>
      </c>
      <c r="AL7" s="1" t="str">
        <f t="shared" si="15"/>
        <v>CRUCH-ESTATALCategoría II</v>
      </c>
    </row>
    <row r="8" spans="1:38" x14ac:dyDescent="0.25">
      <c r="A8" s="1" t="s">
        <v>27</v>
      </c>
      <c r="B8" s="1" t="s">
        <v>17</v>
      </c>
      <c r="C8" s="3" t="s">
        <v>33</v>
      </c>
      <c r="D8" s="1">
        <v>0</v>
      </c>
      <c r="E8" s="1">
        <f>IFERROR(VLOOKUP(B8,[3]Hoja1!$A$7:$Y$31,2,0),0)</f>
        <v>2</v>
      </c>
      <c r="F8" s="1">
        <f t="shared" si="1"/>
        <v>2</v>
      </c>
      <c r="G8" s="1">
        <f>IFERROR(VLOOKUP(B8,[3]Hoja1!$A$7:$Y$31,4,0),0)</f>
        <v>0</v>
      </c>
      <c r="H8" s="1">
        <f>IFERROR(VLOOKUP(B8,[3]Hoja1!$A$7:$Y$31,5,0),0)</f>
        <v>1</v>
      </c>
      <c r="I8" s="1">
        <f t="shared" si="2"/>
        <v>1</v>
      </c>
      <c r="J8" s="1">
        <f>IFERROR(VLOOKUP(B8,[3]Hoja1!$A$7:$Y$31,7,0),0)</f>
        <v>0</v>
      </c>
      <c r="K8" s="1">
        <f>IFERROR(VLOOKUP(B8,[3]Hoja1!$A$7:$Y$31,8,0),0)</f>
        <v>1</v>
      </c>
      <c r="L8" s="1">
        <f t="shared" si="3"/>
        <v>1</v>
      </c>
      <c r="M8" s="1">
        <f>IFERROR(VLOOKUP(B8,[3]Hoja1!$A$7:$Y$31,10,0),0)</f>
        <v>0</v>
      </c>
      <c r="N8" s="1">
        <f>IFERROR(VLOOKUP(B8,[3]Hoja1!$A$7:$Y$31,11,0),0)</f>
        <v>0</v>
      </c>
      <c r="O8" s="1">
        <f t="shared" si="4"/>
        <v>0</v>
      </c>
      <c r="P8" s="1">
        <f>IFERROR(VLOOKUP(B8,[3]Hoja1!$A$7:$Y$31,13,0),0)</f>
        <v>0</v>
      </c>
      <c r="Q8" s="1">
        <f>IFERROR(VLOOKUP(B8,[3]Hoja1!$A$7:$Y$31,14,0),0)</f>
        <v>1</v>
      </c>
      <c r="R8" s="1">
        <f t="shared" si="5"/>
        <v>1</v>
      </c>
      <c r="S8" s="1">
        <v>0</v>
      </c>
      <c r="T8" s="1">
        <f>IFERROR(VLOOKUP(B8,[3]Hoja1!$A$7:$Y$31,16,0),0)</f>
        <v>0</v>
      </c>
      <c r="U8" s="1">
        <f t="shared" si="6"/>
        <v>0</v>
      </c>
      <c r="V8" s="1">
        <v>0</v>
      </c>
      <c r="W8" s="1">
        <f>IFERROR(VLOOKUP(B8,[3]Hoja1!$A$7:$Y$31,18,0),0)</f>
        <v>1</v>
      </c>
      <c r="X8" s="1">
        <f t="shared" si="7"/>
        <v>1</v>
      </c>
      <c r="Y8" s="1">
        <f>IFERROR(VLOOKUP(B8,[3]Hoja1!$A$7:$Y$31,20,0),0)</f>
        <v>0</v>
      </c>
      <c r="Z8" s="1">
        <f>IFERROR(VLOOKUP(B8,[3]Hoja1!$A$7:$Y$31,21,0),0)</f>
        <v>0</v>
      </c>
      <c r="AA8" s="1">
        <f t="shared" si="8"/>
        <v>0</v>
      </c>
      <c r="AB8" s="1">
        <f>IFERROR(VLOOKUP(B8,[3]Hoja1!$A$7:$Y$31,23,0),0)</f>
        <v>0</v>
      </c>
      <c r="AC8" s="1">
        <v>0</v>
      </c>
      <c r="AD8" s="1">
        <f t="shared" si="9"/>
        <v>0</v>
      </c>
      <c r="AE8" s="1">
        <f t="shared" si="10"/>
        <v>0</v>
      </c>
      <c r="AF8" s="1">
        <f t="shared" si="11"/>
        <v>6</v>
      </c>
      <c r="AG8" s="1">
        <f t="shared" si="12"/>
        <v>6</v>
      </c>
      <c r="AH8" s="1">
        <f t="shared" si="13"/>
        <v>0</v>
      </c>
      <c r="AI8" s="1">
        <f t="shared" si="14"/>
        <v>6</v>
      </c>
      <c r="AJ8" s="1">
        <f>VLOOKUP(B8,[4]SCOPUS!$B$7:$L$31,10,0)</f>
        <v>457</v>
      </c>
      <c r="AK8" s="1" t="str">
        <f t="shared" si="0"/>
        <v>Categoría II</v>
      </c>
      <c r="AL8" s="1" t="str">
        <f t="shared" si="15"/>
        <v>CRUCH-ESTATALCategoría II</v>
      </c>
    </row>
    <row r="9" spans="1:38" x14ac:dyDescent="0.25">
      <c r="A9" s="1" t="s">
        <v>26</v>
      </c>
      <c r="B9" s="1" t="s">
        <v>16</v>
      </c>
      <c r="C9" s="3" t="s">
        <v>33</v>
      </c>
      <c r="D9" s="1">
        <v>0</v>
      </c>
      <c r="E9" s="1">
        <f>IFERROR(VLOOKUP(B9,[3]Hoja1!$A$7:$Y$31,2,0),0)</f>
        <v>3</v>
      </c>
      <c r="F9" s="1">
        <f t="shared" si="1"/>
        <v>3</v>
      </c>
      <c r="G9" s="1">
        <f>IFERROR(VLOOKUP(B9,[3]Hoja1!$A$7:$Y$31,4,0),0)</f>
        <v>0</v>
      </c>
      <c r="H9" s="1">
        <f>IFERROR(VLOOKUP(B9,[3]Hoja1!$A$7:$Y$31,5,0),0)</f>
        <v>0</v>
      </c>
      <c r="I9" s="1">
        <f t="shared" si="2"/>
        <v>0</v>
      </c>
      <c r="J9" s="1">
        <f>IFERROR(VLOOKUP(B9,[3]Hoja1!$A$7:$Y$31,7,0),0)</f>
        <v>0</v>
      </c>
      <c r="K9" s="1">
        <f>IFERROR(VLOOKUP(B9,[3]Hoja1!$A$7:$Y$31,8,0),0)</f>
        <v>0</v>
      </c>
      <c r="L9" s="1">
        <f t="shared" si="3"/>
        <v>0</v>
      </c>
      <c r="M9" s="1">
        <f>IFERROR(VLOOKUP(B9,[3]Hoja1!$A$7:$Y$31,10,0),0)</f>
        <v>0</v>
      </c>
      <c r="N9" s="1">
        <f>IFERROR(VLOOKUP(B9,[3]Hoja1!$A$7:$Y$31,11,0),0)</f>
        <v>3</v>
      </c>
      <c r="O9" s="1">
        <f t="shared" si="4"/>
        <v>3</v>
      </c>
      <c r="P9" s="1">
        <f>IFERROR(VLOOKUP(B9,[3]Hoja1!$A$7:$Y$31,13,0),0)</f>
        <v>0</v>
      </c>
      <c r="Q9" s="1">
        <f>IFERROR(VLOOKUP(B9,[3]Hoja1!$A$7:$Y$31,14,0),0)</f>
        <v>1</v>
      </c>
      <c r="R9" s="1">
        <f t="shared" si="5"/>
        <v>1</v>
      </c>
      <c r="S9" s="1">
        <v>0</v>
      </c>
      <c r="T9" s="1">
        <f>IFERROR(VLOOKUP(B9,[3]Hoja1!$A$7:$Y$31,16,0),0)</f>
        <v>0</v>
      </c>
      <c r="U9" s="1">
        <f t="shared" si="6"/>
        <v>0</v>
      </c>
      <c r="V9" s="1">
        <v>0</v>
      </c>
      <c r="W9" s="1">
        <f>IFERROR(VLOOKUP(B9,[3]Hoja1!$A$7:$Y$31,18,0),0)</f>
        <v>0</v>
      </c>
      <c r="X9" s="1">
        <f t="shared" si="7"/>
        <v>0</v>
      </c>
      <c r="Y9" s="1">
        <f>IFERROR(VLOOKUP(B9,[3]Hoja1!$A$7:$Y$31,20,0),0)</f>
        <v>0</v>
      </c>
      <c r="Z9" s="1">
        <f>IFERROR(VLOOKUP(B9,[3]Hoja1!$A$7:$Y$31,21,0),0)</f>
        <v>0</v>
      </c>
      <c r="AA9" s="1">
        <f t="shared" si="8"/>
        <v>0</v>
      </c>
      <c r="AB9" s="1">
        <f>IFERROR(VLOOKUP(B9,[3]Hoja1!$A$7:$Y$31,23,0),0)</f>
        <v>0</v>
      </c>
      <c r="AC9" s="1">
        <v>0</v>
      </c>
      <c r="AD9" s="1">
        <f t="shared" si="9"/>
        <v>0</v>
      </c>
      <c r="AE9" s="1">
        <f t="shared" si="10"/>
        <v>0</v>
      </c>
      <c r="AF9" s="1">
        <f t="shared" si="11"/>
        <v>7</v>
      </c>
      <c r="AG9" s="1">
        <f t="shared" si="12"/>
        <v>7</v>
      </c>
      <c r="AH9" s="1">
        <f t="shared" si="13"/>
        <v>0</v>
      </c>
      <c r="AI9" s="1">
        <f t="shared" si="14"/>
        <v>7</v>
      </c>
      <c r="AJ9" s="1">
        <f>VLOOKUP(B9,[4]SCOPUS!$B$7:$L$31,10,0)</f>
        <v>377</v>
      </c>
      <c r="AK9" s="1" t="str">
        <f t="shared" si="0"/>
        <v>Categoría II</v>
      </c>
      <c r="AL9" s="1" t="str">
        <f t="shared" si="15"/>
        <v>CRUCH-ESTATALCategoría II</v>
      </c>
    </row>
    <row r="10" spans="1:38" x14ac:dyDescent="0.25">
      <c r="A10" s="1" t="s">
        <v>31</v>
      </c>
      <c r="B10" s="1" t="s">
        <v>21</v>
      </c>
      <c r="C10" s="3" t="s">
        <v>33</v>
      </c>
      <c r="D10" s="1">
        <v>0</v>
      </c>
      <c r="E10" s="1">
        <f>IFERROR(VLOOKUP(B10,[3]Hoja1!$A$7:$Y$31,2,0),0)</f>
        <v>0</v>
      </c>
      <c r="F10" s="1">
        <f t="shared" si="1"/>
        <v>0</v>
      </c>
      <c r="G10" s="1">
        <f>IFERROR(VLOOKUP(B10,[3]Hoja1!$A$7:$Y$31,4,0),0)</f>
        <v>0</v>
      </c>
      <c r="H10" s="1">
        <f>IFERROR(VLOOKUP(B10,[3]Hoja1!$A$7:$Y$31,5,0),0)</f>
        <v>0</v>
      </c>
      <c r="I10" s="1">
        <f t="shared" si="2"/>
        <v>0</v>
      </c>
      <c r="J10" s="1">
        <f>IFERROR(VLOOKUP(B10,[3]Hoja1!$A$7:$Y$31,7,0),0)</f>
        <v>0</v>
      </c>
      <c r="K10" s="1">
        <f>IFERROR(VLOOKUP(B10,[3]Hoja1!$A$7:$Y$31,8,0),0)</f>
        <v>0</v>
      </c>
      <c r="L10" s="1">
        <f t="shared" si="3"/>
        <v>0</v>
      </c>
      <c r="M10" s="1">
        <f>IFERROR(VLOOKUP(B10,[3]Hoja1!$A$7:$Y$31,10,0),0)</f>
        <v>0</v>
      </c>
      <c r="N10" s="1">
        <f>IFERROR(VLOOKUP(B10,[3]Hoja1!$A$7:$Y$31,11,0),0)</f>
        <v>0</v>
      </c>
      <c r="O10" s="1">
        <f t="shared" si="4"/>
        <v>0</v>
      </c>
      <c r="P10" s="1">
        <f>IFERROR(VLOOKUP(B10,[3]Hoja1!$A$7:$Y$31,13,0),0)</f>
        <v>1</v>
      </c>
      <c r="Q10" s="1">
        <f>IFERROR(VLOOKUP(B10,[3]Hoja1!$A$7:$Y$31,14,0),0)</f>
        <v>0</v>
      </c>
      <c r="R10" s="1">
        <f t="shared" si="5"/>
        <v>1</v>
      </c>
      <c r="S10" s="1">
        <v>0</v>
      </c>
      <c r="T10" s="1">
        <f>IFERROR(VLOOKUP(B10,[3]Hoja1!$A$7:$Y$31,16,0),0)</f>
        <v>0</v>
      </c>
      <c r="U10" s="1">
        <f t="shared" si="6"/>
        <v>0</v>
      </c>
      <c r="V10" s="1">
        <v>0</v>
      </c>
      <c r="W10" s="1">
        <f>IFERROR(VLOOKUP(B10,[3]Hoja1!$A$7:$Y$31,18,0),0)</f>
        <v>0</v>
      </c>
      <c r="X10" s="1">
        <f t="shared" si="7"/>
        <v>0</v>
      </c>
      <c r="Y10" s="1">
        <f>IFERROR(VLOOKUP(B10,[3]Hoja1!$A$7:$Y$31,20,0),0)</f>
        <v>0</v>
      </c>
      <c r="Z10" s="1">
        <f>IFERROR(VLOOKUP(B10,[3]Hoja1!$A$7:$Y$31,21,0),0)</f>
        <v>0</v>
      </c>
      <c r="AA10" s="1">
        <f t="shared" si="8"/>
        <v>0</v>
      </c>
      <c r="AB10" s="1">
        <f>IFERROR(VLOOKUP(B10,[3]Hoja1!$A$7:$Y$31,23,0),0)</f>
        <v>0</v>
      </c>
      <c r="AC10" s="1">
        <v>0</v>
      </c>
      <c r="AD10" s="1">
        <f t="shared" si="9"/>
        <v>0</v>
      </c>
      <c r="AE10" s="1">
        <f t="shared" si="10"/>
        <v>1</v>
      </c>
      <c r="AF10" s="1">
        <f t="shared" si="11"/>
        <v>0</v>
      </c>
      <c r="AG10" s="1">
        <f t="shared" si="12"/>
        <v>1</v>
      </c>
      <c r="AH10" s="1">
        <f t="shared" si="13"/>
        <v>1</v>
      </c>
      <c r="AI10" s="1">
        <f t="shared" si="14"/>
        <v>1</v>
      </c>
      <c r="AJ10" s="1">
        <f>VLOOKUP(B10,[4]SCOPUS!$B$7:$L$31,10,0)</f>
        <v>203</v>
      </c>
      <c r="AK10" s="1" t="str">
        <f t="shared" si="0"/>
        <v>Categoría II</v>
      </c>
      <c r="AL10" s="1" t="str">
        <f t="shared" si="15"/>
        <v>CRUCH-ESTATALCategoría II</v>
      </c>
    </row>
    <row r="11" spans="1:38" x14ac:dyDescent="0.25">
      <c r="A11" s="1" t="s">
        <v>25</v>
      </c>
      <c r="B11" s="1" t="s">
        <v>15</v>
      </c>
      <c r="C11" s="3" t="s">
        <v>33</v>
      </c>
      <c r="D11" s="1">
        <v>0</v>
      </c>
      <c r="E11" s="1">
        <f>IFERROR(VLOOKUP(B11,[3]Hoja1!$A$7:$Y$31,2,0),0)</f>
        <v>2</v>
      </c>
      <c r="F11" s="1">
        <f t="shared" si="1"/>
        <v>2</v>
      </c>
      <c r="G11" s="1">
        <f>IFERROR(VLOOKUP(B11,[3]Hoja1!$A$7:$Y$31,4,0),0)</f>
        <v>0</v>
      </c>
      <c r="H11" s="1">
        <f>IFERROR(VLOOKUP(B11,[3]Hoja1!$A$7:$Y$31,5,0),0)</f>
        <v>2</v>
      </c>
      <c r="I11" s="1">
        <f t="shared" si="2"/>
        <v>2</v>
      </c>
      <c r="J11" s="1">
        <f>IFERROR(VLOOKUP(B11,[3]Hoja1!$A$7:$Y$31,7,0),0)</f>
        <v>2</v>
      </c>
      <c r="K11" s="1">
        <f>IFERROR(VLOOKUP(B11,[3]Hoja1!$A$7:$Y$31,8,0),0)</f>
        <v>0</v>
      </c>
      <c r="L11" s="1">
        <f t="shared" si="3"/>
        <v>2</v>
      </c>
      <c r="M11" s="1">
        <f>IFERROR(VLOOKUP(B11,[3]Hoja1!$A$7:$Y$31,10,0),0)</f>
        <v>0</v>
      </c>
      <c r="N11" s="1">
        <f>IFERROR(VLOOKUP(B11,[3]Hoja1!$A$7:$Y$31,11,0),0)</f>
        <v>0</v>
      </c>
      <c r="O11" s="1">
        <f t="shared" si="4"/>
        <v>0</v>
      </c>
      <c r="P11" s="1">
        <f>IFERROR(VLOOKUP(B11,[3]Hoja1!$A$7:$Y$31,13,0),0)</f>
        <v>0</v>
      </c>
      <c r="Q11" s="1">
        <f>IFERROR(VLOOKUP(B11,[3]Hoja1!$A$7:$Y$31,14,0),0)</f>
        <v>0</v>
      </c>
      <c r="R11" s="1">
        <f t="shared" si="5"/>
        <v>0</v>
      </c>
      <c r="S11" s="1">
        <v>0</v>
      </c>
      <c r="T11" s="1">
        <f>IFERROR(VLOOKUP(B11,[3]Hoja1!$A$7:$Y$31,16,0),0)</f>
        <v>1</v>
      </c>
      <c r="U11" s="1">
        <f t="shared" si="6"/>
        <v>1</v>
      </c>
      <c r="V11" s="1">
        <v>0</v>
      </c>
      <c r="W11" s="1">
        <f>IFERROR(VLOOKUP(B11,[3]Hoja1!$A$7:$Y$31,18,0),0)</f>
        <v>0</v>
      </c>
      <c r="X11" s="1">
        <f t="shared" si="7"/>
        <v>0</v>
      </c>
      <c r="Y11" s="1">
        <f>IFERROR(VLOOKUP(B11,[3]Hoja1!$A$7:$Y$31,20,0),0)</f>
        <v>0</v>
      </c>
      <c r="Z11" s="1">
        <f>IFERROR(VLOOKUP(B11,[3]Hoja1!$A$7:$Y$31,21,0),0)</f>
        <v>0</v>
      </c>
      <c r="AA11" s="1">
        <f t="shared" si="8"/>
        <v>0</v>
      </c>
      <c r="AB11" s="1">
        <f>IFERROR(VLOOKUP(B11,[3]Hoja1!$A$7:$Y$31,23,0),0)</f>
        <v>0</v>
      </c>
      <c r="AC11" s="1">
        <v>0</v>
      </c>
      <c r="AD11" s="1">
        <f t="shared" si="9"/>
        <v>0</v>
      </c>
      <c r="AE11" s="1">
        <f t="shared" si="10"/>
        <v>2</v>
      </c>
      <c r="AF11" s="1">
        <f t="shared" si="11"/>
        <v>5</v>
      </c>
      <c r="AG11" s="1">
        <f t="shared" si="12"/>
        <v>7</v>
      </c>
      <c r="AH11" s="1">
        <f t="shared" si="13"/>
        <v>0</v>
      </c>
      <c r="AI11" s="1">
        <f t="shared" si="14"/>
        <v>5</v>
      </c>
      <c r="AJ11" s="1">
        <f>VLOOKUP(B11,[4]SCOPUS!$B$7:$L$31,10,0)</f>
        <v>399</v>
      </c>
      <c r="AK11" s="1" t="str">
        <f t="shared" si="0"/>
        <v>Categoría II</v>
      </c>
      <c r="AL11" s="1" t="str">
        <f t="shared" si="15"/>
        <v>CRUCH-ESTATALCategoría II</v>
      </c>
    </row>
    <row r="12" spans="1:38" x14ac:dyDescent="0.25">
      <c r="A12" s="1" t="s">
        <v>29</v>
      </c>
      <c r="B12" s="1" t="s">
        <v>19</v>
      </c>
      <c r="C12" s="3" t="s">
        <v>33</v>
      </c>
      <c r="D12" s="1">
        <v>0</v>
      </c>
      <c r="E12" s="1">
        <f>IFERROR(VLOOKUP(B12,[3]Hoja1!$A$7:$Y$31,2,0),0)</f>
        <v>0</v>
      </c>
      <c r="F12" s="1">
        <f t="shared" si="1"/>
        <v>0</v>
      </c>
      <c r="G12" s="1">
        <f>IFERROR(VLOOKUP(B12,[3]Hoja1!$A$7:$Y$31,4,0),0)</f>
        <v>1</v>
      </c>
      <c r="H12" s="1">
        <f>IFERROR(VLOOKUP(B12,[3]Hoja1!$A$7:$Y$31,5,0),0)</f>
        <v>1</v>
      </c>
      <c r="I12" s="1">
        <f t="shared" si="2"/>
        <v>2</v>
      </c>
      <c r="J12" s="1">
        <f>IFERROR(VLOOKUP(B12,[3]Hoja1!$A$7:$Y$31,7,0),0)</f>
        <v>0</v>
      </c>
      <c r="K12" s="1">
        <f>IFERROR(VLOOKUP(B12,[3]Hoja1!$A$7:$Y$31,8,0),0)</f>
        <v>1</v>
      </c>
      <c r="L12" s="1">
        <f t="shared" si="3"/>
        <v>1</v>
      </c>
      <c r="M12" s="1">
        <f>IFERROR(VLOOKUP(B12,[3]Hoja1!$A$7:$Y$31,10,0),0)</f>
        <v>0</v>
      </c>
      <c r="N12" s="1">
        <f>IFERROR(VLOOKUP(B12,[3]Hoja1!$A$7:$Y$31,11,0),0)</f>
        <v>0</v>
      </c>
      <c r="O12" s="1">
        <f t="shared" si="4"/>
        <v>0</v>
      </c>
      <c r="P12" s="1">
        <f>IFERROR(VLOOKUP(B12,[3]Hoja1!$A$7:$Y$31,13,0),0)</f>
        <v>0</v>
      </c>
      <c r="Q12" s="1">
        <f>IFERROR(VLOOKUP(B12,[3]Hoja1!$A$7:$Y$31,14,0),0)</f>
        <v>0</v>
      </c>
      <c r="R12" s="1">
        <f t="shared" si="5"/>
        <v>0</v>
      </c>
      <c r="S12" s="1">
        <v>0</v>
      </c>
      <c r="T12" s="1">
        <f>IFERROR(VLOOKUP(B12,[3]Hoja1!$A$7:$Y$31,16,0),0)</f>
        <v>0</v>
      </c>
      <c r="U12" s="1">
        <f t="shared" si="6"/>
        <v>0</v>
      </c>
      <c r="V12" s="1">
        <v>0</v>
      </c>
      <c r="W12" s="1">
        <f>IFERROR(VLOOKUP(B12,[3]Hoja1!$A$7:$Y$31,18,0),0)</f>
        <v>0</v>
      </c>
      <c r="X12" s="1">
        <f t="shared" si="7"/>
        <v>0</v>
      </c>
      <c r="Y12" s="1">
        <f>IFERROR(VLOOKUP(B12,[3]Hoja1!$A$7:$Y$31,20,0),0)</f>
        <v>0</v>
      </c>
      <c r="Z12" s="1">
        <f>IFERROR(VLOOKUP(B12,[3]Hoja1!$A$7:$Y$31,21,0),0)</f>
        <v>0</v>
      </c>
      <c r="AA12" s="1">
        <f t="shared" si="8"/>
        <v>0</v>
      </c>
      <c r="AB12" s="1">
        <f>IFERROR(VLOOKUP(B12,[3]Hoja1!$A$7:$Y$31,23,0),0)</f>
        <v>0</v>
      </c>
      <c r="AC12" s="1">
        <v>0</v>
      </c>
      <c r="AD12" s="1">
        <f t="shared" si="9"/>
        <v>0</v>
      </c>
      <c r="AE12" s="1">
        <f t="shared" si="10"/>
        <v>1</v>
      </c>
      <c r="AF12" s="1">
        <f t="shared" si="11"/>
        <v>2</v>
      </c>
      <c r="AG12" s="1">
        <f t="shared" si="12"/>
        <v>3</v>
      </c>
      <c r="AH12" s="1">
        <f t="shared" si="13"/>
        <v>0</v>
      </c>
      <c r="AI12" s="1">
        <f t="shared" si="14"/>
        <v>2</v>
      </c>
      <c r="AJ12" s="1">
        <f>VLOOKUP(B12,[4]SCOPUS!$B$7:$L$31,10,0)</f>
        <v>227</v>
      </c>
      <c r="AK12" s="1" t="str">
        <f t="shared" si="0"/>
        <v>Categoría II</v>
      </c>
      <c r="AL12" s="1" t="str">
        <f t="shared" si="15"/>
        <v>CRUCH-ESTATALCategoría II</v>
      </c>
    </row>
    <row r="13" spans="1:38" x14ac:dyDescent="0.25">
      <c r="A13" s="1" t="s">
        <v>28</v>
      </c>
      <c r="B13" s="1" t="s">
        <v>18</v>
      </c>
      <c r="C13" s="3" t="s">
        <v>33</v>
      </c>
      <c r="D13" s="1">
        <v>0</v>
      </c>
      <c r="E13" s="1">
        <f>IFERROR(VLOOKUP(B13,[3]Hoja1!$A$7:$Y$31,2,0),0)</f>
        <v>2</v>
      </c>
      <c r="F13" s="1">
        <f>D13+E13</f>
        <v>2</v>
      </c>
      <c r="G13" s="1">
        <f>IFERROR(VLOOKUP(B13,[3]Hoja1!$A$7:$Y$31,4,0),0)</f>
        <v>0</v>
      </c>
      <c r="H13" s="1">
        <f>IFERROR(VLOOKUP(B13,[3]Hoja1!$A$7:$Y$31,5,0),0)</f>
        <v>0</v>
      </c>
      <c r="I13" s="1">
        <f>G13+H13</f>
        <v>0</v>
      </c>
      <c r="J13" s="1">
        <f>IFERROR(VLOOKUP(B13,[3]Hoja1!$A$7:$Y$31,7,0),0)</f>
        <v>0</v>
      </c>
      <c r="K13" s="1">
        <f>IFERROR(VLOOKUP(B13,[3]Hoja1!$A$7:$Y$31,8,0),0)</f>
        <v>0</v>
      </c>
      <c r="L13" s="1">
        <f>J13+K13</f>
        <v>0</v>
      </c>
      <c r="M13" s="1">
        <f>IFERROR(VLOOKUP(B13,[3]Hoja1!$A$7:$Y$31,10,0),0)</f>
        <v>1</v>
      </c>
      <c r="N13" s="1">
        <f>IFERROR(VLOOKUP(B13,[3]Hoja1!$A$7:$Y$31,11,0),0)</f>
        <v>0</v>
      </c>
      <c r="O13" s="1">
        <f>M13+N13</f>
        <v>1</v>
      </c>
      <c r="P13" s="1">
        <f>IFERROR(VLOOKUP(B13,[3]Hoja1!$A$7:$Y$31,13,0),0)</f>
        <v>0</v>
      </c>
      <c r="Q13" s="1">
        <f>IFERROR(VLOOKUP(B13,[3]Hoja1!$A$7:$Y$31,14,0),0)</f>
        <v>0</v>
      </c>
      <c r="R13" s="1">
        <f>P13+Q13</f>
        <v>0</v>
      </c>
      <c r="S13" s="1">
        <v>0</v>
      </c>
      <c r="T13" s="1">
        <f>IFERROR(VLOOKUP(B13,[3]Hoja1!$A$7:$Y$31,16,0),0)</f>
        <v>0</v>
      </c>
      <c r="U13" s="1">
        <f>S13+T13</f>
        <v>0</v>
      </c>
      <c r="V13" s="1">
        <v>0</v>
      </c>
      <c r="W13" s="1">
        <f>IFERROR(VLOOKUP(B13,[3]Hoja1!$A$7:$Y$31,18,0),0)</f>
        <v>0</v>
      </c>
      <c r="X13" s="1">
        <f>V13+W13</f>
        <v>0</v>
      </c>
      <c r="Y13" s="1">
        <f>IFERROR(VLOOKUP(B13,[3]Hoja1!$A$7:$Y$31,20,0),0)</f>
        <v>0</v>
      </c>
      <c r="Z13" s="1">
        <f>IFERROR(VLOOKUP(B13,[3]Hoja1!$A$7:$Y$31,21,0),0)</f>
        <v>0</v>
      </c>
      <c r="AA13" s="1">
        <f>Y13+Z13</f>
        <v>0</v>
      </c>
      <c r="AB13" s="1">
        <f>IFERROR(VLOOKUP(B13,[3]Hoja1!$A$7:$Y$31,23,0),0)</f>
        <v>0</v>
      </c>
      <c r="AC13" s="1">
        <v>0</v>
      </c>
      <c r="AD13" s="1">
        <f>AB13+AC13</f>
        <v>0</v>
      </c>
      <c r="AE13" s="1">
        <f>D13+G13+J13+M13+P13+S13+V13+Y13+AB13</f>
        <v>1</v>
      </c>
      <c r="AF13" s="1">
        <f>E13+H13+K13+N13+Q13+T13+W13+Z13+AC13</f>
        <v>2</v>
      </c>
      <c r="AG13" s="1">
        <f>AE13+AF13</f>
        <v>3</v>
      </c>
      <c r="AH13" s="1">
        <f>P13+S13+V13+Y13+AB13+M13</f>
        <v>1</v>
      </c>
      <c r="AI13" s="1">
        <f>AF13+AH13</f>
        <v>3</v>
      </c>
      <c r="AJ13" s="1">
        <f>VLOOKUP(B13,[4]SCOPUS!$B$7:$L$31,10,0)</f>
        <v>129</v>
      </c>
      <c r="AK13" s="1" t="str">
        <f t="shared" si="0"/>
        <v>Categoría II</v>
      </c>
      <c r="AL13" s="1" t="str">
        <f t="shared" si="15"/>
        <v>CRUCH-ESTATALCategoría II</v>
      </c>
    </row>
    <row r="14" spans="1:38" x14ac:dyDescent="0.25">
      <c r="A14" s="1" t="s">
        <v>45</v>
      </c>
      <c r="B14" s="1" t="s">
        <v>38</v>
      </c>
      <c r="C14" s="3" t="s">
        <v>33</v>
      </c>
      <c r="D14" s="1">
        <v>0</v>
      </c>
      <c r="E14" s="1">
        <f>IFERROR(VLOOKUP(B14,[3]Hoja1!$A$7:$Y$31,2,0),0)</f>
        <v>1</v>
      </c>
      <c r="F14" s="1">
        <f>D14+E14</f>
        <v>1</v>
      </c>
      <c r="G14" s="1">
        <f>IFERROR(VLOOKUP(B14,[3]Hoja1!$A$7:$Y$31,4,0),0)</f>
        <v>0</v>
      </c>
      <c r="H14" s="1">
        <f>IFERROR(VLOOKUP(B14,[3]Hoja1!$A$7:$Y$31,5,0),0)</f>
        <v>0</v>
      </c>
      <c r="I14" s="1">
        <f>G14+H14</f>
        <v>0</v>
      </c>
      <c r="J14" s="1">
        <f>IFERROR(VLOOKUP(B14,[3]Hoja1!$A$7:$Y$31,7,0),0)</f>
        <v>0</v>
      </c>
      <c r="K14" s="1">
        <f>IFERROR(VLOOKUP(B14,[3]Hoja1!$A$7:$Y$31,8,0),0)</f>
        <v>0</v>
      </c>
      <c r="L14" s="1">
        <f>J14+K14</f>
        <v>0</v>
      </c>
      <c r="M14" s="1">
        <f>IFERROR(VLOOKUP(B14,[3]Hoja1!$A$7:$Y$31,10,0),0)</f>
        <v>0</v>
      </c>
      <c r="N14" s="1">
        <f>IFERROR(VLOOKUP(B14,[3]Hoja1!$A$7:$Y$31,11,0),0)</f>
        <v>0</v>
      </c>
      <c r="O14" s="1">
        <f>M14+N14</f>
        <v>0</v>
      </c>
      <c r="P14" s="1">
        <f>IFERROR(VLOOKUP(B14,[3]Hoja1!$A$7:$Y$31,13,0),0)</f>
        <v>0</v>
      </c>
      <c r="Q14" s="1">
        <f>IFERROR(VLOOKUP(B14,[3]Hoja1!$A$7:$Y$31,14,0),0)</f>
        <v>0</v>
      </c>
      <c r="R14" s="1">
        <f>P14+Q14</f>
        <v>0</v>
      </c>
      <c r="S14" s="1">
        <v>0</v>
      </c>
      <c r="T14" s="1">
        <f>IFERROR(VLOOKUP(B14,[3]Hoja1!$A$7:$Y$31,16,0),0)</f>
        <v>0</v>
      </c>
      <c r="U14" s="1">
        <f>S14+T14</f>
        <v>0</v>
      </c>
      <c r="V14" s="1">
        <v>0</v>
      </c>
      <c r="W14" s="1">
        <f>IFERROR(VLOOKUP(B14,[3]Hoja1!$A$7:$Y$31,18,0),0)</f>
        <v>0</v>
      </c>
      <c r="X14" s="1">
        <f>V14+W14</f>
        <v>0</v>
      </c>
      <c r="Y14" s="1">
        <f>IFERROR(VLOOKUP(B14,[3]Hoja1!$A$7:$Y$31,20,0),0)</f>
        <v>0</v>
      </c>
      <c r="Z14" s="1">
        <f>IFERROR(VLOOKUP(B14,[3]Hoja1!$A$7:$Y$31,21,0),0)</f>
        <v>0</v>
      </c>
      <c r="AA14" s="1">
        <f>Y14+Z14</f>
        <v>0</v>
      </c>
      <c r="AB14" s="1">
        <f>IFERROR(VLOOKUP(B14,[3]Hoja1!$A$7:$Y$31,23,0),0)</f>
        <v>0</v>
      </c>
      <c r="AC14" s="1">
        <v>0</v>
      </c>
      <c r="AD14" s="1">
        <f>AB14+AC14</f>
        <v>0</v>
      </c>
      <c r="AE14" s="1">
        <f>D14+G14+J14+M14+P14+S14+V14+Y14+AB14</f>
        <v>0</v>
      </c>
      <c r="AF14" s="1">
        <f>E14+H14+K14+N14+Q14+T14+W14+Z14+AC14</f>
        <v>1</v>
      </c>
      <c r="AG14" s="1">
        <f>AE14+AF14</f>
        <v>1</v>
      </c>
      <c r="AH14" s="1">
        <f>P14+S14+V14+Y14+AB14+M14</f>
        <v>0</v>
      </c>
      <c r="AI14" s="1">
        <f>AF14+AH14</f>
        <v>1</v>
      </c>
      <c r="AJ14" s="1">
        <f>VLOOKUP(B14,[4]SCOPUS!$B$7:$L$31,10,0)</f>
        <v>103</v>
      </c>
      <c r="AK14" s="1" t="str">
        <f t="shared" si="0"/>
        <v>Categoría II</v>
      </c>
      <c r="AL14" s="1" t="str">
        <f t="shared" si="15"/>
        <v>CRUCH-ESTATALCategoría II</v>
      </c>
    </row>
    <row r="15" spans="1:38" x14ac:dyDescent="0.25">
      <c r="A15" s="1" t="s">
        <v>41</v>
      </c>
      <c r="B15" s="1" t="s">
        <v>34</v>
      </c>
      <c r="C15" s="3" t="s">
        <v>33</v>
      </c>
      <c r="D15" s="1">
        <v>0</v>
      </c>
      <c r="E15" s="1">
        <f>IFERROR(VLOOKUP(B15,[3]Hoja1!$A$7:$Y$31,2,0),0)</f>
        <v>0</v>
      </c>
      <c r="F15" s="1">
        <f t="shared" si="1"/>
        <v>0</v>
      </c>
      <c r="G15" s="1">
        <f>IFERROR(VLOOKUP(B15,[3]Hoja1!$A$7:$Y$31,4,0),0)</f>
        <v>0</v>
      </c>
      <c r="H15" s="1">
        <f>IFERROR(VLOOKUP(B15,[3]Hoja1!$A$7:$Y$31,5,0),0)</f>
        <v>0</v>
      </c>
      <c r="I15" s="1">
        <f t="shared" si="2"/>
        <v>0</v>
      </c>
      <c r="J15" s="1">
        <f>IFERROR(VLOOKUP(B15,[3]Hoja1!$A$7:$Y$31,7,0),0)</f>
        <v>0</v>
      </c>
      <c r="K15" s="1">
        <f>IFERROR(VLOOKUP(B15,[3]Hoja1!$A$7:$Y$31,8,0),0)</f>
        <v>0</v>
      </c>
      <c r="L15" s="1">
        <f t="shared" si="3"/>
        <v>0</v>
      </c>
      <c r="M15" s="1">
        <f>IFERROR(VLOOKUP(B15,[3]Hoja1!$A$7:$Y$31,10,0),0)</f>
        <v>0</v>
      </c>
      <c r="N15" s="1">
        <f>IFERROR(VLOOKUP(B15,[3]Hoja1!$A$7:$Y$31,11,0),0)</f>
        <v>0</v>
      </c>
      <c r="O15" s="1">
        <f t="shared" si="4"/>
        <v>0</v>
      </c>
      <c r="P15" s="1">
        <f>IFERROR(VLOOKUP(B15,[3]Hoja1!$A$7:$Y$31,13,0),0)</f>
        <v>0</v>
      </c>
      <c r="Q15" s="1">
        <f>IFERROR(VLOOKUP(B15,[3]Hoja1!$A$7:$Y$31,14,0),0)</f>
        <v>0</v>
      </c>
      <c r="R15" s="1">
        <f t="shared" si="5"/>
        <v>0</v>
      </c>
      <c r="S15" s="1">
        <v>0</v>
      </c>
      <c r="T15" s="1">
        <f>IFERROR(VLOOKUP(B15,[3]Hoja1!$A$7:$Y$31,16,0),0)</f>
        <v>0</v>
      </c>
      <c r="U15" s="1">
        <f t="shared" si="6"/>
        <v>0</v>
      </c>
      <c r="V15" s="1">
        <v>0</v>
      </c>
      <c r="W15" s="1">
        <f>IFERROR(VLOOKUP(B15,[3]Hoja1!$A$7:$Y$31,18,0),0)</f>
        <v>0</v>
      </c>
      <c r="X15" s="1">
        <f t="shared" si="7"/>
        <v>0</v>
      </c>
      <c r="Y15" s="1">
        <f>IFERROR(VLOOKUP(B15,[3]Hoja1!$A$7:$Y$31,20,0),0)</f>
        <v>0</v>
      </c>
      <c r="Z15" s="1">
        <f>IFERROR(VLOOKUP(B15,[3]Hoja1!$A$7:$Y$31,21,0),0)</f>
        <v>0</v>
      </c>
      <c r="AA15" s="1">
        <f t="shared" si="8"/>
        <v>0</v>
      </c>
      <c r="AB15" s="1">
        <f>IFERROR(VLOOKUP(B15,[3]Hoja1!$A$7:$Y$31,23,0),0)</f>
        <v>0</v>
      </c>
      <c r="AC15" s="1">
        <v>0</v>
      </c>
      <c r="AD15" s="1">
        <f t="shared" si="9"/>
        <v>0</v>
      </c>
      <c r="AE15" s="1">
        <f t="shared" si="10"/>
        <v>0</v>
      </c>
      <c r="AF15" s="1">
        <f t="shared" si="11"/>
        <v>0</v>
      </c>
      <c r="AG15" s="1">
        <f t="shared" si="12"/>
        <v>0</v>
      </c>
      <c r="AH15" s="1">
        <f t="shared" si="13"/>
        <v>0</v>
      </c>
      <c r="AI15" s="1">
        <f t="shared" si="14"/>
        <v>0</v>
      </c>
      <c r="AJ15" s="1">
        <f>VLOOKUP(B15,[4]SCOPUS!$B$7:$L$31,10,0)</f>
        <v>75</v>
      </c>
      <c r="AK15" s="1" t="str">
        <f t="shared" si="0"/>
        <v>Categoría III</v>
      </c>
      <c r="AL15" s="1" t="str">
        <f t="shared" si="15"/>
        <v>CRUCH-ESTATALCategoría III</v>
      </c>
    </row>
    <row r="16" spans="1:38" x14ac:dyDescent="0.25">
      <c r="A16" s="1" t="s">
        <v>42</v>
      </c>
      <c r="B16" s="1" t="s">
        <v>35</v>
      </c>
      <c r="C16" s="3" t="s">
        <v>33</v>
      </c>
      <c r="D16" s="1">
        <v>0</v>
      </c>
      <c r="E16" s="1">
        <f>IFERROR(VLOOKUP(B16,[3]Hoja1!$A$7:$Y$31,2,0),0)</f>
        <v>0</v>
      </c>
      <c r="F16" s="1">
        <f t="shared" si="1"/>
        <v>0</v>
      </c>
      <c r="G16" s="1">
        <f>IFERROR(VLOOKUP(B16,[3]Hoja1!$A$7:$Y$31,4,0),0)</f>
        <v>0</v>
      </c>
      <c r="H16" s="1">
        <f>IFERROR(VLOOKUP(B16,[3]Hoja1!$A$7:$Y$31,5,0),0)</f>
        <v>0</v>
      </c>
      <c r="I16" s="1">
        <f t="shared" si="2"/>
        <v>0</v>
      </c>
      <c r="J16" s="1">
        <f>IFERROR(VLOOKUP(B16,[3]Hoja1!$A$7:$Y$31,7,0),0)</f>
        <v>0</v>
      </c>
      <c r="K16" s="1">
        <f>IFERROR(VLOOKUP(B16,[3]Hoja1!$A$7:$Y$31,8,0),0)</f>
        <v>0</v>
      </c>
      <c r="L16" s="1">
        <f t="shared" si="3"/>
        <v>0</v>
      </c>
      <c r="M16" s="1">
        <f>IFERROR(VLOOKUP(B16,[3]Hoja1!$A$7:$Y$31,10,0),0)</f>
        <v>0</v>
      </c>
      <c r="N16" s="1">
        <f>IFERROR(VLOOKUP(B16,[3]Hoja1!$A$7:$Y$31,11,0),0)</f>
        <v>0</v>
      </c>
      <c r="O16" s="1">
        <f t="shared" si="4"/>
        <v>0</v>
      </c>
      <c r="P16" s="1">
        <f>IFERROR(VLOOKUP(B16,[3]Hoja1!$A$7:$Y$31,13,0),0)</f>
        <v>0</v>
      </c>
      <c r="Q16" s="1">
        <f>IFERROR(VLOOKUP(B16,[3]Hoja1!$A$7:$Y$31,14,0),0)</f>
        <v>0</v>
      </c>
      <c r="R16" s="1">
        <f t="shared" si="5"/>
        <v>0</v>
      </c>
      <c r="S16" s="1">
        <v>0</v>
      </c>
      <c r="T16" s="1">
        <f>IFERROR(VLOOKUP(B16,[3]Hoja1!$A$7:$Y$31,16,0),0)</f>
        <v>0</v>
      </c>
      <c r="U16" s="1">
        <f t="shared" si="6"/>
        <v>0</v>
      </c>
      <c r="V16" s="1">
        <v>0</v>
      </c>
      <c r="W16" s="1">
        <f>IFERROR(VLOOKUP(B16,[3]Hoja1!$A$7:$Y$31,18,0),0)</f>
        <v>0</v>
      </c>
      <c r="X16" s="1">
        <f t="shared" si="7"/>
        <v>0</v>
      </c>
      <c r="Y16" s="1">
        <f>IFERROR(VLOOKUP(B16,[3]Hoja1!$A$7:$Y$31,20,0),0)</f>
        <v>0</v>
      </c>
      <c r="Z16" s="1">
        <f>IFERROR(VLOOKUP(B16,[3]Hoja1!$A$7:$Y$31,21,0),0)</f>
        <v>0</v>
      </c>
      <c r="AA16" s="1">
        <f t="shared" si="8"/>
        <v>0</v>
      </c>
      <c r="AB16" s="1">
        <f>IFERROR(VLOOKUP(B16,[3]Hoja1!$A$7:$Y$31,23,0),0)</f>
        <v>0</v>
      </c>
      <c r="AC16" s="1">
        <v>0</v>
      </c>
      <c r="AD16" s="1">
        <f t="shared" si="9"/>
        <v>0</v>
      </c>
      <c r="AE16" s="1">
        <f t="shared" si="10"/>
        <v>0</v>
      </c>
      <c r="AF16" s="1">
        <f t="shared" si="11"/>
        <v>0</v>
      </c>
      <c r="AG16" s="1">
        <f t="shared" si="12"/>
        <v>0</v>
      </c>
      <c r="AH16" s="1">
        <f t="shared" si="13"/>
        <v>0</v>
      </c>
      <c r="AI16" s="1">
        <f t="shared" si="14"/>
        <v>0</v>
      </c>
      <c r="AJ16" s="1">
        <f>VLOOKUP(B16,[4]SCOPUS!$B$7:$L$31,10,0)</f>
        <v>51</v>
      </c>
      <c r="AK16" s="1" t="str">
        <f t="shared" si="0"/>
        <v>Categoría III</v>
      </c>
      <c r="AL16" s="1" t="str">
        <f t="shared" si="15"/>
        <v>CRUCH-ESTATALCategoría III</v>
      </c>
    </row>
    <row r="17" spans="1:38" x14ac:dyDescent="0.25">
      <c r="A17" s="1" t="s">
        <v>43</v>
      </c>
      <c r="B17" s="1" t="s">
        <v>36</v>
      </c>
      <c r="C17" s="3" t="s">
        <v>33</v>
      </c>
      <c r="D17" s="1">
        <v>0</v>
      </c>
      <c r="E17" s="1">
        <f>IFERROR(VLOOKUP(B17,[3]Hoja1!$A$7:$Y$31,2,0),0)</f>
        <v>1</v>
      </c>
      <c r="F17" s="1">
        <f t="shared" si="1"/>
        <v>1</v>
      </c>
      <c r="G17" s="1">
        <f>IFERROR(VLOOKUP(B17,[3]Hoja1!$A$7:$Y$31,4,0),0)</f>
        <v>0</v>
      </c>
      <c r="H17" s="1">
        <f>IFERROR(VLOOKUP(B17,[3]Hoja1!$A$7:$Y$31,5,0),0)</f>
        <v>0</v>
      </c>
      <c r="I17" s="1">
        <f t="shared" si="2"/>
        <v>0</v>
      </c>
      <c r="J17" s="1">
        <f>IFERROR(VLOOKUP(B17,[3]Hoja1!$A$7:$Y$31,7,0),0)</f>
        <v>0</v>
      </c>
      <c r="K17" s="1">
        <f>IFERROR(VLOOKUP(B17,[3]Hoja1!$A$7:$Y$31,8,0),0)</f>
        <v>0</v>
      </c>
      <c r="L17" s="1">
        <f t="shared" si="3"/>
        <v>0</v>
      </c>
      <c r="M17" s="1">
        <f>IFERROR(VLOOKUP(B17,[3]Hoja1!$A$7:$Y$31,10,0),0)</f>
        <v>0</v>
      </c>
      <c r="N17" s="1">
        <f>IFERROR(VLOOKUP(B17,[3]Hoja1!$A$7:$Y$31,11,0),0)</f>
        <v>0</v>
      </c>
      <c r="O17" s="1">
        <f t="shared" si="4"/>
        <v>0</v>
      </c>
      <c r="P17" s="1">
        <f>IFERROR(VLOOKUP(B17,[3]Hoja1!$A$7:$Y$31,13,0),0)</f>
        <v>0</v>
      </c>
      <c r="Q17" s="1">
        <f>IFERROR(VLOOKUP(B17,[3]Hoja1!$A$7:$Y$31,14,0),0)</f>
        <v>0</v>
      </c>
      <c r="R17" s="1">
        <f t="shared" si="5"/>
        <v>0</v>
      </c>
      <c r="S17" s="1">
        <v>0</v>
      </c>
      <c r="T17" s="1">
        <f>IFERROR(VLOOKUP(B17,[3]Hoja1!$A$7:$Y$31,16,0),0)</f>
        <v>0</v>
      </c>
      <c r="U17" s="1">
        <f t="shared" si="6"/>
        <v>0</v>
      </c>
      <c r="V17" s="1">
        <v>0</v>
      </c>
      <c r="W17" s="1">
        <f>IFERROR(VLOOKUP(B17,[3]Hoja1!$A$7:$Y$31,18,0),0)</f>
        <v>0</v>
      </c>
      <c r="X17" s="1">
        <f t="shared" si="7"/>
        <v>0</v>
      </c>
      <c r="Y17" s="1">
        <f>IFERROR(VLOOKUP(B17,[3]Hoja1!$A$7:$Y$31,20,0),0)</f>
        <v>0</v>
      </c>
      <c r="Z17" s="1">
        <f>IFERROR(VLOOKUP(B17,[3]Hoja1!$A$7:$Y$31,21,0),0)</f>
        <v>0</v>
      </c>
      <c r="AA17" s="1">
        <f t="shared" si="8"/>
        <v>0</v>
      </c>
      <c r="AB17" s="1">
        <f>IFERROR(VLOOKUP(B17,[3]Hoja1!$A$7:$Y$31,23,0),0)</f>
        <v>0</v>
      </c>
      <c r="AC17" s="1">
        <v>0</v>
      </c>
      <c r="AD17" s="1">
        <f t="shared" si="9"/>
        <v>0</v>
      </c>
      <c r="AE17" s="1">
        <f t="shared" si="10"/>
        <v>0</v>
      </c>
      <c r="AF17" s="1">
        <f t="shared" si="11"/>
        <v>1</v>
      </c>
      <c r="AG17" s="1">
        <f t="shared" si="12"/>
        <v>1</v>
      </c>
      <c r="AH17" s="1">
        <f t="shared" si="13"/>
        <v>0</v>
      </c>
      <c r="AI17" s="1">
        <f t="shared" si="14"/>
        <v>1</v>
      </c>
      <c r="AJ17" s="1">
        <f>VLOOKUP(B17,[4]SCOPUS!$B$7:$L$31,10,0)</f>
        <v>101</v>
      </c>
      <c r="AK17" s="1" t="str">
        <f t="shared" si="0"/>
        <v>Categoría II</v>
      </c>
      <c r="AL17" s="1" t="str">
        <f t="shared" si="15"/>
        <v>CRUCH-ESTATALCategoría II</v>
      </c>
    </row>
    <row r="18" spans="1:38" x14ac:dyDescent="0.25">
      <c r="A18" s="1" t="s">
        <v>44</v>
      </c>
      <c r="B18" s="1" t="s">
        <v>37</v>
      </c>
      <c r="C18" s="3" t="s">
        <v>33</v>
      </c>
      <c r="D18" s="1">
        <v>0</v>
      </c>
      <c r="E18" s="1">
        <f>IFERROR(VLOOKUP(B18,[3]Hoja1!$A$7:$Y$31,2,0),0)</f>
        <v>0</v>
      </c>
      <c r="F18" s="1">
        <f t="shared" si="1"/>
        <v>0</v>
      </c>
      <c r="G18" s="1">
        <f>IFERROR(VLOOKUP(B18,[3]Hoja1!$A$7:$Y$31,4,0),0)</f>
        <v>0</v>
      </c>
      <c r="H18" s="1">
        <f>IFERROR(VLOOKUP(B18,[3]Hoja1!$A$7:$Y$31,5,0),0)</f>
        <v>0</v>
      </c>
      <c r="I18" s="1">
        <f t="shared" si="2"/>
        <v>0</v>
      </c>
      <c r="J18" s="1">
        <f>IFERROR(VLOOKUP(B18,[3]Hoja1!$A$7:$Y$31,7,0),0)</f>
        <v>0</v>
      </c>
      <c r="K18" s="1">
        <f>IFERROR(VLOOKUP(B18,[3]Hoja1!$A$7:$Y$31,8,0),0)</f>
        <v>0</v>
      </c>
      <c r="L18" s="1">
        <f t="shared" si="3"/>
        <v>0</v>
      </c>
      <c r="M18" s="1">
        <f>IFERROR(VLOOKUP(B18,[3]Hoja1!$A$7:$Y$31,10,0),0)</f>
        <v>0</v>
      </c>
      <c r="N18" s="1">
        <f>IFERROR(VLOOKUP(B18,[3]Hoja1!$A$7:$Y$31,11,0),0)</f>
        <v>0</v>
      </c>
      <c r="O18" s="1">
        <f t="shared" si="4"/>
        <v>0</v>
      </c>
      <c r="P18" s="1">
        <f>IFERROR(VLOOKUP(B18,[3]Hoja1!$A$7:$Y$31,13,0),0)</f>
        <v>0</v>
      </c>
      <c r="Q18" s="1">
        <f>IFERROR(VLOOKUP(B18,[3]Hoja1!$A$7:$Y$31,14,0),0)</f>
        <v>0</v>
      </c>
      <c r="R18" s="1">
        <f t="shared" si="5"/>
        <v>0</v>
      </c>
      <c r="S18" s="1">
        <v>0</v>
      </c>
      <c r="T18" s="1">
        <f>IFERROR(VLOOKUP(B18,[3]Hoja1!$A$7:$Y$31,16,0),0)</f>
        <v>0</v>
      </c>
      <c r="U18" s="1">
        <f t="shared" si="6"/>
        <v>0</v>
      </c>
      <c r="V18" s="1">
        <v>0</v>
      </c>
      <c r="W18" s="1">
        <f>IFERROR(VLOOKUP(B18,[3]Hoja1!$A$7:$Y$31,18,0),0)</f>
        <v>0</v>
      </c>
      <c r="X18" s="1">
        <f t="shared" si="7"/>
        <v>0</v>
      </c>
      <c r="Y18" s="1">
        <f>IFERROR(VLOOKUP(B18,[3]Hoja1!$A$7:$Y$31,20,0),0)</f>
        <v>0</v>
      </c>
      <c r="Z18" s="1">
        <f>IFERROR(VLOOKUP(B18,[3]Hoja1!$A$7:$Y$31,21,0),0)</f>
        <v>0</v>
      </c>
      <c r="AA18" s="1">
        <f t="shared" si="8"/>
        <v>0</v>
      </c>
      <c r="AB18" s="1">
        <f>IFERROR(VLOOKUP(B18,[3]Hoja1!$A$7:$Y$31,23,0),0)</f>
        <v>0</v>
      </c>
      <c r="AC18" s="1">
        <v>0</v>
      </c>
      <c r="AD18" s="1">
        <f t="shared" si="9"/>
        <v>0</v>
      </c>
      <c r="AE18" s="1">
        <f t="shared" si="10"/>
        <v>0</v>
      </c>
      <c r="AF18" s="1">
        <f t="shared" si="11"/>
        <v>0</v>
      </c>
      <c r="AG18" s="1">
        <f t="shared" si="12"/>
        <v>0</v>
      </c>
      <c r="AH18" s="1">
        <f t="shared" si="13"/>
        <v>0</v>
      </c>
      <c r="AI18" s="1">
        <f t="shared" si="14"/>
        <v>0</v>
      </c>
      <c r="AJ18" s="1">
        <f>VLOOKUP(B18,[4]SCOPUS!$B$7:$L$31,10,0)</f>
        <v>118</v>
      </c>
      <c r="AK18" s="1" t="str">
        <f t="shared" si="0"/>
        <v>Categoría III</v>
      </c>
      <c r="AL18" s="1" t="str">
        <f t="shared" si="15"/>
        <v>CRUCH-ESTATALCategoría III</v>
      </c>
    </row>
    <row r="19" spans="1:38" x14ac:dyDescent="0.25">
      <c r="A19" s="1" t="s">
        <v>46</v>
      </c>
      <c r="B19" s="1" t="s">
        <v>39</v>
      </c>
      <c r="C19" s="3" t="s">
        <v>33</v>
      </c>
      <c r="D19" s="1">
        <v>0</v>
      </c>
      <c r="E19" s="1">
        <f>IFERROR(VLOOKUP(B19,[3]Hoja1!$A$7:$Y$31,2,0),0)</f>
        <v>0</v>
      </c>
      <c r="F19" s="1">
        <f t="shared" si="1"/>
        <v>0</v>
      </c>
      <c r="G19" s="1">
        <f>IFERROR(VLOOKUP(B19,[3]Hoja1!$A$7:$Y$31,4,0),0)</f>
        <v>0</v>
      </c>
      <c r="H19" s="1">
        <f>IFERROR(VLOOKUP(B19,[3]Hoja1!$A$7:$Y$31,5,0),0)</f>
        <v>0</v>
      </c>
      <c r="I19" s="1">
        <f t="shared" si="2"/>
        <v>0</v>
      </c>
      <c r="J19" s="1">
        <f>IFERROR(VLOOKUP(B19,[3]Hoja1!$A$7:$Y$31,7,0),0)</f>
        <v>0</v>
      </c>
      <c r="K19" s="1">
        <f>IFERROR(VLOOKUP(B19,[3]Hoja1!$A$7:$Y$31,8,0),0)</f>
        <v>0</v>
      </c>
      <c r="L19" s="1">
        <f t="shared" si="3"/>
        <v>0</v>
      </c>
      <c r="M19" s="1">
        <f>IFERROR(VLOOKUP(B19,[3]Hoja1!$A$7:$Y$31,10,0),0)</f>
        <v>0</v>
      </c>
      <c r="N19" s="1">
        <f>IFERROR(VLOOKUP(B19,[3]Hoja1!$A$7:$Y$31,11,0),0)</f>
        <v>0</v>
      </c>
      <c r="O19" s="1">
        <f t="shared" si="4"/>
        <v>0</v>
      </c>
      <c r="P19" s="1">
        <f>IFERROR(VLOOKUP(B19,[3]Hoja1!$A$7:$Y$31,13,0),0)</f>
        <v>0</v>
      </c>
      <c r="Q19" s="1">
        <f>IFERROR(VLOOKUP(B19,[3]Hoja1!$A$7:$Y$31,14,0),0)</f>
        <v>0</v>
      </c>
      <c r="R19" s="1">
        <f t="shared" si="5"/>
        <v>0</v>
      </c>
      <c r="S19" s="1">
        <v>0</v>
      </c>
      <c r="T19" s="1">
        <f>IFERROR(VLOOKUP(B19,[3]Hoja1!$A$7:$Y$31,16,0),0)</f>
        <v>0</v>
      </c>
      <c r="U19" s="1">
        <f t="shared" si="6"/>
        <v>0</v>
      </c>
      <c r="V19" s="1">
        <v>0</v>
      </c>
      <c r="W19" s="1">
        <f>IFERROR(VLOOKUP(B19,[3]Hoja1!$A$7:$Y$31,18,0),0)</f>
        <v>0</v>
      </c>
      <c r="X19" s="1">
        <f t="shared" si="7"/>
        <v>0</v>
      </c>
      <c r="Y19" s="1">
        <f>IFERROR(VLOOKUP(B19,[3]Hoja1!$A$7:$Y$31,20,0),0)</f>
        <v>0</v>
      </c>
      <c r="Z19" s="1">
        <f>IFERROR(VLOOKUP(B19,[3]Hoja1!$A$7:$Y$31,21,0),0)</f>
        <v>0</v>
      </c>
      <c r="AA19" s="1">
        <f t="shared" si="8"/>
        <v>0</v>
      </c>
      <c r="AB19" s="1">
        <f>IFERROR(VLOOKUP(B19,[3]Hoja1!$A$7:$Y$31,23,0),0)</f>
        <v>0</v>
      </c>
      <c r="AC19" s="1">
        <v>0</v>
      </c>
      <c r="AD19" s="1">
        <f t="shared" si="9"/>
        <v>0</v>
      </c>
      <c r="AE19" s="1">
        <f t="shared" si="10"/>
        <v>0</v>
      </c>
      <c r="AF19" s="1">
        <f t="shared" si="11"/>
        <v>0</v>
      </c>
      <c r="AG19" s="1">
        <f t="shared" si="12"/>
        <v>0</v>
      </c>
      <c r="AH19" s="1">
        <f t="shared" si="13"/>
        <v>0</v>
      </c>
      <c r="AI19" s="1">
        <f t="shared" si="14"/>
        <v>0</v>
      </c>
      <c r="AJ19" s="1">
        <f>VLOOKUP(B19,[4]SCOPUS!$B$7:$L$31,10,0)</f>
        <v>75</v>
      </c>
      <c r="AK19" s="1" t="str">
        <f t="shared" si="0"/>
        <v>Categoría III</v>
      </c>
      <c r="AL19" s="1" t="str">
        <f t="shared" si="15"/>
        <v>CRUCH-ESTATALCategoría III</v>
      </c>
    </row>
    <row r="20" spans="1:38" x14ac:dyDescent="0.25">
      <c r="A20" s="1" t="s">
        <v>47</v>
      </c>
      <c r="B20" s="1" t="s">
        <v>40</v>
      </c>
      <c r="C20" s="3" t="s">
        <v>33</v>
      </c>
      <c r="D20" s="1">
        <v>0</v>
      </c>
      <c r="E20" s="1">
        <f>IFERROR(VLOOKUP(B20,[3]Hoja1!$A$7:$Y$31,2,0),0)</f>
        <v>0</v>
      </c>
      <c r="F20" s="1">
        <f t="shared" si="1"/>
        <v>0</v>
      </c>
      <c r="G20" s="1">
        <f>IFERROR(VLOOKUP(B20,[3]Hoja1!$A$7:$Y$31,4,0),0)</f>
        <v>0</v>
      </c>
      <c r="H20" s="1">
        <f>IFERROR(VLOOKUP(B20,[3]Hoja1!$A$7:$Y$31,5,0),0)</f>
        <v>0</v>
      </c>
      <c r="I20" s="1">
        <f t="shared" si="2"/>
        <v>0</v>
      </c>
      <c r="J20" s="1">
        <f>IFERROR(VLOOKUP(B20,[3]Hoja1!$A$7:$Y$31,7,0),0)</f>
        <v>0</v>
      </c>
      <c r="K20" s="1">
        <f>IFERROR(VLOOKUP(B20,[3]Hoja1!$A$7:$Y$31,8,0),0)</f>
        <v>0</v>
      </c>
      <c r="L20" s="1">
        <f t="shared" si="3"/>
        <v>0</v>
      </c>
      <c r="M20" s="1">
        <f>IFERROR(VLOOKUP(B20,[3]Hoja1!$A$7:$Y$31,10,0),0)</f>
        <v>0</v>
      </c>
      <c r="N20" s="1">
        <f>IFERROR(VLOOKUP(B20,[3]Hoja1!$A$7:$Y$31,11,0),0)</f>
        <v>0</v>
      </c>
      <c r="O20" s="1">
        <f t="shared" si="4"/>
        <v>0</v>
      </c>
      <c r="P20" s="1">
        <f>IFERROR(VLOOKUP(B20,[3]Hoja1!$A$7:$Y$31,13,0),0)</f>
        <v>0</v>
      </c>
      <c r="Q20" s="1">
        <f>IFERROR(VLOOKUP(B20,[3]Hoja1!$A$7:$Y$31,14,0),0)</f>
        <v>0</v>
      </c>
      <c r="R20" s="1">
        <f t="shared" si="5"/>
        <v>0</v>
      </c>
      <c r="S20" s="1">
        <v>0</v>
      </c>
      <c r="T20" s="1">
        <f>IFERROR(VLOOKUP(B20,[3]Hoja1!$A$7:$Y$31,16,0),0)</f>
        <v>0</v>
      </c>
      <c r="U20" s="1">
        <f t="shared" si="6"/>
        <v>0</v>
      </c>
      <c r="V20" s="1">
        <v>0</v>
      </c>
      <c r="W20" s="1">
        <f>IFERROR(VLOOKUP(B20,[3]Hoja1!$A$7:$Y$31,18,0),0)</f>
        <v>0</v>
      </c>
      <c r="X20" s="1">
        <f t="shared" si="7"/>
        <v>0</v>
      </c>
      <c r="Y20" s="1">
        <f>IFERROR(VLOOKUP(B20,[3]Hoja1!$A$7:$Y$31,20,0),0)</f>
        <v>0</v>
      </c>
      <c r="Z20" s="1">
        <f>IFERROR(VLOOKUP(B20,[3]Hoja1!$A$7:$Y$31,21,0),0)</f>
        <v>0</v>
      </c>
      <c r="AA20" s="1">
        <f t="shared" si="8"/>
        <v>0</v>
      </c>
      <c r="AB20" s="1">
        <f>IFERROR(VLOOKUP(B20,[3]Hoja1!$A$7:$Y$31,23,0),0)</f>
        <v>0</v>
      </c>
      <c r="AC20" s="1">
        <v>0</v>
      </c>
      <c r="AD20" s="1">
        <f t="shared" si="9"/>
        <v>0</v>
      </c>
      <c r="AE20" s="1">
        <f t="shared" si="10"/>
        <v>0</v>
      </c>
      <c r="AF20" s="1">
        <f t="shared" si="11"/>
        <v>0</v>
      </c>
      <c r="AG20" s="1">
        <f t="shared" si="12"/>
        <v>0</v>
      </c>
      <c r="AH20" s="1">
        <f t="shared" si="13"/>
        <v>0</v>
      </c>
      <c r="AI20" s="1">
        <f t="shared" si="14"/>
        <v>0</v>
      </c>
      <c r="AJ20" s="1">
        <f>VLOOKUP(B20,[4]SCOPUS!$B$7:$L$31,10,0)</f>
        <v>36</v>
      </c>
      <c r="AK20" s="1" t="str">
        <f t="shared" si="0"/>
        <v>Categoría III</v>
      </c>
      <c r="AL20" s="1" t="str">
        <f t="shared" si="15"/>
        <v>CRUCH-ESTATALCategoría III</v>
      </c>
    </row>
    <row r="21" spans="1:38" x14ac:dyDescent="0.25">
      <c r="A21" s="1" t="s">
        <v>111</v>
      </c>
      <c r="B21" s="1" t="s">
        <v>112</v>
      </c>
      <c r="C21" s="3" t="s">
        <v>33</v>
      </c>
      <c r="D21" s="1">
        <v>0</v>
      </c>
      <c r="E21" s="1">
        <f>IFERROR(VLOOKUP(B21,[3]Hoja1!$A$7:$Y$31,2,0),0)</f>
        <v>0</v>
      </c>
      <c r="F21" s="1">
        <f>D21+E21</f>
        <v>0</v>
      </c>
      <c r="G21" s="1">
        <f>IFERROR(VLOOKUP(B21,[3]Hoja1!$A$7:$Y$31,4,0),0)</f>
        <v>0</v>
      </c>
      <c r="H21" s="1">
        <f>IFERROR(VLOOKUP(B21,[3]Hoja1!$A$7:$Y$31,5,0),0)</f>
        <v>0</v>
      </c>
      <c r="I21" s="1">
        <f>G21+H21</f>
        <v>0</v>
      </c>
      <c r="J21" s="1">
        <f>IFERROR(VLOOKUP(B21,[3]Hoja1!$A$7:$Y$31,7,0),0)</f>
        <v>0</v>
      </c>
      <c r="K21" s="1">
        <f>IFERROR(VLOOKUP(B21,[3]Hoja1!$A$7:$Y$31,8,0),0)</f>
        <v>0</v>
      </c>
      <c r="L21" s="1">
        <f>J21+K21</f>
        <v>0</v>
      </c>
      <c r="M21" s="1">
        <f>IFERROR(VLOOKUP(B21,[3]Hoja1!$A$7:$Y$31,10,0),0)</f>
        <v>0</v>
      </c>
      <c r="N21" s="1">
        <f>IFERROR(VLOOKUP(B21,[3]Hoja1!$A$7:$Y$31,11,0),0)</f>
        <v>0</v>
      </c>
      <c r="O21" s="1">
        <f>M21+N21</f>
        <v>0</v>
      </c>
      <c r="P21" s="1">
        <f>IFERROR(VLOOKUP(B21,[3]Hoja1!$A$7:$Y$31,13,0),0)</f>
        <v>0</v>
      </c>
      <c r="Q21" s="1">
        <f>IFERROR(VLOOKUP(B21,[3]Hoja1!$A$7:$Y$31,14,0),0)</f>
        <v>0</v>
      </c>
      <c r="R21" s="1">
        <f>P21+Q21</f>
        <v>0</v>
      </c>
      <c r="S21" s="1">
        <v>0</v>
      </c>
      <c r="T21" s="1">
        <f>IFERROR(VLOOKUP(B21,[3]Hoja1!$A$7:$Y$31,16,0),0)</f>
        <v>0</v>
      </c>
      <c r="U21" s="1">
        <f>S21+T21</f>
        <v>0</v>
      </c>
      <c r="V21" s="1">
        <v>0</v>
      </c>
      <c r="W21" s="1">
        <f>IFERROR(VLOOKUP(B21,[3]Hoja1!$A$7:$Y$31,18,0),0)</f>
        <v>0</v>
      </c>
      <c r="X21" s="1">
        <f>V21+W21</f>
        <v>0</v>
      </c>
      <c r="Y21" s="1">
        <f>IFERROR(VLOOKUP(B21,[3]Hoja1!$A$7:$Y$31,20,0),0)</f>
        <v>0</v>
      </c>
      <c r="Z21" s="1">
        <f>IFERROR(VLOOKUP(B21,[3]Hoja1!$A$7:$Y$31,21,0),0)</f>
        <v>0</v>
      </c>
      <c r="AA21" s="1">
        <f>Y21+Z21</f>
        <v>0</v>
      </c>
      <c r="AB21" s="1">
        <f>IFERROR(VLOOKUP(B21,[3]Hoja1!$A$7:$Y$31,23,0),0)</f>
        <v>0</v>
      </c>
      <c r="AC21" s="1">
        <v>0</v>
      </c>
      <c r="AD21" s="1">
        <f>AB21+AC21</f>
        <v>0</v>
      </c>
      <c r="AE21" s="1">
        <f>D21+G21+J21+M21+P21+S21+V21+Y21+AB21</f>
        <v>0</v>
      </c>
      <c r="AF21" s="1">
        <f>E21+H21+K21+N21+Q21+T21+W21+Z21+AC21</f>
        <v>0</v>
      </c>
      <c r="AG21" s="1">
        <f>AE21+AF21</f>
        <v>0</v>
      </c>
      <c r="AH21" s="1">
        <f>P21+S21+V21+Y21+AB21+M21</f>
        <v>0</v>
      </c>
      <c r="AI21" s="1">
        <f>AF21+AH21</f>
        <v>0</v>
      </c>
      <c r="AJ21" s="1">
        <f>IFERROR(VLOOKUP(B21,[4]SCOPUS!$B$36:$L$51,10,0),0)</f>
        <v>0</v>
      </c>
      <c r="AK21" s="1" t="str">
        <f>IF(AND(AI21&gt;=10,AJ21&gt;=300),"Categoría I",IF(AND(AI21&gt;=1,AJ21&gt;=100),"Categoría II","Categoría III"))</f>
        <v>Categoría III</v>
      </c>
      <c r="AL21" s="1" t="str">
        <f>CONCATENATE(C21,AK21)</f>
        <v>CRUCH-ESTATALCategoría III</v>
      </c>
    </row>
    <row r="22" spans="1:38" x14ac:dyDescent="0.25">
      <c r="A22" s="1" t="s">
        <v>113</v>
      </c>
      <c r="B22" s="1" t="s">
        <v>114</v>
      </c>
      <c r="C22" s="3" t="s">
        <v>33</v>
      </c>
      <c r="D22" s="1">
        <v>0</v>
      </c>
      <c r="E22" s="1">
        <f>IFERROR(VLOOKUP(B22,[3]Hoja1!$A$7:$Y$31,2,0),0)</f>
        <v>0</v>
      </c>
      <c r="F22" s="1">
        <f>D22+E22</f>
        <v>0</v>
      </c>
      <c r="G22" s="1">
        <f>IFERROR(VLOOKUP(B22,[3]Hoja1!$A$7:$Y$31,4,0),0)</f>
        <v>0</v>
      </c>
      <c r="H22" s="1">
        <f>IFERROR(VLOOKUP(B22,[3]Hoja1!$A$7:$Y$31,5,0),0)</f>
        <v>0</v>
      </c>
      <c r="I22" s="1">
        <f>G22+H22</f>
        <v>0</v>
      </c>
      <c r="J22" s="1">
        <f>IFERROR(VLOOKUP(B22,[3]Hoja1!$A$7:$Y$31,7,0),0)</f>
        <v>0</v>
      </c>
      <c r="K22" s="1">
        <f>IFERROR(VLOOKUP(B22,[3]Hoja1!$A$7:$Y$31,8,0),0)</f>
        <v>0</v>
      </c>
      <c r="L22" s="1">
        <f>J22+K22</f>
        <v>0</v>
      </c>
      <c r="M22" s="1">
        <f>IFERROR(VLOOKUP(B22,[3]Hoja1!$A$7:$Y$31,10,0),0)</f>
        <v>0</v>
      </c>
      <c r="N22" s="1">
        <f>IFERROR(VLOOKUP(B22,[3]Hoja1!$A$7:$Y$31,11,0),0)</f>
        <v>0</v>
      </c>
      <c r="O22" s="1">
        <f>M22+N22</f>
        <v>0</v>
      </c>
      <c r="P22" s="1">
        <f>IFERROR(VLOOKUP(B22,[3]Hoja1!$A$7:$Y$31,13,0),0)</f>
        <v>0</v>
      </c>
      <c r="Q22" s="1">
        <f>IFERROR(VLOOKUP(B22,[3]Hoja1!$A$7:$Y$31,14,0),0)</f>
        <v>0</v>
      </c>
      <c r="R22" s="1">
        <f>P22+Q22</f>
        <v>0</v>
      </c>
      <c r="S22" s="1">
        <v>0</v>
      </c>
      <c r="T22" s="1">
        <f>IFERROR(VLOOKUP(B22,[3]Hoja1!$A$7:$Y$31,16,0),0)</f>
        <v>0</v>
      </c>
      <c r="U22" s="1">
        <f>S22+T22</f>
        <v>0</v>
      </c>
      <c r="V22" s="1">
        <v>0</v>
      </c>
      <c r="W22" s="1">
        <f>IFERROR(VLOOKUP(B22,[3]Hoja1!$A$7:$Y$31,18,0),0)</f>
        <v>0</v>
      </c>
      <c r="X22" s="1">
        <f>V22+W22</f>
        <v>0</v>
      </c>
      <c r="Y22" s="1">
        <f>IFERROR(VLOOKUP(B22,[3]Hoja1!$A$7:$Y$31,20,0),0)</f>
        <v>0</v>
      </c>
      <c r="Z22" s="1">
        <f>IFERROR(VLOOKUP(B22,[3]Hoja1!$A$7:$Y$31,21,0),0)</f>
        <v>0</v>
      </c>
      <c r="AA22" s="1">
        <f>Y22+Z22</f>
        <v>0</v>
      </c>
      <c r="AB22" s="1">
        <f>IFERROR(VLOOKUP(B22,[3]Hoja1!$A$7:$Y$31,23,0),0)</f>
        <v>0</v>
      </c>
      <c r="AC22" s="1">
        <v>0</v>
      </c>
      <c r="AD22" s="1">
        <f>AB22+AC22</f>
        <v>0</v>
      </c>
      <c r="AE22" s="1">
        <f>D22+G22+J22+M22+P22+S22+V22+Y22+AB22</f>
        <v>0</v>
      </c>
      <c r="AF22" s="1">
        <f>E22+H22+K22+N22+Q22+T22+W22+Z22+AC22</f>
        <v>0</v>
      </c>
      <c r="AG22" s="1">
        <f>AE22+AF22</f>
        <v>0</v>
      </c>
      <c r="AH22" s="1">
        <f>P22+S22+V22+Y22+AB22+M22</f>
        <v>0</v>
      </c>
      <c r="AI22" s="1">
        <f>AF22+AH22</f>
        <v>0</v>
      </c>
      <c r="AJ22" s="1">
        <f>IFERROR(VLOOKUP(B22,[4]SCOPUS!$B$36:$L$51,10,0),0)</f>
        <v>0</v>
      </c>
      <c r="AK22" s="1" t="str">
        <f>IF(AND(AI22&gt;=10,AJ22&gt;=300),"Categoría I",IF(AND(AI22&gt;=1,AJ22&gt;=100),"Categoría II","Categoría III"))</f>
        <v>Categoría III</v>
      </c>
      <c r="AL22" s="1" t="str">
        <f>CONCATENATE(C22,AK22)</f>
        <v>CRUCH-ESTATALCategoría III</v>
      </c>
    </row>
    <row r="23" spans="1:38" x14ac:dyDescent="0.25">
      <c r="A23" s="1"/>
      <c r="B23" s="1"/>
      <c r="C23" s="3" t="s">
        <v>9</v>
      </c>
      <c r="D23" s="1">
        <f t="shared" ref="D23:AJ23" si="16">SUM(D5:D22)</f>
        <v>0</v>
      </c>
      <c r="E23" s="1">
        <f t="shared" si="16"/>
        <v>15</v>
      </c>
      <c r="F23" s="1">
        <f t="shared" si="16"/>
        <v>15</v>
      </c>
      <c r="G23" s="1">
        <f t="shared" si="16"/>
        <v>1</v>
      </c>
      <c r="H23" s="1">
        <f t="shared" si="16"/>
        <v>12</v>
      </c>
      <c r="I23" s="1">
        <f t="shared" si="16"/>
        <v>13</v>
      </c>
      <c r="J23" s="1">
        <f t="shared" si="16"/>
        <v>2</v>
      </c>
      <c r="K23" s="1">
        <f t="shared" si="16"/>
        <v>8</v>
      </c>
      <c r="L23" s="1">
        <f t="shared" si="16"/>
        <v>10</v>
      </c>
      <c r="M23" s="1">
        <f t="shared" si="16"/>
        <v>1</v>
      </c>
      <c r="N23" s="1">
        <f t="shared" si="16"/>
        <v>7</v>
      </c>
      <c r="O23" s="1">
        <f t="shared" si="16"/>
        <v>8</v>
      </c>
      <c r="P23" s="1">
        <f t="shared" si="16"/>
        <v>3</v>
      </c>
      <c r="Q23" s="1">
        <f t="shared" si="16"/>
        <v>9</v>
      </c>
      <c r="R23" s="1">
        <f t="shared" si="16"/>
        <v>12</v>
      </c>
      <c r="S23" s="1">
        <f t="shared" si="16"/>
        <v>0</v>
      </c>
      <c r="T23" s="1">
        <f t="shared" si="16"/>
        <v>9</v>
      </c>
      <c r="U23" s="1">
        <f t="shared" si="16"/>
        <v>9</v>
      </c>
      <c r="V23" s="1">
        <f t="shared" si="16"/>
        <v>0</v>
      </c>
      <c r="W23" s="1">
        <f t="shared" si="16"/>
        <v>5</v>
      </c>
      <c r="X23" s="1">
        <f t="shared" si="16"/>
        <v>5</v>
      </c>
      <c r="Y23" s="1">
        <f t="shared" si="16"/>
        <v>2</v>
      </c>
      <c r="Z23" s="1">
        <f t="shared" si="16"/>
        <v>2</v>
      </c>
      <c r="AA23" s="1">
        <f t="shared" si="16"/>
        <v>4</v>
      </c>
      <c r="AB23" s="1">
        <f t="shared" si="16"/>
        <v>0</v>
      </c>
      <c r="AC23" s="1">
        <f t="shared" si="16"/>
        <v>0</v>
      </c>
      <c r="AD23" s="1">
        <f t="shared" si="16"/>
        <v>0</v>
      </c>
      <c r="AE23" s="1">
        <f t="shared" si="16"/>
        <v>9</v>
      </c>
      <c r="AF23" s="1">
        <f t="shared" si="16"/>
        <v>67</v>
      </c>
      <c r="AG23" s="1">
        <f t="shared" si="16"/>
        <v>76</v>
      </c>
      <c r="AH23" s="1">
        <f t="shared" si="16"/>
        <v>6</v>
      </c>
      <c r="AI23" s="1">
        <f t="shared" si="16"/>
        <v>73</v>
      </c>
      <c r="AJ23" s="1">
        <f t="shared" si="16"/>
        <v>5764</v>
      </c>
      <c r="AK23" s="1"/>
    </row>
    <row r="26" spans="1:38" x14ac:dyDescent="0.25">
      <c r="A26" s="15" t="s">
        <v>80</v>
      </c>
      <c r="B26" s="15" t="s">
        <v>86</v>
      </c>
      <c r="C26" s="15" t="s">
        <v>84</v>
      </c>
      <c r="D26" s="15" t="s">
        <v>90</v>
      </c>
      <c r="E26" s="15" t="s">
        <v>105</v>
      </c>
      <c r="F26" s="15"/>
    </row>
    <row r="27" spans="1:38" x14ac:dyDescent="0.25">
      <c r="A27" s="1" t="s">
        <v>81</v>
      </c>
      <c r="B27" s="1">
        <f>COUNTIF($AL$4:$AL$22,A27)</f>
        <v>2</v>
      </c>
      <c r="C27" s="1">
        <f>(3*$B$27)+(2*$B$28)+$B$29</f>
        <v>31</v>
      </c>
      <c r="D27" s="157">
        <f>($B$32*3*B27)/C27</f>
        <v>5445464.7154838732</v>
      </c>
      <c r="E27" s="13">
        <f>ROUND(D27,0)</f>
        <v>5445465</v>
      </c>
      <c r="F27" s="13"/>
    </row>
    <row r="28" spans="1:38" x14ac:dyDescent="0.25">
      <c r="A28" s="1" t="s">
        <v>82</v>
      </c>
      <c r="B28" s="1">
        <f>COUNTIF($AL$4:$AL$22,A28)</f>
        <v>9</v>
      </c>
      <c r="C28" s="1">
        <f>(3*$B$27)+(2*$B$28)+$B$29</f>
        <v>31</v>
      </c>
      <c r="D28" s="157">
        <f>($B$32*2*B28)/C28</f>
        <v>16336394.146451617</v>
      </c>
      <c r="E28" s="13">
        <f t="shared" ref="E28:E29" si="17">ROUND(D28,0)</f>
        <v>16336394</v>
      </c>
      <c r="F28" s="13"/>
    </row>
    <row r="29" spans="1:38" x14ac:dyDescent="0.25">
      <c r="A29" s="1" t="s">
        <v>83</v>
      </c>
      <c r="B29" s="1">
        <f>COUNTIF($AL$4:$AL$22,A29)</f>
        <v>7</v>
      </c>
      <c r="C29" s="1">
        <f>(3*$B$27)+(2*$B$28)+$B$29</f>
        <v>31</v>
      </c>
      <c r="D29" s="157">
        <f>($B$32*1*B29)/C29</f>
        <v>6353042.1680645179</v>
      </c>
      <c r="E29" s="13">
        <f t="shared" si="17"/>
        <v>6353042</v>
      </c>
      <c r="F29" s="13"/>
    </row>
    <row r="30" spans="1:38" x14ac:dyDescent="0.25">
      <c r="D30" s="14">
        <f>SUM(D27:D29)</f>
        <v>28134901.030000009</v>
      </c>
    </row>
    <row r="31" spans="1:38" x14ac:dyDescent="0.25">
      <c r="A31" s="15" t="s">
        <v>87</v>
      </c>
      <c r="B31" s="15" t="s">
        <v>89</v>
      </c>
    </row>
    <row r="32" spans="1:38" x14ac:dyDescent="0.25">
      <c r="A32" s="1" t="s">
        <v>88</v>
      </c>
      <c r="B32" s="14">
        <f>'Montos CM 2018'!I33</f>
        <v>28134901.030000009</v>
      </c>
    </row>
  </sheetData>
  <autoFilter ref="A4:AL23" xr:uid="{00000000-0009-0000-0000-000000000000}"/>
  <mergeCells count="13">
    <mergeCell ref="AJ3:AJ4"/>
    <mergeCell ref="V3:X3"/>
    <mergeCell ref="Y3:AA3"/>
    <mergeCell ref="AB3:AD3"/>
    <mergeCell ref="AE3:AG3"/>
    <mergeCell ref="AH3:AH4"/>
    <mergeCell ref="AI3:AI4"/>
    <mergeCell ref="S3:U3"/>
    <mergeCell ref="D3:F3"/>
    <mergeCell ref="G3:I3"/>
    <mergeCell ref="J3:L3"/>
    <mergeCell ref="M3:O3"/>
    <mergeCell ref="P3:R3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  <ignoredErrors>
    <ignoredError sqref="X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29"/>
  <sheetViews>
    <sheetView workbookViewId="0">
      <pane ySplit="1575" activePane="bottomLeft"/>
      <selection activeCell="D1" sqref="D1"/>
      <selection pane="bottomLeft" activeCell="A4" sqref="A4"/>
    </sheetView>
  </sheetViews>
  <sheetFormatPr baseColWidth="10" defaultRowHeight="15" x14ac:dyDescent="0.25"/>
  <cols>
    <col min="1" max="1" width="46.5703125" bestFit="1" customWidth="1"/>
    <col min="4" max="4" width="12.85546875" customWidth="1"/>
  </cols>
  <sheetData>
    <row r="2" spans="1:27" x14ac:dyDescent="0.25">
      <c r="E2" s="142">
        <v>1</v>
      </c>
      <c r="F2" s="142">
        <v>2</v>
      </c>
      <c r="G2" s="142">
        <v>3</v>
      </c>
      <c r="H2" s="142">
        <v>4</v>
      </c>
      <c r="I2" s="142">
        <v>5</v>
      </c>
      <c r="J2" s="142">
        <v>6</v>
      </c>
      <c r="K2" s="142">
        <v>7</v>
      </c>
      <c r="L2" s="142">
        <v>8</v>
      </c>
      <c r="M2" s="142">
        <v>9</v>
      </c>
      <c r="N2" s="142">
        <v>10</v>
      </c>
      <c r="O2" s="142">
        <v>11</v>
      </c>
      <c r="P2" s="142">
        <v>12</v>
      </c>
      <c r="Q2" s="142">
        <v>13</v>
      </c>
      <c r="R2" s="142">
        <v>14</v>
      </c>
      <c r="S2" s="142">
        <v>15</v>
      </c>
      <c r="T2" s="142">
        <v>16</v>
      </c>
      <c r="U2" s="142">
        <v>17</v>
      </c>
      <c r="V2" s="142">
        <v>18</v>
      </c>
      <c r="W2" s="142">
        <v>19</v>
      </c>
      <c r="X2" s="142">
        <v>20</v>
      </c>
      <c r="Y2" s="142">
        <v>21</v>
      </c>
    </row>
    <row r="3" spans="1:27" ht="33.75" x14ac:dyDescent="0.25">
      <c r="A3" s="30" t="s">
        <v>22</v>
      </c>
      <c r="B3" s="30" t="s">
        <v>10</v>
      </c>
      <c r="C3" s="30" t="s">
        <v>32</v>
      </c>
      <c r="D3" s="15" t="s">
        <v>53</v>
      </c>
      <c r="E3" s="45" t="s">
        <v>128</v>
      </c>
      <c r="F3" s="45" t="s">
        <v>129</v>
      </c>
      <c r="G3" s="45" t="s">
        <v>130</v>
      </c>
      <c r="H3" s="46" t="s">
        <v>131</v>
      </c>
      <c r="I3" s="45" t="s">
        <v>132</v>
      </c>
      <c r="J3" s="45" t="s">
        <v>133</v>
      </c>
      <c r="K3" s="4" t="s">
        <v>136</v>
      </c>
      <c r="L3" s="5" t="s">
        <v>137</v>
      </c>
      <c r="M3" s="5" t="s">
        <v>138</v>
      </c>
      <c r="N3" s="6" t="s">
        <v>139</v>
      </c>
      <c r="O3" s="7" t="s">
        <v>140</v>
      </c>
      <c r="P3" s="8" t="s">
        <v>141</v>
      </c>
      <c r="Q3" s="7" t="s">
        <v>142</v>
      </c>
      <c r="R3" s="8" t="s">
        <v>143</v>
      </c>
      <c r="S3" s="7" t="s">
        <v>144</v>
      </c>
      <c r="T3" s="47" t="s">
        <v>145</v>
      </c>
      <c r="U3" s="9" t="s">
        <v>54</v>
      </c>
      <c r="V3" s="9" t="s">
        <v>109</v>
      </c>
      <c r="W3" s="47" t="s">
        <v>146</v>
      </c>
      <c r="X3" s="10" t="s">
        <v>147</v>
      </c>
      <c r="Y3" s="10" t="s">
        <v>110</v>
      </c>
    </row>
    <row r="4" spans="1:27" x14ac:dyDescent="0.25">
      <c r="A4" s="53" t="str">
        <f>Categorías!A5</f>
        <v>UNIVERSIDAD DE CHILE</v>
      </c>
      <c r="B4" s="53" t="str">
        <f>Categorías!B5</f>
        <v>UCH</v>
      </c>
      <c r="C4" s="54" t="str">
        <f>Categorías!C5</f>
        <v>CRUCH-ESTATAL</v>
      </c>
      <c r="D4" s="53" t="str">
        <f>Categorías!AK5</f>
        <v>Categoría I</v>
      </c>
      <c r="E4" s="55">
        <f>IFERROR(VLOOKUP(B4,'[5]Indicador a)'!$D$2:$G$60,3,0),0)</f>
        <v>1522</v>
      </c>
      <c r="F4" s="55">
        <f>IFERROR(VLOOKUP(B4,'[5]Indicador a)'!$D$2:$G$60,4,0),0)</f>
        <v>38687</v>
      </c>
      <c r="G4" s="55">
        <f>IFERROR(VLOOKUP(B4,'[5]Indicador b)'!$D$2:$G$60,3,0),0)</f>
        <v>1106.0574999999994</v>
      </c>
      <c r="H4" s="55">
        <f>IFERROR(VLOOKUP(B4,'[5]Indicador b)'!$D$2:$G$60,4,0),0)</f>
        <v>2191.6145454544994</v>
      </c>
      <c r="I4" s="55">
        <f>IFERROR(VLOOKUP(B4,'[5]Indicador c)'!$D$2:$H$60,4,0),0)</f>
        <v>405.04545454545342</v>
      </c>
      <c r="J4" s="55">
        <f>IFERROR(VLOOKUP(B4,'[5]Indicador c)'!$D$2:$H$60,5,0),0)</f>
        <v>132.61363636363603</v>
      </c>
      <c r="K4" s="55">
        <f>IFERROR(VLOOKUP(B4,[4]SCOPUS!$B$6:$K$31,10,0),0)</f>
        <v>2598</v>
      </c>
      <c r="L4" s="55">
        <f>IFERROR(VLOOKUP(B4,[4]SCOPUS!$B$7:$N$31,13,0),0)</f>
        <v>73382</v>
      </c>
      <c r="M4" s="55">
        <f>IFERROR(VLOOKUP(B4,[4]SCOPUS!$B$7:$N$31,12,0),0)</f>
        <v>11303</v>
      </c>
      <c r="N4" s="56">
        <f>IFERROR(VLOOKUP(B4,'[5]Indicador g)'!$F$7:$W$55,18,0),0)</f>
        <v>2838</v>
      </c>
      <c r="O4" s="56">
        <f>IFERROR(VLOOKUP(B4,'[5]Indicador g)'!$F$7:$W$55,13,0),0)</f>
        <v>5803</v>
      </c>
      <c r="P4" s="56">
        <f>IFERROR(VLOOKUP(B4,'[5]Indicador h)'!$E$10:$U$57,17,0),0)</f>
        <v>4939</v>
      </c>
      <c r="Q4" s="56">
        <f>IFERROR(VLOOKUP(B4,'[5]Indicador h)'!$E$10:$U$57,12,0),0)</f>
        <v>5918</v>
      </c>
      <c r="R4" s="57">
        <f>IFERROR(VLOOKUP(B4,'[5]Indicador i.1)'!$D$10:$T$57,17,0),0)</f>
        <v>3813</v>
      </c>
      <c r="S4" s="57">
        <f>IFERROR(VLOOKUP(B4,'[5]Indicador i.1)'!$D$10:$T$57,12,0),0)</f>
        <v>5265</v>
      </c>
      <c r="T4" s="55">
        <f>IFERROR(VLOOKUP(B4,'[5]Indicador j)'!$F$8:$O$27,10,0),0)</f>
        <v>36</v>
      </c>
      <c r="U4" s="55">
        <v>227</v>
      </c>
      <c r="V4" s="55">
        <v>188</v>
      </c>
      <c r="W4" s="55">
        <f>IFERROR(VLOOKUP(B4,'[5]Indicador j)'!$F$8:$M$27,3,0),0)</f>
        <v>214</v>
      </c>
      <c r="X4" s="55">
        <f>IFERROR(VLOOKUP(B4,'[6]Tablas al 2016'!$A$64:$L$81,12,0),0)</f>
        <v>14</v>
      </c>
      <c r="Y4" s="55">
        <f>IFERROR(VLOOKUP(B4,[7]Valores!$B$4:$X$33,23,0),0)</f>
        <v>10</v>
      </c>
      <c r="Z4" s="58"/>
      <c r="AA4" s="59"/>
    </row>
    <row r="5" spans="1:27" x14ac:dyDescent="0.25">
      <c r="A5" s="53" t="str">
        <f>Categorías!A6</f>
        <v>UNIVERSIDAD DE SANTIAGO DE CHILE</v>
      </c>
      <c r="B5" s="53" t="str">
        <f>Categorías!B6</f>
        <v>USA</v>
      </c>
      <c r="C5" s="54" t="str">
        <f>Categorías!C6</f>
        <v>CRUCH-ESTATAL</v>
      </c>
      <c r="D5" s="53" t="str">
        <f>Categorías!AK6</f>
        <v>Categoría I</v>
      </c>
      <c r="E5" s="55">
        <f>IFERROR(VLOOKUP(B5,'[5]Indicador a)'!$D$2:$G$60,3,0),0)</f>
        <v>604</v>
      </c>
      <c r="F5" s="55">
        <f>IFERROR(VLOOKUP(B5,'[5]Indicador a)'!$D$2:$G$60,4,0),0)</f>
        <v>23003</v>
      </c>
      <c r="G5" s="55">
        <f>IFERROR(VLOOKUP(B5,'[5]Indicador b)'!$D$2:$G$60,3,0),0)</f>
        <v>442.61545454545433</v>
      </c>
      <c r="H5" s="55">
        <f>IFERROR(VLOOKUP(B5,'[5]Indicador b)'!$D$2:$G$60,4,0),0)</f>
        <v>1074.8049206670617</v>
      </c>
      <c r="I5" s="55">
        <f>IFERROR(VLOOKUP(B5,'[5]Indicador c)'!$D$2:$H$60,4,0),0)</f>
        <v>250.71045454545529</v>
      </c>
      <c r="J5" s="55">
        <f>IFERROR(VLOOKUP(B5,'[5]Indicador c)'!$D$2:$H$60,5,0),0)</f>
        <v>43.290375212477272</v>
      </c>
      <c r="K5" s="55">
        <f>IFERROR(VLOOKUP(B5,[4]SCOPUS!$B$6:$K$31,10,0),0)</f>
        <v>624</v>
      </c>
      <c r="L5" s="55">
        <f>IFERROR(VLOOKUP(B5,[4]SCOPUS!$B$7:$N$31,13,0),0)</f>
        <v>10606</v>
      </c>
      <c r="M5" s="55">
        <f>IFERROR(VLOOKUP(B5,[4]SCOPUS!$B$7:$N$31,12,0),0)</f>
        <v>2506</v>
      </c>
      <c r="N5" s="56">
        <f>IFERROR(VLOOKUP(B5,'[5]Indicador g)'!$F$7:$W$55,18,0),0)</f>
        <v>2433</v>
      </c>
      <c r="O5" s="56">
        <f>IFERROR(VLOOKUP(B5,'[5]Indicador g)'!$F$7:$W$55,13,0),0)</f>
        <v>3561</v>
      </c>
      <c r="P5" s="56">
        <f>IFERROR(VLOOKUP(B5,'[5]Indicador h)'!$E$10:$U$57,17,0),0)</f>
        <v>3116</v>
      </c>
      <c r="Q5" s="56">
        <f>IFERROR(VLOOKUP(B5,'[5]Indicador h)'!$E$10:$U$57,12,0),0)</f>
        <v>4112</v>
      </c>
      <c r="R5" s="57">
        <f>IFERROR(VLOOKUP(B5,'[5]Indicador i.1)'!$D$10:$T$57,17,0),0)</f>
        <v>1992</v>
      </c>
      <c r="S5" s="57">
        <f>IFERROR(VLOOKUP(B5,'[5]Indicador i.1)'!$D$10:$T$57,12,0),0)</f>
        <v>3232</v>
      </c>
      <c r="T5" s="55">
        <f>IFERROR(VLOOKUP(B5,'[5]Indicador j)'!$F$8:$O$27,10,0),0)</f>
        <v>15</v>
      </c>
      <c r="U5" s="55">
        <v>74</v>
      </c>
      <c r="V5" s="55">
        <v>80</v>
      </c>
      <c r="W5" s="55">
        <f>IFERROR(VLOOKUP(B5,'[5]Indicador j)'!$F$8:$M$27,3,0),0)</f>
        <v>66</v>
      </c>
      <c r="X5" s="55">
        <f>IFERROR(VLOOKUP(B5,'[6]Tablas al 2016'!$A$64:$L$81,12,0),0)</f>
        <v>13</v>
      </c>
      <c r="Y5" s="55">
        <f>IFERROR(VLOOKUP(B5,[7]Valores!$B$4:$X$33,23,0),0)</f>
        <v>15</v>
      </c>
      <c r="Z5" s="58"/>
      <c r="AA5" s="59"/>
    </row>
    <row r="6" spans="1:27" x14ac:dyDescent="0.25">
      <c r="A6" s="53" t="str">
        <f>Categorías!A7</f>
        <v>UNIVERSIDAD DE ANTOFAGASTA</v>
      </c>
      <c r="B6" s="53" t="str">
        <f>Categorías!B7</f>
        <v>ANT</v>
      </c>
      <c r="C6" s="54" t="str">
        <f>Categorías!C7</f>
        <v>CRUCH-ESTATAL</v>
      </c>
      <c r="D6" s="53" t="str">
        <f>Categorías!AK7</f>
        <v>Categoría II</v>
      </c>
      <c r="E6" s="55">
        <f>IFERROR(VLOOKUP(B6,'[5]Indicador a)'!$D$2:$G$60,3,0),0)</f>
        <v>316</v>
      </c>
      <c r="F6" s="55">
        <f>IFERROR(VLOOKUP(B6,'[5]Indicador a)'!$D$2:$G$60,4,0),0)</f>
        <v>7239</v>
      </c>
      <c r="G6" s="55">
        <f>IFERROR(VLOOKUP(B6,'[5]Indicador b)'!$D$2:$G$60,3,0),0)</f>
        <v>128.09090909090909</v>
      </c>
      <c r="H6" s="55">
        <f>IFERROR(VLOOKUP(B6,'[5]Indicador b)'!$D$2:$G$60,4,0),0)</f>
        <v>380.80704545454535</v>
      </c>
      <c r="I6" s="55">
        <f>IFERROR(VLOOKUP(B6,'[5]Indicador c)'!$D$2:$H$60,4,0),0)</f>
        <v>116.38636363636365</v>
      </c>
      <c r="J6" s="55">
        <f>IFERROR(VLOOKUP(B6,'[5]Indicador c)'!$D$2:$H$60,5,0),0)</f>
        <v>17.863636363636363</v>
      </c>
      <c r="K6" s="55">
        <f>IFERROR(VLOOKUP(B6,[4]SCOPUS!$B$6:$K$31,10,0),0)</f>
        <v>191</v>
      </c>
      <c r="L6" s="55">
        <f>IFERROR(VLOOKUP(B6,[4]SCOPUS!$B$7:$N$31,13,0),0)</f>
        <v>3240</v>
      </c>
      <c r="M6" s="55">
        <f>IFERROR(VLOOKUP(B6,[4]SCOPUS!$B$7:$N$31,12,0),0)</f>
        <v>695</v>
      </c>
      <c r="N6" s="56">
        <f>IFERROR(VLOOKUP(B6,'[5]Indicador g)'!$F$7:$W$55,18,0),0)</f>
        <v>610</v>
      </c>
      <c r="O6" s="56">
        <f>IFERROR(VLOOKUP(B6,'[5]Indicador g)'!$F$7:$W$55,13,0),0)</f>
        <v>1301</v>
      </c>
      <c r="P6" s="56">
        <f>IFERROR(VLOOKUP(B6,'[5]Indicador h)'!$E$10:$U$57,17,0),0)</f>
        <v>953</v>
      </c>
      <c r="Q6" s="56">
        <f>IFERROR(VLOOKUP(B6,'[5]Indicador h)'!$E$10:$U$57,12,0),0)</f>
        <v>1184</v>
      </c>
      <c r="R6" s="57">
        <f>IFERROR(VLOOKUP(B6,'[5]Indicador i.1)'!$D$10:$T$57,17,0),0)</f>
        <v>670</v>
      </c>
      <c r="S6" s="57">
        <f>IFERROR(VLOOKUP(B6,'[5]Indicador i.1)'!$D$10:$T$57,12,0),0)</f>
        <v>1083</v>
      </c>
      <c r="T6" s="55">
        <f>IFERROR(VLOOKUP(B6,'[5]Indicador j)'!$F$8:$O$27,10,0),0)</f>
        <v>2</v>
      </c>
      <c r="U6" s="55">
        <v>13</v>
      </c>
      <c r="V6" s="55">
        <v>8</v>
      </c>
      <c r="W6" s="55">
        <f>IFERROR(VLOOKUP(B6,'[5]Indicador j)'!$F$8:$M$27,3,0),0)</f>
        <v>10</v>
      </c>
      <c r="X6" s="55">
        <f>IFERROR(VLOOKUP(B6,'[6]Tablas al 2016'!$A$64:$L$81,12,0),0)</f>
        <v>1</v>
      </c>
      <c r="Y6" s="55">
        <f>IFERROR(VLOOKUP(B6,[7]Valores!$B$4:$X$33,23,0),0)</f>
        <v>0</v>
      </c>
      <c r="Z6" s="58"/>
      <c r="AA6" s="59"/>
    </row>
    <row r="7" spans="1:27" x14ac:dyDescent="0.25">
      <c r="A7" s="53" t="str">
        <f>Categorías!A8</f>
        <v>UNIVERSIDAD DE LA FRONTERA</v>
      </c>
      <c r="B7" s="53" t="str">
        <f>Categorías!B8</f>
        <v>FRO</v>
      </c>
      <c r="C7" s="54" t="str">
        <f>Categorías!C8</f>
        <v>CRUCH-ESTATAL</v>
      </c>
      <c r="D7" s="53" t="str">
        <f>Categorías!AK8</f>
        <v>Categoría II</v>
      </c>
      <c r="E7" s="55">
        <f>IFERROR(VLOOKUP(B7,'[5]Indicador a)'!$D$2:$G$60,3,0),0)</f>
        <v>288</v>
      </c>
      <c r="F7" s="55">
        <f>IFERROR(VLOOKUP(B7,'[5]Indicador a)'!$D$2:$G$60,4,0),0)</f>
        <v>10292</v>
      </c>
      <c r="G7" s="55">
        <f>IFERROR(VLOOKUP(B7,'[5]Indicador b)'!$D$2:$G$60,3,0),0)</f>
        <v>185.04545454545456</v>
      </c>
      <c r="H7" s="55">
        <f>IFERROR(VLOOKUP(B7,'[5]Indicador b)'!$D$2:$G$60,4,0),0)</f>
        <v>389.06840909090903</v>
      </c>
      <c r="I7" s="55">
        <f>IFERROR(VLOOKUP(B7,'[5]Indicador c)'!$D$2:$H$60,4,0),0)</f>
        <v>97.749999999999986</v>
      </c>
      <c r="J7" s="55">
        <f>IFERROR(VLOOKUP(B7,'[5]Indicador c)'!$D$2:$H$60,5,0),0)</f>
        <v>31.5</v>
      </c>
      <c r="K7" s="55">
        <f>IFERROR(VLOOKUP(B7,[4]SCOPUS!$B$6:$K$31,10,0),0)</f>
        <v>457</v>
      </c>
      <c r="L7" s="55">
        <f>IFERROR(VLOOKUP(B7,[4]SCOPUS!$B$7:$N$31,13,0),0)</f>
        <v>9326</v>
      </c>
      <c r="M7" s="55">
        <f>IFERROR(VLOOKUP(B7,[4]SCOPUS!$B$7:$N$31,12,0),0)</f>
        <v>1877</v>
      </c>
      <c r="N7" s="56">
        <f>IFERROR(VLOOKUP(B7,'[5]Indicador g)'!$F$7:$W$55,18,0),0)</f>
        <v>1473</v>
      </c>
      <c r="O7" s="56">
        <f>IFERROR(VLOOKUP(B7,'[5]Indicador g)'!$F$7:$W$55,13,0),0)</f>
        <v>2075</v>
      </c>
      <c r="P7" s="56">
        <f>IFERROR(VLOOKUP(B7,'[5]Indicador h)'!$E$10:$U$57,17,0),0)</f>
        <v>1736</v>
      </c>
      <c r="Q7" s="56">
        <f>IFERROR(VLOOKUP(B7,'[5]Indicador h)'!$E$10:$U$57,12,0),0)</f>
        <v>2071</v>
      </c>
      <c r="R7" s="57">
        <f>IFERROR(VLOOKUP(B7,'[5]Indicador i.1)'!$D$10:$T$57,17,0),0)</f>
        <v>1249</v>
      </c>
      <c r="S7" s="57">
        <f>IFERROR(VLOOKUP(B7,'[5]Indicador i.1)'!$D$10:$T$57,12,0),0)</f>
        <v>1958</v>
      </c>
      <c r="T7" s="55">
        <f>IFERROR(VLOOKUP(B7,'[5]Indicador j)'!$F$8:$O$27,10,0),0)</f>
        <v>13</v>
      </c>
      <c r="U7" s="55">
        <v>33</v>
      </c>
      <c r="V7" s="55">
        <v>42</v>
      </c>
      <c r="W7" s="55">
        <f>IFERROR(VLOOKUP(B7,'[5]Indicador j)'!$F$8:$M$27,3,0),0)</f>
        <v>38</v>
      </c>
      <c r="X7" s="55">
        <f>IFERROR(VLOOKUP(B7,'[6]Tablas al 2016'!$A$64:$L$81,12,0),0)</f>
        <v>0</v>
      </c>
      <c r="Y7" s="55">
        <f>IFERROR(VLOOKUP(B7,[7]Valores!$B$4:$X$33,23,0),0)</f>
        <v>0</v>
      </c>
      <c r="Z7" s="58"/>
      <c r="AA7" s="59"/>
    </row>
    <row r="8" spans="1:27" x14ac:dyDescent="0.25">
      <c r="A8" s="53" t="str">
        <f>Categorías!A9</f>
        <v>UNIVERSIDAD DE TALCA</v>
      </c>
      <c r="B8" s="53" t="str">
        <f>Categorías!B9</f>
        <v>TAL</v>
      </c>
      <c r="C8" s="54" t="str">
        <f>Categorías!C9</f>
        <v>CRUCH-ESTATAL</v>
      </c>
      <c r="D8" s="53" t="str">
        <f>Categorías!AK9</f>
        <v>Categoría II</v>
      </c>
      <c r="E8" s="55">
        <f>IFERROR(VLOOKUP(B8,'[5]Indicador a)'!$D$2:$G$60,3,0),0)</f>
        <v>352</v>
      </c>
      <c r="F8" s="55">
        <f>IFERROR(VLOOKUP(B8,'[5]Indicador a)'!$D$2:$G$60,4,0),0)</f>
        <v>10624</v>
      </c>
      <c r="G8" s="55">
        <f>IFERROR(VLOOKUP(B8,'[5]Indicador b)'!$D$2:$G$60,3,0),0)</f>
        <v>219.47727272727272</v>
      </c>
      <c r="H8" s="55">
        <f>IFERROR(VLOOKUP(B8,'[5]Indicador b)'!$D$2:$G$60,4,0),0)</f>
        <v>449.95499999999885</v>
      </c>
      <c r="I8" s="55">
        <f>IFERROR(VLOOKUP(B8,'[5]Indicador c)'!$D$2:$H$60,4,0),0)</f>
        <v>195.47772727272741</v>
      </c>
      <c r="J8" s="55">
        <f>IFERROR(VLOOKUP(B8,'[5]Indicador c)'!$D$2:$H$60,5,0),0)</f>
        <v>20.181818181818176</v>
      </c>
      <c r="K8" s="55">
        <f>IFERROR(VLOOKUP(B8,[4]SCOPUS!$B$6:$K$31,10,0),0)</f>
        <v>377</v>
      </c>
      <c r="L8" s="55">
        <f>IFERROR(VLOOKUP(B8,[4]SCOPUS!$B$7:$N$31,13,0),0)</f>
        <v>6044</v>
      </c>
      <c r="M8" s="55">
        <f>IFERROR(VLOOKUP(B8,[4]SCOPUS!$B$7:$N$31,12,0),0)</f>
        <v>1550</v>
      </c>
      <c r="N8" s="56">
        <f>IFERROR(VLOOKUP(B8,'[5]Indicador g)'!$F$7:$W$55,18,0),0)</f>
        <v>1367</v>
      </c>
      <c r="O8" s="56">
        <f>IFERROR(VLOOKUP(B8,'[5]Indicador g)'!$F$7:$W$55,13,0),0)</f>
        <v>1885</v>
      </c>
      <c r="P8" s="56">
        <f>IFERROR(VLOOKUP(B8,'[5]Indicador h)'!$E$10:$U$57,17,0),0)</f>
        <v>1586</v>
      </c>
      <c r="Q8" s="56">
        <f>IFERROR(VLOOKUP(B8,'[5]Indicador h)'!$E$10:$U$57,12,0),0)</f>
        <v>1852</v>
      </c>
      <c r="R8" s="57">
        <f>IFERROR(VLOOKUP(B8,'[5]Indicador i.1)'!$D$10:$T$57,17,0),0)</f>
        <v>1567</v>
      </c>
      <c r="S8" s="57">
        <f>IFERROR(VLOOKUP(B8,'[5]Indicador i.1)'!$D$10:$T$57,12,0),0)</f>
        <v>2180</v>
      </c>
      <c r="T8" s="55">
        <f>IFERROR(VLOOKUP(B8,'[5]Indicador j)'!$F$8:$O$27,10,0),0)</f>
        <v>2</v>
      </c>
      <c r="U8" s="55">
        <v>11</v>
      </c>
      <c r="V8" s="55">
        <v>11</v>
      </c>
      <c r="W8" s="55">
        <f>IFERROR(VLOOKUP(B8,'[5]Indicador j)'!$F$8:$M$27,3,0),0)</f>
        <v>12</v>
      </c>
      <c r="X8" s="55">
        <f>IFERROR(VLOOKUP(B8,'[6]Tablas al 2016'!$A$64:$L$81,12,0),0)</f>
        <v>1</v>
      </c>
      <c r="Y8" s="55">
        <f>IFERROR(VLOOKUP(B8,[7]Valores!$B$4:$X$33,23,0),0)</f>
        <v>2</v>
      </c>
      <c r="Z8" s="58"/>
      <c r="AA8" s="59"/>
    </row>
    <row r="9" spans="1:27" x14ac:dyDescent="0.25">
      <c r="A9" s="53" t="str">
        <f>Categorías!A10</f>
        <v>UNIVERSIDAD DE TARAPACÁ</v>
      </c>
      <c r="B9" s="53" t="str">
        <f>Categorías!B10</f>
        <v>UTA</v>
      </c>
      <c r="C9" s="54" t="str">
        <f>Categorías!C10</f>
        <v>CRUCH-ESTATAL</v>
      </c>
      <c r="D9" s="53" t="str">
        <f>Categorías!AK10</f>
        <v>Categoría II</v>
      </c>
      <c r="E9" s="55">
        <f>IFERROR(VLOOKUP(B9,'[5]Indicador a)'!$D$2:$G$60,3,0),0)</f>
        <v>316</v>
      </c>
      <c r="F9" s="55">
        <f>IFERROR(VLOOKUP(B9,'[5]Indicador a)'!$D$2:$G$60,4,0),0)</f>
        <v>8502</v>
      </c>
      <c r="G9" s="55">
        <f>IFERROR(VLOOKUP(B9,'[5]Indicador b)'!$D$2:$G$60,3,0),0)</f>
        <v>119.5</v>
      </c>
      <c r="H9" s="55">
        <f>IFERROR(VLOOKUP(B9,'[5]Indicador b)'!$D$2:$G$60,4,0),0)</f>
        <v>355.54545454545411</v>
      </c>
      <c r="I9" s="55">
        <f>IFERROR(VLOOKUP(B9,'[5]Indicador c)'!$D$2:$H$60,4,0),0)</f>
        <v>176.47727272727275</v>
      </c>
      <c r="J9" s="55">
        <f>IFERROR(VLOOKUP(B9,'[5]Indicador c)'!$D$2:$H$60,5,0),0)</f>
        <v>2.1818181818181817</v>
      </c>
      <c r="K9" s="55">
        <f>IFERROR(VLOOKUP(B9,[4]SCOPUS!$B$6:$K$31,10,0),0)</f>
        <v>203</v>
      </c>
      <c r="L9" s="55">
        <f>IFERROR(VLOOKUP(B9,[4]SCOPUS!$B$7:$N$31,13,0),0)</f>
        <v>3679</v>
      </c>
      <c r="M9" s="55">
        <f>IFERROR(VLOOKUP(B9,[4]SCOPUS!$B$7:$N$31,12,0),0)</f>
        <v>900</v>
      </c>
      <c r="N9" s="56">
        <f>IFERROR(VLOOKUP(B9,'[5]Indicador g)'!$F$7:$W$55,18,0),0)</f>
        <v>1174</v>
      </c>
      <c r="O9" s="56">
        <f>IFERROR(VLOOKUP(B9,'[5]Indicador g)'!$F$7:$W$55,13,0),0)</f>
        <v>1625</v>
      </c>
      <c r="P9" s="56">
        <f>IFERROR(VLOOKUP(B9,'[5]Indicador h)'!$E$10:$U$57,17,0),0)</f>
        <v>1229</v>
      </c>
      <c r="Q9" s="56">
        <f>IFERROR(VLOOKUP(B9,'[5]Indicador h)'!$E$10:$U$57,12,0),0)</f>
        <v>1541</v>
      </c>
      <c r="R9" s="57">
        <f>IFERROR(VLOOKUP(B9,'[5]Indicador i.1)'!$D$10:$T$57,17,0),0)</f>
        <v>962</v>
      </c>
      <c r="S9" s="57">
        <f>IFERROR(VLOOKUP(B9,'[5]Indicador i.1)'!$D$10:$T$57,12,0),0)</f>
        <v>1526</v>
      </c>
      <c r="T9" s="55">
        <f>IFERROR(VLOOKUP(B9,'[5]Indicador j)'!$F$8:$O$27,10,0),0)</f>
        <v>0</v>
      </c>
      <c r="U9" s="55">
        <v>5</v>
      </c>
      <c r="V9" s="55">
        <v>1</v>
      </c>
      <c r="W9" s="55">
        <f>IFERROR(VLOOKUP(B9,'[5]Indicador j)'!$F$8:$M$27,3,0),0)</f>
        <v>1</v>
      </c>
      <c r="X9" s="55">
        <f>IFERROR(VLOOKUP(B9,'[6]Tablas al 2016'!$A$64:$L$81,12,0),0)</f>
        <v>0</v>
      </c>
      <c r="Y9" s="55">
        <f>IFERROR(VLOOKUP(B9,[7]Valores!$B$4:$X$33,23,0),0)</f>
        <v>0</v>
      </c>
      <c r="Z9" s="58"/>
      <c r="AA9" s="59"/>
    </row>
    <row r="10" spans="1:27" x14ac:dyDescent="0.25">
      <c r="A10" s="53" t="str">
        <f>Categorías!A11</f>
        <v>UNIVERSIDAD DE VALPARAÍSO</v>
      </c>
      <c r="B10" s="53" t="str">
        <f>Categorías!B11</f>
        <v>UVA</v>
      </c>
      <c r="C10" s="54" t="str">
        <f>Categorías!C11</f>
        <v>CRUCH-ESTATAL</v>
      </c>
      <c r="D10" s="53" t="str">
        <f>Categorías!AK11</f>
        <v>Categoría II</v>
      </c>
      <c r="E10" s="55">
        <f>IFERROR(VLOOKUP(B10,'[5]Indicador a)'!$D$2:$G$60,3,0),0)</f>
        <v>567</v>
      </c>
      <c r="F10" s="55">
        <f>IFERROR(VLOOKUP(B10,'[5]Indicador a)'!$D$2:$G$60,4,0),0)</f>
        <v>16207</v>
      </c>
      <c r="G10" s="55">
        <f>IFERROR(VLOOKUP(B10,'[5]Indicador b)'!$D$2:$G$60,3,0),0)</f>
        <v>219.48409090909092</v>
      </c>
      <c r="H10" s="55">
        <f>IFERROR(VLOOKUP(B10,'[5]Indicador b)'!$D$2:$G$60,4,0),0)</f>
        <v>923.35325068871066</v>
      </c>
      <c r="I10" s="55">
        <f>IFERROR(VLOOKUP(B10,'[5]Indicador c)'!$D$2:$H$60,4,0),0)</f>
        <v>336.32568181818078</v>
      </c>
      <c r="J10" s="55">
        <f>IFERROR(VLOOKUP(B10,'[5]Indicador c)'!$D$2:$H$60,5,0),0)</f>
        <v>74.852272727272705</v>
      </c>
      <c r="K10" s="55">
        <f>IFERROR(VLOOKUP(B10,[4]SCOPUS!$B$6:$K$31,10,0),0)</f>
        <v>399</v>
      </c>
      <c r="L10" s="55">
        <f>IFERROR(VLOOKUP(B10,[4]SCOPUS!$B$7:$N$31,13,0),0)</f>
        <v>11946</v>
      </c>
      <c r="M10" s="55">
        <f>IFERROR(VLOOKUP(B10,[4]SCOPUS!$B$7:$N$31,12,0),0)</f>
        <v>1665</v>
      </c>
      <c r="N10" s="56">
        <f>IFERROR(VLOOKUP(B10,'[5]Indicador g)'!$F$7:$W$55,18,0),0)</f>
        <v>2327</v>
      </c>
      <c r="O10" s="56">
        <f>IFERROR(VLOOKUP(B10,'[5]Indicador g)'!$F$7:$W$55,13,0),0)</f>
        <v>3462</v>
      </c>
      <c r="P10" s="56">
        <f>IFERROR(VLOOKUP(B10,'[5]Indicador h)'!$E$10:$U$57,17,0),0)</f>
        <v>2523</v>
      </c>
      <c r="Q10" s="56">
        <f>IFERROR(VLOOKUP(B10,'[5]Indicador h)'!$E$10:$U$57,12,0),0)</f>
        <v>3057</v>
      </c>
      <c r="R10" s="57">
        <f>IFERROR(VLOOKUP(B10,'[5]Indicador i.1)'!$D$10:$T$57,17,0),0)</f>
        <v>1878</v>
      </c>
      <c r="S10" s="57">
        <f>IFERROR(VLOOKUP(B10,'[5]Indicador i.1)'!$D$10:$T$57,12,0),0)</f>
        <v>3009</v>
      </c>
      <c r="T10" s="55">
        <f>IFERROR(VLOOKUP(B10,'[5]Indicador j)'!$F$8:$O$27,10,0),0)</f>
        <v>1</v>
      </c>
      <c r="U10" s="55">
        <v>8</v>
      </c>
      <c r="V10" s="55">
        <v>5</v>
      </c>
      <c r="W10" s="55">
        <f>IFERROR(VLOOKUP(B10,'[5]Indicador j)'!$F$8:$M$27,3,0),0)</f>
        <v>13</v>
      </c>
      <c r="X10" s="55">
        <f>IFERROR(VLOOKUP(B10,'[6]Tablas al 2016'!$A$64:$L$81,12,0),0)</f>
        <v>1</v>
      </c>
      <c r="Y10" s="55">
        <f>IFERROR(VLOOKUP(B10,[7]Valores!$B$4:$X$33,23,0),0)</f>
        <v>0</v>
      </c>
      <c r="Z10" s="58"/>
      <c r="AA10" s="59"/>
    </row>
    <row r="11" spans="1:27" x14ac:dyDescent="0.25">
      <c r="A11" s="53" t="str">
        <f>Categorías!A12</f>
        <v>UNIVERSIDAD DEL BÍO-BÍO</v>
      </c>
      <c r="B11" s="53" t="str">
        <f>Categorías!B12</f>
        <v>UBB</v>
      </c>
      <c r="C11" s="54" t="str">
        <f>Categorías!C12</f>
        <v>CRUCH-ESTATAL</v>
      </c>
      <c r="D11" s="53" t="str">
        <f>Categorías!AK12</f>
        <v>Categoría II</v>
      </c>
      <c r="E11" s="55">
        <f>IFERROR(VLOOKUP(B11,'[5]Indicador a)'!$D$2:$G$60,3,0),0)</f>
        <v>451</v>
      </c>
      <c r="F11" s="55">
        <f>IFERROR(VLOOKUP(B11,'[5]Indicador a)'!$D$2:$G$60,4,0),0)</f>
        <v>12335</v>
      </c>
      <c r="G11" s="55">
        <f>IFERROR(VLOOKUP(B11,'[5]Indicador b)'!$D$2:$G$60,3,0),0)</f>
        <v>214.18181818181819</v>
      </c>
      <c r="H11" s="55">
        <f>IFERROR(VLOOKUP(B11,'[5]Indicador b)'!$D$2:$G$60,4,0),0)</f>
        <v>506.97727272727258</v>
      </c>
      <c r="I11" s="55">
        <f>IFERROR(VLOOKUP(B11,'[5]Indicador c)'!$D$2:$H$60,4,0),0)</f>
        <v>214.45454545454555</v>
      </c>
      <c r="J11" s="55">
        <f>IFERROR(VLOOKUP(B11,'[5]Indicador c)'!$D$2:$H$60,5,0),0)</f>
        <v>0</v>
      </c>
      <c r="K11" s="55">
        <f>IFERROR(VLOOKUP(B11,[4]SCOPUS!$B$6:$K$31,10,0),0)</f>
        <v>227</v>
      </c>
      <c r="L11" s="55">
        <f>IFERROR(VLOOKUP(B11,[4]SCOPUS!$B$7:$N$31,13,0),0)</f>
        <v>2850</v>
      </c>
      <c r="M11" s="55">
        <f>IFERROR(VLOOKUP(B11,[4]SCOPUS!$B$7:$N$31,12,0),0)</f>
        <v>869</v>
      </c>
      <c r="N11" s="56">
        <f>IFERROR(VLOOKUP(B11,'[5]Indicador g)'!$F$7:$W$55,18,0),0)</f>
        <v>1812</v>
      </c>
      <c r="O11" s="56">
        <f>IFERROR(VLOOKUP(B11,'[5]Indicador g)'!$F$7:$W$55,13,0),0)</f>
        <v>2277</v>
      </c>
      <c r="P11" s="56">
        <f>IFERROR(VLOOKUP(B11,'[5]Indicador h)'!$E$10:$U$57,17,0),0)</f>
        <v>1911</v>
      </c>
      <c r="Q11" s="56">
        <f>IFERROR(VLOOKUP(B11,'[5]Indicador h)'!$E$10:$U$57,12,0),0)</f>
        <v>2302</v>
      </c>
      <c r="R11" s="57">
        <f>IFERROR(VLOOKUP(B11,'[5]Indicador i.1)'!$D$10:$T$57,17,0),0)</f>
        <v>1653</v>
      </c>
      <c r="S11" s="57">
        <f>IFERROR(VLOOKUP(B11,'[5]Indicador i.1)'!$D$10:$T$57,12,0),0)</f>
        <v>2263</v>
      </c>
      <c r="T11" s="55">
        <f>IFERROR(VLOOKUP(B11,'[5]Indicador j)'!$F$8:$O$27,10,0),0)</f>
        <v>0</v>
      </c>
      <c r="U11" s="55">
        <v>0</v>
      </c>
      <c r="V11" s="55">
        <v>0</v>
      </c>
      <c r="W11" s="55">
        <f>IFERROR(VLOOKUP(B11,'[5]Indicador j)'!$F$8:$M$27,3,0),0)</f>
        <v>8</v>
      </c>
      <c r="X11" s="55">
        <f>IFERROR(VLOOKUP(B11,'[6]Tablas al 2016'!$A$64:$L$81,12,0),0)</f>
        <v>1</v>
      </c>
      <c r="Y11" s="55">
        <f>IFERROR(VLOOKUP(B11,[7]Valores!$B$4:$X$33,23,0),0)</f>
        <v>0</v>
      </c>
      <c r="Z11" s="58"/>
      <c r="AA11" s="59"/>
    </row>
    <row r="12" spans="1:27" x14ac:dyDescent="0.25">
      <c r="A12" s="53" t="str">
        <f>Categorías!A13</f>
        <v>UNIVERSIDAD DE LA SERENA</v>
      </c>
      <c r="B12" s="53" t="str">
        <f>Categorías!B13</f>
        <v>ULS</v>
      </c>
      <c r="C12" s="54" t="str">
        <f>Categorías!C13</f>
        <v>CRUCH-ESTATAL</v>
      </c>
      <c r="D12" s="53" t="str">
        <f>Categorías!AK13</f>
        <v>Categoría II</v>
      </c>
      <c r="E12" s="55">
        <f>IFERROR(VLOOKUP(B12,'[5]Indicador a)'!$D$2:$G$60,3,0),0)</f>
        <v>213</v>
      </c>
      <c r="F12" s="55">
        <f>IFERROR(VLOOKUP(B12,'[5]Indicador a)'!$D$2:$G$60,4,0),0)</f>
        <v>7235</v>
      </c>
      <c r="G12" s="55">
        <f>IFERROR(VLOOKUP(B12,'[5]Indicador b)'!$D$2:$G$60,3,0),0)</f>
        <v>102.29568181818183</v>
      </c>
      <c r="H12" s="55">
        <f>IFERROR(VLOOKUP(B12,'[5]Indicador b)'!$D$2:$G$60,4,0),0)</f>
        <v>353.50022727272528</v>
      </c>
      <c r="I12" s="55">
        <f>IFERROR(VLOOKUP(B12,'[5]Indicador c)'!$D$2:$H$60,4,0),0)</f>
        <v>102.20454545454545</v>
      </c>
      <c r="J12" s="55">
        <f>IFERROR(VLOOKUP(B12,'[5]Indicador c)'!$D$2:$H$60,5,0),0)</f>
        <v>4.1363636363636358</v>
      </c>
      <c r="K12" s="55">
        <f>IFERROR(VLOOKUP(B12,[4]SCOPUS!$B$6:$K$31,10,0),0)</f>
        <v>129</v>
      </c>
      <c r="L12" s="55">
        <f>IFERROR(VLOOKUP(B12,[4]SCOPUS!$B$7:$N$31,13,0),0)</f>
        <v>3557</v>
      </c>
      <c r="M12" s="55">
        <f>IFERROR(VLOOKUP(B12,[4]SCOPUS!$B$7:$N$31,12,0),0)</f>
        <v>558</v>
      </c>
      <c r="N12" s="56">
        <f>IFERROR(VLOOKUP(B12,'[5]Indicador g)'!$F$7:$W$55,18,0),0)</f>
        <v>1183</v>
      </c>
      <c r="O12" s="56">
        <f>IFERROR(VLOOKUP(B12,'[5]Indicador g)'!$F$7:$W$55,13,0),0)</f>
        <v>1675</v>
      </c>
      <c r="P12" s="56">
        <f>IFERROR(VLOOKUP(B12,'[5]Indicador h)'!$E$10:$U$57,17,0),0)</f>
        <v>1237</v>
      </c>
      <c r="Q12" s="56">
        <f>IFERROR(VLOOKUP(B12,'[5]Indicador h)'!$E$10:$U$57,12,0),0)</f>
        <v>1618</v>
      </c>
      <c r="R12" s="57">
        <f>IFERROR(VLOOKUP(B12,'[5]Indicador i.1)'!$D$10:$T$57,17,0),0)</f>
        <v>964</v>
      </c>
      <c r="S12" s="57">
        <f>IFERROR(VLOOKUP(B12,'[5]Indicador i.1)'!$D$10:$T$57,12,0),0)</f>
        <v>1617</v>
      </c>
      <c r="T12" s="55">
        <f>IFERROR(VLOOKUP(B12,'[5]Indicador j)'!$F$8:$O$27,10,0),0)</f>
        <v>0</v>
      </c>
      <c r="U12" s="55">
        <v>2</v>
      </c>
      <c r="V12" s="55">
        <v>1</v>
      </c>
      <c r="W12" s="55">
        <f>IFERROR(VLOOKUP(B12,'[5]Indicador j)'!$F$8:$M$27,3,0),0)</f>
        <v>2</v>
      </c>
      <c r="X12" s="55">
        <f>IFERROR(VLOOKUP(B12,'[6]Tablas al 2016'!$A$64:$L$81,12,0),0)</f>
        <v>0</v>
      </c>
      <c r="Y12" s="55">
        <f>IFERROR(VLOOKUP(B12,[7]Valores!$B$4:$X$33,23,0),0)</f>
        <v>0</v>
      </c>
      <c r="Z12" s="58"/>
      <c r="AA12" s="59"/>
    </row>
    <row r="13" spans="1:27" x14ac:dyDescent="0.25">
      <c r="A13" s="53" t="str">
        <f>Categorías!A14</f>
        <v>UNIVERSIDAD DE PLAYA ANCHA CS. EDUCACIÓN</v>
      </c>
      <c r="B13" s="53" t="str">
        <f>Categorías!B14</f>
        <v>UPA</v>
      </c>
      <c r="C13" s="54" t="str">
        <f>Categorías!C14</f>
        <v>CRUCH-ESTATAL</v>
      </c>
      <c r="D13" s="53" t="str">
        <f>Categorías!AK14</f>
        <v>Categoría II</v>
      </c>
      <c r="E13" s="55">
        <f>IFERROR(VLOOKUP(B13,'[5]Indicador a)'!$D$2:$G$60,3,0),0)</f>
        <v>315</v>
      </c>
      <c r="F13" s="55">
        <f>IFERROR(VLOOKUP(B13,'[5]Indicador a)'!$D$2:$G$60,4,0),0)</f>
        <v>8329</v>
      </c>
      <c r="G13" s="55">
        <f>IFERROR(VLOOKUP(B13,'[5]Indicador b)'!$D$2:$G$60,3,0),0)</f>
        <v>119.60045454545454</v>
      </c>
      <c r="H13" s="55">
        <f>IFERROR(VLOOKUP(B13,'[5]Indicador b)'!$D$2:$G$60,4,0),0)</f>
        <v>452.82724370986261</v>
      </c>
      <c r="I13" s="55">
        <f>IFERROR(VLOOKUP(B13,'[5]Indicador c)'!$D$2:$H$60,4,0),0)</f>
        <v>211.76071969697759</v>
      </c>
      <c r="J13" s="55">
        <f>IFERROR(VLOOKUP(B13,'[5]Indicador c)'!$D$2:$H$60,5,0),0)</f>
        <v>2.9984090909090906</v>
      </c>
      <c r="K13" s="55">
        <f>IFERROR(VLOOKUP(B13,[4]SCOPUS!$B$6:$K$31,10,0),0)</f>
        <v>103</v>
      </c>
      <c r="L13" s="55">
        <f>IFERROR(VLOOKUP(B13,[4]SCOPUS!$B$7:$N$31,13,0),0)</f>
        <v>639</v>
      </c>
      <c r="M13" s="55">
        <f>IFERROR(VLOOKUP(B13,[4]SCOPUS!$B$7:$N$31,12,0),0)</f>
        <v>333</v>
      </c>
      <c r="N13" s="56">
        <f>IFERROR(VLOOKUP(B13,'[5]Indicador g)'!$F$7:$W$55,18,0),0)</f>
        <v>1404</v>
      </c>
      <c r="O13" s="56">
        <f>IFERROR(VLOOKUP(B13,'[5]Indicador g)'!$F$7:$W$55,13,0),0)</f>
        <v>1801</v>
      </c>
      <c r="P13" s="56">
        <f>IFERROR(VLOOKUP(B13,'[5]Indicador h)'!$E$10:$U$57,17,0),0)</f>
        <v>1320</v>
      </c>
      <c r="Q13" s="56">
        <f>IFERROR(VLOOKUP(B13,'[5]Indicador h)'!$E$10:$U$57,12,0),0)</f>
        <v>1731</v>
      </c>
      <c r="R13" s="57">
        <f>IFERROR(VLOOKUP(B13,'[5]Indicador i.1)'!$D$10:$T$57,17,0),0)</f>
        <v>789</v>
      </c>
      <c r="S13" s="57">
        <f>IFERROR(VLOOKUP(B13,'[5]Indicador i.1)'!$D$10:$T$57,12,0),0)</f>
        <v>1432</v>
      </c>
      <c r="T13" s="55">
        <f>IFERROR(VLOOKUP(B13,'[5]Indicador j)'!$F$8:$O$27,10,0),0)</f>
        <v>0</v>
      </c>
      <c r="U13" s="55">
        <v>23</v>
      </c>
      <c r="V13" s="55">
        <v>14</v>
      </c>
      <c r="W13" s="55">
        <f>IFERROR(VLOOKUP(B13,'[5]Indicador j)'!$F$8:$M$27,3,0),0)</f>
        <v>7</v>
      </c>
      <c r="X13" s="55">
        <f>IFERROR(VLOOKUP(B13,'[6]Tablas al 2016'!$A$64:$L$81,12,0),0)</f>
        <v>0</v>
      </c>
      <c r="Y13" s="55">
        <f>IFERROR(VLOOKUP(B13,[7]Valores!$B$4:$X$33,23,0),0)</f>
        <v>0</v>
      </c>
      <c r="Z13" s="58"/>
      <c r="AA13" s="59"/>
    </row>
    <row r="14" spans="1:27" x14ac:dyDescent="0.25">
      <c r="A14" s="53" t="str">
        <f>Categorías!A15</f>
        <v>UNIVERSIDAD ARTURO PRAT</v>
      </c>
      <c r="B14" s="53" t="str">
        <f>Categorías!B15</f>
        <v>UAP</v>
      </c>
      <c r="C14" s="54" t="str">
        <f>Categorías!C15</f>
        <v>CRUCH-ESTATAL</v>
      </c>
      <c r="D14" s="53" t="str">
        <f>Categorías!AK15</f>
        <v>Categoría III</v>
      </c>
      <c r="E14" s="55">
        <f>IFERROR(VLOOKUP(B14,'[5]Indicador a)'!$D$2:$G$60,3,0),0)</f>
        <v>244</v>
      </c>
      <c r="F14" s="55">
        <f>IFERROR(VLOOKUP(B14,'[5]Indicador a)'!$D$2:$G$60,4,0),0)</f>
        <v>13869</v>
      </c>
      <c r="G14" s="55">
        <f>IFERROR(VLOOKUP(B14,'[5]Indicador b)'!$D$2:$G$60,3,0),0)</f>
        <v>64.340909090909093</v>
      </c>
      <c r="H14" s="55">
        <f>IFERROR(VLOOKUP(B14,'[5]Indicador b)'!$D$2:$G$60,4,0),0)</f>
        <v>443.13636363636192</v>
      </c>
      <c r="I14" s="55">
        <f>IFERROR(VLOOKUP(B14,'[5]Indicador c)'!$D$2:$H$60,4,0),0)</f>
        <v>157.68181818181813</v>
      </c>
      <c r="J14" s="55">
        <f>IFERROR(VLOOKUP(B14,'[5]Indicador c)'!$D$2:$H$60,5,0),0)</f>
        <v>0</v>
      </c>
      <c r="K14" s="55">
        <f>IFERROR(VLOOKUP(B14,[4]SCOPUS!$B$6:$K$31,10,0),0)</f>
        <v>75</v>
      </c>
      <c r="L14" s="55">
        <f>IFERROR(VLOOKUP(B14,[4]SCOPUS!$B$7:$N$31,13,0),0)</f>
        <v>1313</v>
      </c>
      <c r="M14" s="55">
        <f>IFERROR(VLOOKUP(B14,[4]SCOPUS!$B$7:$N$31,12,0),0)</f>
        <v>291</v>
      </c>
      <c r="N14" s="56">
        <f>IFERROR(VLOOKUP(B14,'[5]Indicador g)'!$F$7:$W$55,18,0),0)</f>
        <v>646</v>
      </c>
      <c r="O14" s="56">
        <f>IFERROR(VLOOKUP(B14,'[5]Indicador g)'!$F$7:$W$55,13,0),0)</f>
        <v>948</v>
      </c>
      <c r="P14" s="56">
        <f>IFERROR(VLOOKUP(B14,'[5]Indicador h)'!$E$10:$U$57,17,0),0)</f>
        <v>672</v>
      </c>
      <c r="Q14" s="56">
        <f>IFERROR(VLOOKUP(B14,'[5]Indicador h)'!$E$10:$U$57,12,0),0)</f>
        <v>941</v>
      </c>
      <c r="R14" s="57">
        <f>IFERROR(VLOOKUP(B14,'[5]Indicador i.1)'!$D$10:$T$57,17,0),0)</f>
        <v>564</v>
      </c>
      <c r="S14" s="57">
        <f>IFERROR(VLOOKUP(B14,'[5]Indicador i.1)'!$D$10:$T$57,12,0),0)</f>
        <v>968</v>
      </c>
      <c r="T14" s="55">
        <f>IFERROR(VLOOKUP(B14,'[5]Indicador j)'!$F$8:$O$27,10,0),0)</f>
        <v>0</v>
      </c>
      <c r="U14" s="55">
        <v>0</v>
      </c>
      <c r="V14" s="55">
        <v>0</v>
      </c>
      <c r="W14" s="55">
        <f>IFERROR(VLOOKUP(B14,'[5]Indicador j)'!$F$8:$M$27,3,0),0)</f>
        <v>0</v>
      </c>
      <c r="X14" s="55">
        <f>IFERROR(VLOOKUP(B14,'[6]Tablas al 2016'!$A$64:$L$81,12,0),0)</f>
        <v>0</v>
      </c>
      <c r="Y14" s="55">
        <f>IFERROR(VLOOKUP(B14,[7]Valores!$B$4:$X$33,23,0),0)</f>
        <v>0</v>
      </c>
      <c r="Z14" s="58"/>
      <c r="AA14" s="59"/>
    </row>
    <row r="15" spans="1:27" x14ac:dyDescent="0.25">
      <c r="A15" s="53" t="str">
        <f>Categorías!A16</f>
        <v>UNIVERSIDAD DE ATACAMA</v>
      </c>
      <c r="B15" s="53" t="str">
        <f>Categorías!B16</f>
        <v>ATA</v>
      </c>
      <c r="C15" s="54" t="str">
        <f>Categorías!C16</f>
        <v>CRUCH-ESTATAL</v>
      </c>
      <c r="D15" s="53" t="str">
        <f>Categorías!AK16</f>
        <v>Categoría III</v>
      </c>
      <c r="E15" s="55">
        <f>IFERROR(VLOOKUP(B15,'[5]Indicador a)'!$D$2:$G$60,3,0),0)</f>
        <v>239</v>
      </c>
      <c r="F15" s="55">
        <f>IFERROR(VLOOKUP(B15,'[5]Indicador a)'!$D$2:$G$60,4,0),0)</f>
        <v>6373</v>
      </c>
      <c r="G15" s="55">
        <f>IFERROR(VLOOKUP(B15,'[5]Indicador b)'!$D$2:$G$60,3,0),0)</f>
        <v>47.93181818181818</v>
      </c>
      <c r="H15" s="55">
        <f>IFERROR(VLOOKUP(B15,'[5]Indicador b)'!$D$2:$G$60,4,0),0)</f>
        <v>261.18181818181813</v>
      </c>
      <c r="I15" s="55">
        <f>IFERROR(VLOOKUP(B15,'[5]Indicador c)'!$D$2:$H$60,4,0),0)</f>
        <v>69.545454545454561</v>
      </c>
      <c r="J15" s="55">
        <f>IFERROR(VLOOKUP(B15,'[5]Indicador c)'!$D$2:$H$60,5,0),0)</f>
        <v>0.11363636363636363</v>
      </c>
      <c r="K15" s="55">
        <f>IFERROR(VLOOKUP(B15,[4]SCOPUS!$B$6:$K$31,10,0),0)</f>
        <v>51</v>
      </c>
      <c r="L15" s="55">
        <f>IFERROR(VLOOKUP(B15,[4]SCOPUS!$B$7:$N$31,13,0),0)</f>
        <v>392</v>
      </c>
      <c r="M15" s="55">
        <f>IFERROR(VLOOKUP(B15,[4]SCOPUS!$B$7:$N$31,12,0),0)</f>
        <v>142</v>
      </c>
      <c r="N15" s="56">
        <f>IFERROR(VLOOKUP(B15,'[5]Indicador g)'!$F$7:$W$55,18,0),0)</f>
        <v>670</v>
      </c>
      <c r="O15" s="56">
        <f>IFERROR(VLOOKUP(B15,'[5]Indicador g)'!$F$7:$W$55,13,0),0)</f>
        <v>1045</v>
      </c>
      <c r="P15" s="56">
        <f>IFERROR(VLOOKUP(B15,'[5]Indicador h)'!$E$10:$U$57,17,0),0)</f>
        <v>758</v>
      </c>
      <c r="Q15" s="56">
        <f>IFERROR(VLOOKUP(B15,'[5]Indicador h)'!$E$10:$U$57,12,0),0)</f>
        <v>1015</v>
      </c>
      <c r="R15" s="57">
        <f>IFERROR(VLOOKUP(B15,'[5]Indicador i.1)'!$D$10:$T$57,17,0),0)</f>
        <v>526</v>
      </c>
      <c r="S15" s="57">
        <f>IFERROR(VLOOKUP(B15,'[5]Indicador i.1)'!$D$10:$T$57,12,0),0)</f>
        <v>998</v>
      </c>
      <c r="T15" s="55">
        <f>IFERROR(VLOOKUP(B15,'[5]Indicador j)'!$F$8:$O$27,10,0),0)</f>
        <v>0</v>
      </c>
      <c r="U15" s="55">
        <v>0</v>
      </c>
      <c r="V15" s="55">
        <v>0</v>
      </c>
      <c r="W15" s="55">
        <f>IFERROR(VLOOKUP(B15,'[5]Indicador j)'!$F$8:$M$27,3,0),0)</f>
        <v>0</v>
      </c>
      <c r="X15" s="55">
        <f>IFERROR(VLOOKUP(B15,'[6]Tablas al 2016'!$A$64:$L$81,12,0),0)</f>
        <v>0</v>
      </c>
      <c r="Y15" s="55">
        <f>IFERROR(VLOOKUP(B15,[7]Valores!$B$4:$X$33,23,0),0)</f>
        <v>0</v>
      </c>
      <c r="Z15" s="58"/>
      <c r="AA15" s="59"/>
    </row>
    <row r="16" spans="1:27" x14ac:dyDescent="0.25">
      <c r="A16" s="53" t="str">
        <f>Categorías!A17</f>
        <v>UNIVERSIDAD DE LOS LAGOS</v>
      </c>
      <c r="B16" s="53" t="str">
        <f>Categorías!B17</f>
        <v>ULA</v>
      </c>
      <c r="C16" s="54" t="str">
        <f>Categorías!C17</f>
        <v>CRUCH-ESTATAL</v>
      </c>
      <c r="D16" s="53" t="str">
        <f>Categorías!AK17</f>
        <v>Categoría II</v>
      </c>
      <c r="E16" s="55">
        <f>IFERROR(VLOOKUP(B16,'[5]Indicador a)'!$D$2:$G$60,3,0),0)</f>
        <v>266</v>
      </c>
      <c r="F16" s="55">
        <f>IFERROR(VLOOKUP(B16,'[5]Indicador a)'!$D$2:$G$60,4,0),0)</f>
        <v>9371</v>
      </c>
      <c r="G16" s="55">
        <f>IFERROR(VLOOKUP(B16,'[5]Indicador b)'!$D$2:$G$60,3,0),0)</f>
        <v>78.65921409204546</v>
      </c>
      <c r="H16" s="55">
        <f>IFERROR(VLOOKUP(B16,'[5]Indicador b)'!$D$2:$G$60,4,0),0)</f>
        <v>407.16585665401942</v>
      </c>
      <c r="I16" s="55">
        <f>IFERROR(VLOOKUP(B16,'[5]Indicador c)'!$D$2:$H$60,4,0),0)</f>
        <v>153.40931818181835</v>
      </c>
      <c r="J16" s="55">
        <f>IFERROR(VLOOKUP(B16,'[5]Indicador c)'!$D$2:$H$60,5,0),0)</f>
        <v>0</v>
      </c>
      <c r="K16" s="55">
        <f>IFERROR(VLOOKUP(B16,[4]SCOPUS!$B$6:$K$31,10,0),0)</f>
        <v>101</v>
      </c>
      <c r="L16" s="55">
        <f>IFERROR(VLOOKUP(B16,[4]SCOPUS!$B$7:$N$31,13,0),0)</f>
        <v>1265</v>
      </c>
      <c r="M16" s="55">
        <f>IFERROR(VLOOKUP(B16,[4]SCOPUS!$B$7:$N$31,12,0),0)</f>
        <v>381</v>
      </c>
      <c r="N16" s="56">
        <f>IFERROR(VLOOKUP(B16,'[5]Indicador g)'!$F$7:$W$55,18,0),0)</f>
        <v>840</v>
      </c>
      <c r="O16" s="56">
        <f>IFERROR(VLOOKUP(B16,'[5]Indicador g)'!$F$7:$W$55,13,0),0)</f>
        <v>1022</v>
      </c>
      <c r="P16" s="56">
        <f>IFERROR(VLOOKUP(B16,'[5]Indicador h)'!$E$10:$U$57,17,0),0)</f>
        <v>707</v>
      </c>
      <c r="Q16" s="56">
        <f>IFERROR(VLOOKUP(B16,'[5]Indicador h)'!$E$10:$U$57,12,0),0)</f>
        <v>847</v>
      </c>
      <c r="R16" s="57">
        <f>IFERROR(VLOOKUP(B16,'[5]Indicador i.1)'!$D$10:$T$57,17,0),0)</f>
        <v>451</v>
      </c>
      <c r="S16" s="57">
        <f>IFERROR(VLOOKUP(B16,'[5]Indicador i.1)'!$D$10:$T$57,12,0),0)</f>
        <v>743</v>
      </c>
      <c r="T16" s="55">
        <f>IFERROR(VLOOKUP(B16,'[5]Indicador j)'!$F$8:$O$27,10,0),0)</f>
        <v>0</v>
      </c>
      <c r="U16" s="55">
        <v>0</v>
      </c>
      <c r="V16" s="55">
        <v>0</v>
      </c>
      <c r="W16" s="55">
        <f>IFERROR(VLOOKUP(B16,'[5]Indicador j)'!$F$8:$M$27,3,0),0)</f>
        <v>0</v>
      </c>
      <c r="X16" s="55">
        <f>IFERROR(VLOOKUP(B16,'[6]Tablas al 2016'!$A$64:$L$81,12,0),0)</f>
        <v>1</v>
      </c>
      <c r="Y16" s="55">
        <f>IFERROR(VLOOKUP(B16,[7]Valores!$B$4:$X$33,23,0),0)</f>
        <v>0</v>
      </c>
      <c r="Z16" s="58"/>
      <c r="AA16" s="59"/>
    </row>
    <row r="17" spans="1:27" x14ac:dyDescent="0.25">
      <c r="A17" s="53" t="str">
        <f>Categorías!A18</f>
        <v>UNIVERSIDAD DE MAGALLANES</v>
      </c>
      <c r="B17" s="53" t="str">
        <f>Categorías!B18</f>
        <v>MAG</v>
      </c>
      <c r="C17" s="54" t="str">
        <f>Categorías!C18</f>
        <v>CRUCH-ESTATAL</v>
      </c>
      <c r="D17" s="53" t="str">
        <f>Categorías!AK18</f>
        <v>Categoría III</v>
      </c>
      <c r="E17" s="55">
        <f>IFERROR(VLOOKUP(B17,'[5]Indicador a)'!$D$2:$G$60,3,0),0)</f>
        <v>179</v>
      </c>
      <c r="F17" s="55">
        <f>IFERROR(VLOOKUP(B17,'[5]Indicador a)'!$D$2:$G$60,4,0),0)</f>
        <v>4521</v>
      </c>
      <c r="G17" s="55">
        <f>IFERROR(VLOOKUP(B17,'[5]Indicador b)'!$D$2:$G$60,3,0),0)</f>
        <v>55.615000000000002</v>
      </c>
      <c r="H17" s="55">
        <f>IFERROR(VLOOKUP(B17,'[5]Indicador b)'!$D$2:$G$60,4,0),0)</f>
        <v>265.12272747440812</v>
      </c>
      <c r="I17" s="55">
        <f>IFERROR(VLOOKUP(B17,'[5]Indicador c)'!$D$2:$H$60,4,0),0)</f>
        <v>68.05642210945453</v>
      </c>
      <c r="J17" s="55">
        <f>IFERROR(VLOOKUP(B17,'[5]Indicador c)'!$D$2:$H$60,5,0),0)</f>
        <v>0.78340909090909094</v>
      </c>
      <c r="K17" s="55">
        <f>IFERROR(VLOOKUP(B17,[4]SCOPUS!$B$6:$K$31,10,0),0)</f>
        <v>118</v>
      </c>
      <c r="L17" s="55">
        <f>IFERROR(VLOOKUP(B17,[4]SCOPUS!$B$7:$N$31,13,0),0)</f>
        <v>1155</v>
      </c>
      <c r="M17" s="55">
        <f>IFERROR(VLOOKUP(B17,[4]SCOPUS!$B$7:$N$31,12,0),0)</f>
        <v>350</v>
      </c>
      <c r="N17" s="56">
        <f>IFERROR(VLOOKUP(B17,'[5]Indicador g)'!$F$7:$W$55,18,0),0)</f>
        <v>438</v>
      </c>
      <c r="O17" s="56">
        <f>IFERROR(VLOOKUP(B17,'[5]Indicador g)'!$F$7:$W$55,13,0),0)</f>
        <v>745</v>
      </c>
      <c r="P17" s="56">
        <f>IFERROR(VLOOKUP(B17,'[5]Indicador h)'!$E$10:$U$57,17,0),0)</f>
        <v>534</v>
      </c>
      <c r="Q17" s="56">
        <f>IFERROR(VLOOKUP(B17,'[5]Indicador h)'!$E$10:$U$57,12,0),0)</f>
        <v>667</v>
      </c>
      <c r="R17" s="57">
        <f>IFERROR(VLOOKUP(B17,'[5]Indicador i.1)'!$D$10:$T$57,17,0),0)</f>
        <v>362</v>
      </c>
      <c r="S17" s="57">
        <f>IFERROR(VLOOKUP(B17,'[5]Indicador i.1)'!$D$10:$T$57,12,0),0)</f>
        <v>605</v>
      </c>
      <c r="T17" s="55">
        <f>IFERROR(VLOOKUP(B17,'[5]Indicador j)'!$F$8:$O$27,10,0),0)</f>
        <v>0</v>
      </c>
      <c r="U17" s="55">
        <v>0</v>
      </c>
      <c r="V17" s="55">
        <v>0</v>
      </c>
      <c r="W17" s="55">
        <f>IFERROR(VLOOKUP(B17,'[5]Indicador j)'!$F$8:$M$27,3,0),0)</f>
        <v>0</v>
      </c>
      <c r="X17" s="55">
        <f>IFERROR(VLOOKUP(B17,'[6]Tablas al 2016'!$A$64:$L$81,12,0),0)</f>
        <v>0</v>
      </c>
      <c r="Y17" s="55">
        <f>IFERROR(VLOOKUP(B17,[7]Valores!$B$4:$X$33,23,0),0)</f>
        <v>0</v>
      </c>
      <c r="Z17" s="58"/>
      <c r="AA17" s="59"/>
    </row>
    <row r="18" spans="1:27" x14ac:dyDescent="0.25">
      <c r="A18" s="53" t="str">
        <f>Categorías!A19</f>
        <v>UNIVERSIDAD METROPOLITANA DE CS.DE LA EDUCACIÓN</v>
      </c>
      <c r="B18" s="53" t="str">
        <f>Categorías!B19</f>
        <v>UMC</v>
      </c>
      <c r="C18" s="54" t="str">
        <f>Categorías!C19</f>
        <v>CRUCH-ESTATAL</v>
      </c>
      <c r="D18" s="53" t="str">
        <f>Categorías!AK19</f>
        <v>Categoría III</v>
      </c>
      <c r="E18" s="55">
        <f>IFERROR(VLOOKUP(B18,'[5]Indicador a)'!$D$2:$G$60,3,0),0)</f>
        <v>211</v>
      </c>
      <c r="F18" s="55">
        <f>IFERROR(VLOOKUP(B18,'[5]Indicador a)'!$D$2:$G$60,4,0),0)</f>
        <v>4769</v>
      </c>
      <c r="G18" s="55">
        <f>IFERROR(VLOOKUP(B18,'[5]Indicador b)'!$D$2:$G$60,3,0),0)</f>
        <v>70.92613636363636</v>
      </c>
      <c r="H18" s="55">
        <f>IFERROR(VLOOKUP(B18,'[5]Indicador b)'!$D$2:$G$60,4,0),0)</f>
        <v>306.05306818181759</v>
      </c>
      <c r="I18" s="55">
        <f>IFERROR(VLOOKUP(B18,'[5]Indicador c)'!$D$2:$H$60,4,0),0)</f>
        <v>144.6365909090909</v>
      </c>
      <c r="J18" s="55">
        <f>IFERROR(VLOOKUP(B18,'[5]Indicador c)'!$D$2:$H$60,5,0),0)</f>
        <v>5.113636363636364E-2</v>
      </c>
      <c r="K18" s="55">
        <f>IFERROR(VLOOKUP(B18,[4]SCOPUS!$B$6:$K$31,10,0),0)</f>
        <v>75</v>
      </c>
      <c r="L18" s="55">
        <f>IFERROR(VLOOKUP(B18,[4]SCOPUS!$B$7:$N$31,13,0),0)</f>
        <v>673</v>
      </c>
      <c r="M18" s="55">
        <f>IFERROR(VLOOKUP(B18,[4]SCOPUS!$B$7:$N$31,12,0),0)</f>
        <v>271</v>
      </c>
      <c r="N18" s="56">
        <f>IFERROR(VLOOKUP(B18,'[5]Indicador g)'!$F$7:$W$55,18,0),0)</f>
        <v>710</v>
      </c>
      <c r="O18" s="56">
        <f>IFERROR(VLOOKUP(B18,'[5]Indicador g)'!$F$7:$W$55,13,0),0)</f>
        <v>1068</v>
      </c>
      <c r="P18" s="56">
        <f>IFERROR(VLOOKUP(B18,'[5]Indicador h)'!$E$10:$U$57,17,0),0)</f>
        <v>931</v>
      </c>
      <c r="Q18" s="56">
        <f>IFERROR(VLOOKUP(B18,'[5]Indicador h)'!$E$10:$U$57,12,0),0)</f>
        <v>1180</v>
      </c>
      <c r="R18" s="57">
        <f>IFERROR(VLOOKUP(B18,'[5]Indicador i.1)'!$D$10:$T$57,17,0),0)</f>
        <v>653</v>
      </c>
      <c r="S18" s="57">
        <f>IFERROR(VLOOKUP(B18,'[5]Indicador i.1)'!$D$10:$T$57,12,0),0)</f>
        <v>1082</v>
      </c>
      <c r="T18" s="55">
        <f>IFERROR(VLOOKUP(B18,'[5]Indicador j)'!$F$8:$O$27,10,0),0)</f>
        <v>0</v>
      </c>
      <c r="U18" s="55">
        <v>0</v>
      </c>
      <c r="V18" s="55">
        <v>3</v>
      </c>
      <c r="W18" s="55">
        <f>IFERROR(VLOOKUP(B18,'[5]Indicador j)'!$F$8:$M$27,3,0),0)</f>
        <v>5</v>
      </c>
      <c r="X18" s="55">
        <f>IFERROR(VLOOKUP(B18,'[6]Tablas al 2016'!$A$64:$L$81,12,0),0)</f>
        <v>0</v>
      </c>
      <c r="Y18" s="55">
        <f>IFERROR(VLOOKUP(B18,[7]Valores!$B$4:$X$33,23,0),0)</f>
        <v>0</v>
      </c>
      <c r="Z18" s="58"/>
      <c r="AA18" s="59"/>
    </row>
    <row r="19" spans="1:27" x14ac:dyDescent="0.25">
      <c r="A19" s="53" t="str">
        <f>Categorías!A20</f>
        <v>UNIVERSIDAD TECNOLÓGICA METROPOLITANA</v>
      </c>
      <c r="B19" s="53" t="str">
        <f>Categorías!B20</f>
        <v>UTM</v>
      </c>
      <c r="C19" s="54" t="str">
        <f>Categorías!C20</f>
        <v>CRUCH-ESTATAL</v>
      </c>
      <c r="D19" s="53" t="str">
        <f>Categorías!AK20</f>
        <v>Categoría III</v>
      </c>
      <c r="E19" s="55">
        <f>IFERROR(VLOOKUP(B19,'[5]Indicador a)'!$D$2:$G$60,3,0),0)</f>
        <v>191</v>
      </c>
      <c r="F19" s="55">
        <f>IFERROR(VLOOKUP(B19,'[5]Indicador a)'!$D$2:$G$60,4,0),0)</f>
        <v>8427</v>
      </c>
      <c r="G19" s="55">
        <f>IFERROR(VLOOKUP(B19,'[5]Indicador b)'!$D$2:$G$60,3,0),0)</f>
        <v>55.66477272727272</v>
      </c>
      <c r="H19" s="55">
        <f>IFERROR(VLOOKUP(B19,'[5]Indicador b)'!$D$2:$G$60,4,0),0)</f>
        <v>299.57431818181692</v>
      </c>
      <c r="I19" s="55">
        <f>IFERROR(VLOOKUP(B19,'[5]Indicador c)'!$D$2:$H$60,4,0),0)</f>
        <v>133.10840909090919</v>
      </c>
      <c r="J19" s="55">
        <f>IFERROR(VLOOKUP(B19,'[5]Indicador c)'!$D$2:$H$60,5,0),0)</f>
        <v>0</v>
      </c>
      <c r="K19" s="55">
        <f>IFERROR(VLOOKUP(B19,[4]SCOPUS!$B$6:$K$31,10,0),0)</f>
        <v>36</v>
      </c>
      <c r="L19" s="55">
        <f>IFERROR(VLOOKUP(B19,[4]SCOPUS!$B$7:$N$31,13,0),0)</f>
        <v>395</v>
      </c>
      <c r="M19" s="55">
        <f>IFERROR(VLOOKUP(B19,[4]SCOPUS!$B$7:$N$31,12,0),0)</f>
        <v>91</v>
      </c>
      <c r="N19" s="56">
        <f>IFERROR(VLOOKUP(B19,'[5]Indicador g)'!$F$7:$W$55,18,0),0)</f>
        <v>1705</v>
      </c>
      <c r="O19" s="56">
        <f>IFERROR(VLOOKUP(B19,'[5]Indicador g)'!$F$7:$W$55,13,0),0)</f>
        <v>2255</v>
      </c>
      <c r="P19" s="56">
        <f>IFERROR(VLOOKUP(B19,'[5]Indicador h)'!$E$10:$U$57,17,0),0)</f>
        <v>1655</v>
      </c>
      <c r="Q19" s="56">
        <f>IFERROR(VLOOKUP(B19,'[5]Indicador h)'!$E$10:$U$57,12,0),0)</f>
        <v>2054</v>
      </c>
      <c r="R19" s="57">
        <f>IFERROR(VLOOKUP(B19,'[5]Indicador i.1)'!$D$10:$T$57,17,0),0)</f>
        <v>903</v>
      </c>
      <c r="S19" s="57">
        <f>IFERROR(VLOOKUP(B19,'[5]Indicador i.1)'!$D$10:$T$57,12,0),0)</f>
        <v>1747</v>
      </c>
      <c r="T19" s="55">
        <f>IFERROR(VLOOKUP(B19,'[5]Indicador j)'!$F$8:$O$27,10,0),0)</f>
        <v>0</v>
      </c>
      <c r="U19" s="55">
        <v>0</v>
      </c>
      <c r="V19" s="55">
        <v>0</v>
      </c>
      <c r="W19" s="55">
        <f>IFERROR(VLOOKUP(B19,'[5]Indicador j)'!$F$8:$M$27,3,0),0)</f>
        <v>0</v>
      </c>
      <c r="X19" s="55">
        <f>IFERROR(VLOOKUP(B19,'[6]Tablas al 2016'!$A$64:$L$81,12,0),0)</f>
        <v>0</v>
      </c>
      <c r="Y19" s="55">
        <f>IFERROR(VLOOKUP(B19,[7]Valores!$B$4:$X$33,23,0),0)</f>
        <v>0</v>
      </c>
      <c r="Z19" s="58"/>
      <c r="AA19" s="59"/>
    </row>
    <row r="20" spans="1:27" x14ac:dyDescent="0.25">
      <c r="A20" s="53" t="str">
        <f>Categorías!A21</f>
        <v>U. DE O'HIGGINS</v>
      </c>
      <c r="B20" s="53" t="str">
        <f>Categorías!B21</f>
        <v>URO</v>
      </c>
      <c r="C20" s="54" t="str">
        <f>Categorías!C21</f>
        <v>CRUCH-ESTATAL</v>
      </c>
      <c r="D20" s="53" t="str">
        <f>Categorías!AK21</f>
        <v>Categoría III</v>
      </c>
      <c r="E20" s="55">
        <f>IFERROR(VLOOKUP(B20,'[5]Indicador a)'!$D$2:$G$60,3,0),0)</f>
        <v>0</v>
      </c>
      <c r="F20" s="55">
        <f>IFERROR(VLOOKUP(B20,'[5]Indicador a)'!$D$2:$G$60,4,0),0)</f>
        <v>0</v>
      </c>
      <c r="G20" s="55">
        <f>IFERROR(VLOOKUP(B20,'[5]Indicador b)'!$D$2:$G$60,3,0),0)</f>
        <v>0</v>
      </c>
      <c r="H20" s="55">
        <f>IFERROR(VLOOKUP(B20,'[5]Indicador b)'!$D$2:$G$60,4,0),0)</f>
        <v>0</v>
      </c>
      <c r="I20" s="55">
        <f>IFERROR(VLOOKUP(B20,'[5]Indicador c)'!$D$2:$H$60,4,0),0)</f>
        <v>0</v>
      </c>
      <c r="J20" s="55">
        <f>IFERROR(VLOOKUP(B20,'[5]Indicador c)'!$D$2:$H$60,5,0),0)</f>
        <v>0</v>
      </c>
      <c r="K20" s="55">
        <f>IFERROR(VLOOKUP(B20,[4]SCOPUS!$B$6:$K$31,10,0),0)</f>
        <v>0</v>
      </c>
      <c r="L20" s="55">
        <f>IFERROR(VLOOKUP(B20,[4]SCOPUS!$B$7:$N$31,13,0),0)</f>
        <v>0</v>
      </c>
      <c r="M20" s="55">
        <f>IFERROR(VLOOKUP(B20,[4]SCOPUS!$B$7:$N$31,12,0),0)</f>
        <v>0</v>
      </c>
      <c r="N20" s="56">
        <f>IFERROR(VLOOKUP(B20,'[5]Indicador g)'!$F$7:$W$55,18,0),0)</f>
        <v>0</v>
      </c>
      <c r="O20" s="56">
        <f>IFERROR(VLOOKUP(B20,'[5]Indicador g)'!$F$7:$W$55,13,0),0)</f>
        <v>0</v>
      </c>
      <c r="P20" s="56">
        <f>IFERROR(VLOOKUP(B20,'[5]Indicador h)'!$E$10:$U$57,17,0),0)</f>
        <v>0</v>
      </c>
      <c r="Q20" s="56">
        <f>IFERROR(VLOOKUP(B20,'[5]Indicador h)'!$E$10:$U$57,12,0),0)</f>
        <v>0</v>
      </c>
      <c r="R20" s="57">
        <f>IFERROR(VLOOKUP(B20,'[5]Indicador i.1)'!$D$10:$T$57,17,0),0)</f>
        <v>0</v>
      </c>
      <c r="S20" s="57">
        <f>IFERROR(VLOOKUP(B20,'[5]Indicador i.1)'!$D$10:$T$57,12,0),0)</f>
        <v>0</v>
      </c>
      <c r="T20" s="55">
        <f>IFERROR(VLOOKUP(B20,'[5]Indicador j)'!$F$8:$O$27,10,0),0)</f>
        <v>0</v>
      </c>
      <c r="U20" s="55">
        <v>0</v>
      </c>
      <c r="V20" s="55">
        <v>0</v>
      </c>
      <c r="W20" s="55">
        <f>IFERROR(VLOOKUP(B20,'[5]Indicador j)'!$F$8:$M$27,3,0),0)</f>
        <v>0</v>
      </c>
      <c r="X20" s="55">
        <f>IFERROR(VLOOKUP(B20,'[6]Tablas al 2016'!$A$64:$L$81,12,0),0)</f>
        <v>0</v>
      </c>
      <c r="Y20" s="55">
        <f>IFERROR(VLOOKUP(B20,[7]Valores!$B$4:$X$33,23,0),0)</f>
        <v>0</v>
      </c>
      <c r="Z20" s="58"/>
      <c r="AA20" s="59"/>
    </row>
    <row r="21" spans="1:27" x14ac:dyDescent="0.25">
      <c r="A21" s="53" t="str">
        <f>Categorías!A22</f>
        <v>U. DE AYSÉN</v>
      </c>
      <c r="B21" s="53" t="str">
        <f>Categorías!B22</f>
        <v>URY</v>
      </c>
      <c r="C21" s="54" t="str">
        <f>Categorías!C22</f>
        <v>CRUCH-ESTATAL</v>
      </c>
      <c r="D21" s="53" t="str">
        <f>Categorías!AK22</f>
        <v>Categoría III</v>
      </c>
      <c r="E21" s="55">
        <f>IFERROR(VLOOKUP(B21,'[5]Indicador a)'!$D$2:$G$60,3,0),0)</f>
        <v>0</v>
      </c>
      <c r="F21" s="55">
        <f>IFERROR(VLOOKUP(B21,'[5]Indicador a)'!$D$2:$G$60,4,0),0)</f>
        <v>0</v>
      </c>
      <c r="G21" s="55">
        <f>IFERROR(VLOOKUP(B21,'[5]Indicador b)'!$D$2:$G$60,3,0),0)</f>
        <v>0</v>
      </c>
      <c r="H21" s="55">
        <f>IFERROR(VLOOKUP(B21,'[5]Indicador b)'!$D$2:$G$60,4,0),0)</f>
        <v>0</v>
      </c>
      <c r="I21" s="55">
        <f>IFERROR(VLOOKUP(B21,'[5]Indicador c)'!$D$2:$H$60,4,0),0)</f>
        <v>0</v>
      </c>
      <c r="J21" s="55">
        <f>IFERROR(VLOOKUP(B21,'[5]Indicador c)'!$D$2:$H$60,5,0),0)</f>
        <v>0</v>
      </c>
      <c r="K21" s="55">
        <f>IFERROR(VLOOKUP(B21,[4]SCOPUS!$B$6:$K$31,10,0),0)</f>
        <v>0</v>
      </c>
      <c r="L21" s="55">
        <f>IFERROR(VLOOKUP(B21,[4]SCOPUS!$B$7:$N$31,13,0),0)</f>
        <v>0</v>
      </c>
      <c r="M21" s="55">
        <f>IFERROR(VLOOKUP(B21,[4]SCOPUS!$B$7:$N$31,12,0),0)</f>
        <v>0</v>
      </c>
      <c r="N21" s="56">
        <f>IFERROR(VLOOKUP(B21,'[5]Indicador g)'!$F$7:$W$55,18,0),0)</f>
        <v>0</v>
      </c>
      <c r="O21" s="56">
        <f>IFERROR(VLOOKUP(B21,'[5]Indicador g)'!$F$7:$W$55,13,0),0)</f>
        <v>0</v>
      </c>
      <c r="P21" s="56">
        <f>IFERROR(VLOOKUP(B21,'[5]Indicador h)'!$E$10:$U$57,17,0),0)</f>
        <v>0</v>
      </c>
      <c r="Q21" s="56">
        <f>IFERROR(VLOOKUP(B21,'[5]Indicador h)'!$E$10:$U$57,12,0),0)</f>
        <v>0</v>
      </c>
      <c r="R21" s="57">
        <f>IFERROR(VLOOKUP(B21,'[5]Indicador i.1)'!$D$10:$T$57,17,0),0)</f>
        <v>0</v>
      </c>
      <c r="S21" s="57">
        <f>IFERROR(VLOOKUP(B21,'[5]Indicador i.1)'!$D$10:$T$57,12,0),0)</f>
        <v>0</v>
      </c>
      <c r="T21" s="55">
        <f>IFERROR(VLOOKUP(B21,'[5]Indicador j)'!$F$8:$O$27,10,0),0)</f>
        <v>0</v>
      </c>
      <c r="U21" s="55">
        <v>0</v>
      </c>
      <c r="V21" s="55">
        <v>0</v>
      </c>
      <c r="W21" s="55">
        <f>IFERROR(VLOOKUP(B21,'[5]Indicador j)'!$F$8:$M$27,3,0),0)</f>
        <v>0</v>
      </c>
      <c r="X21" s="55">
        <f>IFERROR(VLOOKUP(B21,'[6]Tablas al 2016'!$A$64:$L$81,12,0),0)</f>
        <v>0</v>
      </c>
      <c r="Y21" s="55">
        <f>IFERROR(VLOOKUP(B21,[7]Valores!$B$4:$X$33,23,0),0)</f>
        <v>0</v>
      </c>
      <c r="Z21" s="58"/>
      <c r="AA21" s="59"/>
    </row>
    <row r="22" spans="1:27" x14ac:dyDescent="0.25">
      <c r="E22" s="52">
        <f t="shared" ref="E22:Y22" si="0">SUM(E4:E21)</f>
        <v>6274</v>
      </c>
      <c r="F22" s="52">
        <f t="shared" si="0"/>
        <v>189783</v>
      </c>
      <c r="G22" s="52">
        <f t="shared" si="0"/>
        <v>3229.4864868193163</v>
      </c>
      <c r="H22" s="52">
        <f t="shared" si="0"/>
        <v>9060.6875219212816</v>
      </c>
      <c r="I22" s="52">
        <f t="shared" si="0"/>
        <v>2833.0307781700681</v>
      </c>
      <c r="J22" s="52">
        <f t="shared" si="0"/>
        <v>330.56651157611333</v>
      </c>
      <c r="K22" s="52">
        <f t="shared" si="0"/>
        <v>5764</v>
      </c>
      <c r="L22" s="52">
        <f t="shared" si="0"/>
        <v>130462</v>
      </c>
      <c r="M22" s="52">
        <f t="shared" si="0"/>
        <v>23782</v>
      </c>
      <c r="N22" s="52">
        <f t="shared" si="0"/>
        <v>21630</v>
      </c>
      <c r="O22" s="52">
        <f t="shared" si="0"/>
        <v>32548</v>
      </c>
      <c r="P22" s="52">
        <f t="shared" si="0"/>
        <v>25807</v>
      </c>
      <c r="Q22" s="52">
        <f t="shared" si="0"/>
        <v>32090</v>
      </c>
      <c r="R22" s="52">
        <f t="shared" si="0"/>
        <v>18996</v>
      </c>
      <c r="S22" s="52">
        <f t="shared" si="0"/>
        <v>29708</v>
      </c>
      <c r="T22" s="52">
        <f t="shared" si="0"/>
        <v>69</v>
      </c>
      <c r="U22" s="52">
        <f t="shared" si="0"/>
        <v>396</v>
      </c>
      <c r="V22" s="52">
        <f t="shared" si="0"/>
        <v>353</v>
      </c>
      <c r="W22" s="52">
        <f t="shared" si="0"/>
        <v>376</v>
      </c>
      <c r="X22" s="52">
        <f t="shared" si="0"/>
        <v>32</v>
      </c>
      <c r="Y22" s="52">
        <f t="shared" si="0"/>
        <v>27</v>
      </c>
      <c r="Z22" s="58"/>
    </row>
    <row r="29" spans="1:27" x14ac:dyDescent="0.25">
      <c r="A29" s="15" t="s">
        <v>106</v>
      </c>
    </row>
  </sheetData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1"/>
  <sheetViews>
    <sheetView zoomScaleNormal="100" workbookViewId="0">
      <pane xSplit="2" ySplit="4" topLeftCell="L5" activePane="bottomRight" state="frozen"/>
      <selection pane="topRight" activeCell="C1" sqref="C1"/>
      <selection pane="bottomLeft" activeCell="A4" sqref="A4"/>
      <selection pane="bottomRight" activeCell="A3" sqref="A3"/>
    </sheetView>
  </sheetViews>
  <sheetFormatPr baseColWidth="10" defaultRowHeight="15" x14ac:dyDescent="0.25"/>
  <cols>
    <col min="1" max="1" width="46.5703125" bestFit="1" customWidth="1"/>
    <col min="5" max="5" width="19.7109375" customWidth="1"/>
    <col min="28" max="28" width="11.28515625" customWidth="1"/>
    <col min="29" max="35" width="10.7109375" customWidth="1"/>
  </cols>
  <sheetData>
    <row r="1" spans="1:35" x14ac:dyDescent="0.25">
      <c r="A1" s="24" t="s">
        <v>107</v>
      </c>
      <c r="F1" s="11" t="s">
        <v>55</v>
      </c>
      <c r="G1" s="11" t="s">
        <v>56</v>
      </c>
      <c r="H1" s="11" t="s">
        <v>57</v>
      </c>
      <c r="I1" s="11" t="s">
        <v>58</v>
      </c>
      <c r="J1" s="11" t="s">
        <v>59</v>
      </c>
      <c r="K1" s="11" t="s">
        <v>60</v>
      </c>
      <c r="L1" s="11" t="s">
        <v>61</v>
      </c>
      <c r="M1" s="11" t="s">
        <v>62</v>
      </c>
      <c r="N1" s="11" t="s">
        <v>63</v>
      </c>
      <c r="O1" s="11" t="s">
        <v>103</v>
      </c>
      <c r="P1" s="11" t="s">
        <v>104</v>
      </c>
      <c r="Q1" s="31" t="s">
        <v>77</v>
      </c>
    </row>
    <row r="2" spans="1:35" x14ac:dyDescent="0.25">
      <c r="A2" s="24"/>
      <c r="B2" s="79">
        <v>1</v>
      </c>
      <c r="C2" s="79">
        <v>2</v>
      </c>
      <c r="D2" s="79">
        <v>3</v>
      </c>
      <c r="E2" s="79">
        <v>4</v>
      </c>
      <c r="F2" s="79">
        <v>5</v>
      </c>
      <c r="G2" s="79">
        <v>6</v>
      </c>
      <c r="H2" s="79">
        <v>7</v>
      </c>
      <c r="I2" s="79">
        <v>8</v>
      </c>
      <c r="J2" s="79">
        <v>9</v>
      </c>
      <c r="K2" s="79">
        <v>10</v>
      </c>
      <c r="L2" s="79">
        <v>11</v>
      </c>
      <c r="M2" s="79">
        <v>12</v>
      </c>
      <c r="N2" s="79">
        <v>13</v>
      </c>
      <c r="O2" s="79">
        <v>14</v>
      </c>
      <c r="P2" s="79">
        <v>15</v>
      </c>
      <c r="Q2" s="79">
        <v>16</v>
      </c>
      <c r="R2" s="79">
        <v>17</v>
      </c>
      <c r="S2" s="79">
        <v>18</v>
      </c>
      <c r="T2" s="79">
        <v>19</v>
      </c>
      <c r="U2" s="79">
        <v>20</v>
      </c>
      <c r="V2" s="79">
        <v>21</v>
      </c>
      <c r="W2" s="79">
        <v>22</v>
      </c>
      <c r="X2" s="79">
        <v>23</v>
      </c>
      <c r="Y2" s="79">
        <v>24</v>
      </c>
      <c r="Z2" s="79">
        <v>25</v>
      </c>
      <c r="AA2" s="79">
        <v>26</v>
      </c>
      <c r="AB2" s="79">
        <v>27</v>
      </c>
      <c r="AC2" s="79">
        <v>28</v>
      </c>
      <c r="AD2" s="79">
        <v>29</v>
      </c>
      <c r="AE2" s="79">
        <v>30</v>
      </c>
      <c r="AF2" s="79">
        <v>31</v>
      </c>
      <c r="AG2" s="79">
        <v>32</v>
      </c>
      <c r="AH2" s="79">
        <v>33</v>
      </c>
      <c r="AI2" s="79">
        <v>34</v>
      </c>
    </row>
    <row r="3" spans="1:35" ht="79.5" x14ac:dyDescent="0.25">
      <c r="F3" s="12" t="s">
        <v>64</v>
      </c>
      <c r="G3" s="12" t="s">
        <v>65</v>
      </c>
      <c r="H3" s="12" t="s">
        <v>66</v>
      </c>
      <c r="I3" s="12" t="s">
        <v>67</v>
      </c>
      <c r="J3" s="12" t="s">
        <v>68</v>
      </c>
      <c r="K3" s="12" t="s">
        <v>69</v>
      </c>
      <c r="L3" s="12" t="s">
        <v>70</v>
      </c>
      <c r="M3" s="12" t="s">
        <v>71</v>
      </c>
      <c r="N3" s="12" t="s">
        <v>72</v>
      </c>
      <c r="O3" s="12" t="s">
        <v>73</v>
      </c>
      <c r="P3" s="12" t="s">
        <v>74</v>
      </c>
      <c r="Q3" s="12" t="s">
        <v>64</v>
      </c>
      <c r="R3" s="12" t="s">
        <v>65</v>
      </c>
      <c r="S3" s="12" t="s">
        <v>66</v>
      </c>
      <c r="T3" s="12" t="s">
        <v>67</v>
      </c>
      <c r="U3" s="12" t="s">
        <v>68</v>
      </c>
      <c r="V3" s="12" t="s">
        <v>69</v>
      </c>
      <c r="W3" s="12" t="s">
        <v>70</v>
      </c>
      <c r="X3" s="12" t="s">
        <v>71</v>
      </c>
      <c r="Y3" s="12" t="s">
        <v>72</v>
      </c>
      <c r="Z3" s="12" t="s">
        <v>73</v>
      </c>
      <c r="AA3" s="12" t="s">
        <v>74</v>
      </c>
      <c r="AB3" s="12"/>
      <c r="AC3" s="12"/>
    </row>
    <row r="4" spans="1:35" ht="67.5" x14ac:dyDescent="0.25">
      <c r="A4" s="16" t="s">
        <v>22</v>
      </c>
      <c r="B4" s="21" t="s">
        <v>10</v>
      </c>
      <c r="C4" s="21" t="s">
        <v>32</v>
      </c>
      <c r="D4" s="22" t="s">
        <v>53</v>
      </c>
      <c r="E4" s="23" t="s">
        <v>76</v>
      </c>
      <c r="F4" s="177" t="s">
        <v>127</v>
      </c>
      <c r="G4" s="177" t="s">
        <v>134</v>
      </c>
      <c r="H4" s="177" t="s">
        <v>135</v>
      </c>
      <c r="I4" s="177" t="s">
        <v>219</v>
      </c>
      <c r="J4" s="177" t="s">
        <v>220</v>
      </c>
      <c r="K4" s="177" t="s">
        <v>221</v>
      </c>
      <c r="L4" s="177" t="s">
        <v>148</v>
      </c>
      <c r="M4" s="177" t="s">
        <v>149</v>
      </c>
      <c r="N4" s="177" t="s">
        <v>150</v>
      </c>
      <c r="O4" s="177" t="s">
        <v>126</v>
      </c>
      <c r="P4" s="177" t="s">
        <v>151</v>
      </c>
      <c r="Q4" s="20" t="s">
        <v>75</v>
      </c>
      <c r="R4" s="17" t="s">
        <v>75</v>
      </c>
      <c r="S4" s="17" t="s">
        <v>75</v>
      </c>
      <c r="T4" s="17" t="s">
        <v>75</v>
      </c>
      <c r="U4" s="17" t="s">
        <v>75</v>
      </c>
      <c r="V4" s="17" t="s">
        <v>75</v>
      </c>
      <c r="W4" s="17" t="s">
        <v>75</v>
      </c>
      <c r="X4" s="17" t="s">
        <v>75</v>
      </c>
      <c r="Y4" s="17" t="s">
        <v>75</v>
      </c>
      <c r="Z4" s="17" t="s">
        <v>75</v>
      </c>
      <c r="AA4" s="17" t="s">
        <v>75</v>
      </c>
      <c r="AB4" s="40" t="s">
        <v>78</v>
      </c>
      <c r="AC4" s="41" t="s">
        <v>99</v>
      </c>
      <c r="AD4" s="41" t="s">
        <v>79</v>
      </c>
      <c r="AE4" s="41" t="s">
        <v>98</v>
      </c>
      <c r="AF4" s="41" t="s">
        <v>100</v>
      </c>
      <c r="AG4" s="41" t="s">
        <v>101</v>
      </c>
      <c r="AH4" s="41" t="s">
        <v>102</v>
      </c>
      <c r="AI4" s="41" t="s">
        <v>97</v>
      </c>
    </row>
    <row r="5" spans="1:35" x14ac:dyDescent="0.25">
      <c r="A5" s="32" t="str">
        <f>Valores!A4</f>
        <v>UNIVERSIDAD DE CHILE</v>
      </c>
      <c r="B5" s="33" t="str">
        <f>Valores!B4</f>
        <v>UCH</v>
      </c>
      <c r="C5" s="34" t="str">
        <f>Valores!C4</f>
        <v>CRUCH-ESTATAL</v>
      </c>
      <c r="D5" s="34" t="str">
        <f>Valores!D4</f>
        <v>Categoría I</v>
      </c>
      <c r="E5" s="34" t="str">
        <f>CONCATENATE(C5,D5)</f>
        <v>CRUCH-ESTATALCategoría I</v>
      </c>
      <c r="F5" s="35">
        <f>IFERROR(Valores!E4/Valores!F4*100,0)</f>
        <v>3.9341380825600334</v>
      </c>
      <c r="G5" s="36">
        <f>IFERROR(Valores!G4/Valores!H4,0)</f>
        <v>0.50467702100901324</v>
      </c>
      <c r="H5" s="36">
        <f>IFERROR((Valores!G4+Valores!I4+Valores!J4)/(Valores!H4),0)</f>
        <v>0.75000259252623869</v>
      </c>
      <c r="I5" s="36">
        <f>IFERROR(Valores!K4/Valores!H4,0)</f>
        <v>1.1854274308355732</v>
      </c>
      <c r="J5" s="36">
        <f>IFERROR(Valores!K4/Valores!G4,0)</f>
        <v>2.3488833085079222</v>
      </c>
      <c r="K5" s="36">
        <f>IFERROR(Valores!L4/Valores!M4,0)</f>
        <v>6.4922586923825536</v>
      </c>
      <c r="L5" s="36">
        <f>IFERROR(Valores!N4/Valores!O4,0)</f>
        <v>0.48905738411166638</v>
      </c>
      <c r="M5" s="36">
        <f>IFERROR(Valores!P4/Valores!Q4,0)</f>
        <v>0.83457249070631967</v>
      </c>
      <c r="N5" s="36">
        <f>IFERROR(Valores!R4/Valores!S4,0)</f>
        <v>0.72421652421652427</v>
      </c>
      <c r="O5" s="36">
        <f>IF(Valores!W4&gt;0,Valores!T4/Valores!W4,IF(AND(Valores!W4=0,OR(Valores!U4&gt;0,Valores!V4&gt;0)),0,IF(AND(Valores!W4=0,Valores!U4=0,Valores!V4=0),"NC",)))</f>
        <v>0.16822429906542055</v>
      </c>
      <c r="P5" s="37">
        <f>IFERROR((Valores!X4+Valores!Y4)*1000/(Valores!H4),0)</f>
        <v>10.950830769843634</v>
      </c>
      <c r="Q5" s="38">
        <f t="array" ref="Q5">F5/MAX(IF($E$5:$E$28=$E5,F$5:F$28))</f>
        <v>1</v>
      </c>
      <c r="R5" s="38">
        <f t="array" ref="R5">G5/MAX(IF($E$5:$E$28=$E5,G$5:G$28))</f>
        <v>1</v>
      </c>
      <c r="S5" s="38">
        <f t="array" ref="S5">H5/MAX(IF($E$5:$E$28=$E5,H$5:H$28))</f>
        <v>1</v>
      </c>
      <c r="T5" s="38">
        <f t="array" ref="T5">I5/MAX(IF($E$5:$E$28=$E5,I$5:I$28))</f>
        <v>1</v>
      </c>
      <c r="U5" s="38">
        <f t="array" ref="U5">J5/MAX(IF($E$5:$E$28=$E5,J$5:J$28))</f>
        <v>1</v>
      </c>
      <c r="V5" s="38">
        <f t="array" ref="V5">K5/MAX(IF($E$5:$E$28=$E5,K$5:K$28))</f>
        <v>1</v>
      </c>
      <c r="W5" s="38">
        <f t="array" ref="W5">L5/MAX(IF($E$5:$E$28=$E5,L$5:L$28))</f>
        <v>0.71579668919919603</v>
      </c>
      <c r="X5" s="38">
        <f t="array" ref="X5">M5/MAX(IF($E$5:$E$28=$E5,M$5:M$28))</f>
        <v>1</v>
      </c>
      <c r="Y5" s="38">
        <f t="array" ref="Y5">N5/MAX(IF($E$5:$E$28=$E5,N$5:N$28))</f>
        <v>1</v>
      </c>
      <c r="Z5" s="38">
        <f t="array" ref="Z5">IF(O5="NC","NC",IF(O5=0,0,IF(O5&gt;0,O5/MAX(IF($E$5:$E$28=$E5,$O$5:$O$28,"ERROR")))))</f>
        <v>0.74018691588785046</v>
      </c>
      <c r="AA5" s="39">
        <f t="array" ref="AA5">IF(P5=0,0,P5/MAX(IF($E$5:$E$28=$E5,$P$5:$P$28)))</f>
        <v>0.42035738560072156</v>
      </c>
      <c r="AB5" s="18">
        <f>IF(Z5="NC",(SUM(Q5:Y5)+AA5)/(COUNTA(Q5:Y5)+COUNTA(AA5)),AVERAGE(Q5:AA5))</f>
        <v>0.89784918097161537</v>
      </c>
      <c r="AC5" s="18">
        <f t="array" ref="AC5">SUM(IF($E$5:$E$28=$E5,$AB$5:$AB$28,"ERROR"))</f>
        <v>1.7067658500965066</v>
      </c>
      <c r="AD5" s="43">
        <f>AB5/AC5</f>
        <v>0.52605293275632847</v>
      </c>
      <c r="AE5" s="19">
        <f>VLOOKUP(E5,Categorías!$A$26:$E$29,5,0)</f>
        <v>5445465</v>
      </c>
      <c r="AF5" s="19">
        <f>AD5*AE5</f>
        <v>2864602.8334719404</v>
      </c>
      <c r="AG5" s="137">
        <f>ROUND(AF5,0)</f>
        <v>2864603</v>
      </c>
      <c r="AH5" s="137">
        <f>ROUND(AG5,0)</f>
        <v>2864603</v>
      </c>
      <c r="AI5" s="29">
        <f t="array" ref="AI5">AG5/(SUM(IF($C$5:$C$28=$C5,$AG$5:$AG$28,0)))</f>
        <v>0.10181670800974206</v>
      </c>
    </row>
    <row r="6" spans="1:35" x14ac:dyDescent="0.25">
      <c r="A6" s="32" t="str">
        <f>Valores!A5</f>
        <v>UNIVERSIDAD DE SANTIAGO DE CHILE</v>
      </c>
      <c r="B6" s="33" t="str">
        <f>Valores!B5</f>
        <v>USA</v>
      </c>
      <c r="C6" s="34" t="str">
        <f>Valores!C5</f>
        <v>CRUCH-ESTATAL</v>
      </c>
      <c r="D6" s="34" t="str">
        <f>Valores!D5</f>
        <v>Categoría I</v>
      </c>
      <c r="E6" s="34" t="str">
        <f t="shared" ref="E6:E20" si="0">CONCATENATE(C6,D6)</f>
        <v>CRUCH-ESTATALCategoría I</v>
      </c>
      <c r="F6" s="35">
        <f>IFERROR(Valores!E5/Valores!F5*100,0)</f>
        <v>2.6257444681128548</v>
      </c>
      <c r="G6" s="36">
        <f>IFERROR(Valores!G5/Valores!H5,0)</f>
        <v>0.41181003737008537</v>
      </c>
      <c r="H6" s="36">
        <f>IFERROR((Valores!G5+Valores!I5+Valores!J5)/(Valores!H5),0)</f>
        <v>0.6853488201805189</v>
      </c>
      <c r="I6" s="36">
        <f>IFERROR(Valores!K5/Valores!H5,0)</f>
        <v>0.58057047190733335</v>
      </c>
      <c r="J6" s="36">
        <f>IFERROR(Valores!K5/Valores!G5,0)</f>
        <v>1.4098016542165688</v>
      </c>
      <c r="K6" s="36">
        <f>IFERROR(Valores!L5/Valores!M5,0)</f>
        <v>4.2322426177174783</v>
      </c>
      <c r="L6" s="36">
        <f>IFERROR(Valores!N5/Valores!O5,0)</f>
        <v>0.68323504633529908</v>
      </c>
      <c r="M6" s="36">
        <f>IFERROR(Valores!P5/Valores!Q5,0)</f>
        <v>0.75778210116731515</v>
      </c>
      <c r="N6" s="36">
        <f>IFERROR(Valores!R5/Valores!S5,0)</f>
        <v>0.61633663366336633</v>
      </c>
      <c r="O6" s="36">
        <f>IF(Valores!W5&gt;0,Valores!T5/Valores!W5,IF(AND(Valores!W5=0,OR(Valores!U5&gt;0,Valores!V5&gt;0)),0,IF(AND(Valores!W5=0,Valores!U5=0,Valores!V5=0),"NC",)))</f>
        <v>0.22727272727272727</v>
      </c>
      <c r="P6" s="37">
        <f>IFERROR((Valores!X5+Valores!Y5)*1000/(Valores!H5),0)</f>
        <v>26.051239124047012</v>
      </c>
      <c r="Q6" s="38">
        <f t="array" ref="Q6">F6/MAX(IF($E$5:$E$28=$E6,F$5:F$28))</f>
        <v>0.66742559946045998</v>
      </c>
      <c r="R6" s="38">
        <f t="array" ref="R6">G6/MAX(IF($E$5:$E$28=$E6,G$5:G$28))</f>
        <v>0.81598729529381664</v>
      </c>
      <c r="S6" s="38">
        <f t="array" ref="S6">H6/MAX(IF($E$5:$E$28=$E6,H$5:H$28))</f>
        <v>0.91379526818974577</v>
      </c>
      <c r="T6" s="38">
        <f t="array" ref="T6">I6/MAX(IF($E$5:$E$28=$E6,I$5:I$28))</f>
        <v>0.48975623206062152</v>
      </c>
      <c r="U6" s="38">
        <f t="array" ref="U6">J6/MAX(IF($E$5:$E$28=$E6,J$5:J$28))</f>
        <v>0.6002008056807705</v>
      </c>
      <c r="V6" s="38">
        <f t="array" ref="V6">K6/MAX(IF($E$5:$E$28=$E6,K$5:K$28))</f>
        <v>0.65189063132730996</v>
      </c>
      <c r="W6" s="38">
        <f t="array" ref="W6">L6/MAX(IF($E$5:$E$28=$E6,L$5:L$28))</f>
        <v>1</v>
      </c>
      <c r="X6" s="38">
        <f t="array" ref="X6">M6/MAX(IF($E$5:$E$28=$E6,M$5:M$28))</f>
        <v>0.90798835284635981</v>
      </c>
      <c r="Y6" s="38">
        <f t="array" ref="Y6">N6/MAX(IF($E$5:$E$28=$E6,N$5:N$28))</f>
        <v>0.85103917551471897</v>
      </c>
      <c r="Z6" s="38">
        <f t="array" ref="Z6">IF(O6="NC","NC",IF(O6=0,0,IF(O6&gt;0,O6/MAX(IF($E$5:$E$28=$E6,$O$5:$O$28,"ERROR")))))</f>
        <v>1</v>
      </c>
      <c r="AA6" s="39">
        <f t="array" ref="AA6">IF(P6=0,0,P6/MAX(IF($E$5:$E$28=$E6,$P$5:$P$28)))</f>
        <v>1</v>
      </c>
      <c r="AB6" s="18">
        <f t="shared" ref="AB6:AB20" si="1">IF(Z6="NC",(SUM(Q6:Y6)+AA6)/(COUNTA(Q6:Y6)+COUNTA(AA6)),AVERAGE(Q6:AA6))</f>
        <v>0.80891666912489124</v>
      </c>
      <c r="AC6" s="18">
        <f t="array" ref="AC6">SUM(IF($E$5:$E$28=$E6,$AB$5:$AB$28,"ERROR"))</f>
        <v>1.7067658500965066</v>
      </c>
      <c r="AD6" s="43">
        <f t="shared" ref="AD6:AD20" si="2">AB6/AC6</f>
        <v>0.47394706724367153</v>
      </c>
      <c r="AE6" s="19">
        <f>VLOOKUP(E6,Categorías!$A$26:$E$29,5,0)</f>
        <v>5445465</v>
      </c>
      <c r="AF6" s="19">
        <f t="shared" ref="AF6:AF20" si="3">AD6*AE6</f>
        <v>2580862.1665280596</v>
      </c>
      <c r="AG6" s="137">
        <f t="shared" ref="AG6:AH20" si="4">ROUND(AF6,0)</f>
        <v>2580862</v>
      </c>
      <c r="AH6" s="137">
        <f t="shared" si="4"/>
        <v>2580862</v>
      </c>
      <c r="AI6" s="29">
        <f t="array" ref="AI6">AG6/(SUM(IF($C$5:$C$28=$C6,$AG$5:$AG$28,0)))</f>
        <v>9.1731689405980144E-2</v>
      </c>
    </row>
    <row r="7" spans="1:35" x14ac:dyDescent="0.25">
      <c r="A7" s="32" t="str">
        <f>Valores!A6</f>
        <v>UNIVERSIDAD DE ANTOFAGASTA</v>
      </c>
      <c r="B7" s="33" t="str">
        <f>Valores!B6</f>
        <v>ANT</v>
      </c>
      <c r="C7" s="34" t="str">
        <f>Valores!C6</f>
        <v>CRUCH-ESTATAL</v>
      </c>
      <c r="D7" s="34" t="str">
        <f>Valores!D6</f>
        <v>Categoría II</v>
      </c>
      <c r="E7" s="34" t="str">
        <f t="shared" si="0"/>
        <v>CRUCH-ESTATALCategoría II</v>
      </c>
      <c r="F7" s="35">
        <f>IFERROR(Valores!E6/Valores!F6*100,0)</f>
        <v>4.3652438182069346</v>
      </c>
      <c r="G7" s="36">
        <f>IFERROR(Valores!G6/Valores!H6,0)</f>
        <v>0.33636696227091872</v>
      </c>
      <c r="H7" s="36">
        <f>IFERROR((Valores!G6+Valores!I6+Valores!J6)/(Valores!H6),0)</f>
        <v>0.68890770856870398</v>
      </c>
      <c r="I7" s="36">
        <f>IFERROR(Valores!K6/Valores!H6,0)</f>
        <v>0.50156635041249131</v>
      </c>
      <c r="J7" s="36">
        <f>IFERROR(Valores!K6/Valores!G6,0)</f>
        <v>1.4911284599006387</v>
      </c>
      <c r="K7" s="36">
        <f>IFERROR(Valores!L6/Valores!M6,0)</f>
        <v>4.6618705035971226</v>
      </c>
      <c r="L7" s="36">
        <f>IFERROR(Valores!N6/Valores!O6,0)</f>
        <v>0.46887009992313605</v>
      </c>
      <c r="M7" s="36">
        <f>IFERROR(Valores!P6/Valores!Q6,0)</f>
        <v>0.80489864864864868</v>
      </c>
      <c r="N7" s="36">
        <f>IFERROR(Valores!R6/Valores!S6,0)</f>
        <v>0.61865189289012001</v>
      </c>
      <c r="O7" s="36">
        <f>IF(Valores!W6&gt;0,Valores!T6/Valores!W6,IF(AND(Valores!W6=0,OR(Valores!U6&gt;0,Valores!V6&gt;0)),0,IF(AND(Valores!W6=0,Valores!U6=0,Valores!V6=0),"NC",)))</f>
        <v>0.2</v>
      </c>
      <c r="P7" s="37">
        <f>IFERROR((Valores!X6+Valores!Y6)*1000/(Valores!H6),0)</f>
        <v>2.6260018346203733</v>
      </c>
      <c r="Q7" s="38">
        <f t="array" ref="Q7">F7/MAX(IF($E$5:$E$28=$E7,F$5:F$28))</f>
        <v>1</v>
      </c>
      <c r="R7" s="38">
        <f t="array" ref="R7">G7/MAX(IF($E$5:$E$28=$E7,G$5:G$28))</f>
        <v>0.68959302540943124</v>
      </c>
      <c r="S7" s="38">
        <f t="array" ref="S7">H7/MAX(IF($E$5:$E$28=$E7,H$5:H$28))</f>
        <v>0.71236782330726345</v>
      </c>
      <c r="T7" s="38">
        <f t="array" ref="T7">I7/MAX(IF($E$5:$E$28=$E7,I$5:I$28))</f>
        <v>0.42701011380420439</v>
      </c>
      <c r="U7" s="38">
        <f t="array" ref="U7">J7/MAX(IF($E$5:$E$28=$E7,J$5:J$28))</f>
        <v>0.60377799485334205</v>
      </c>
      <c r="V7" s="38">
        <f t="array" ref="V7">K7/MAX(IF($E$5:$E$28=$E7,K$5:K$28))</f>
        <v>0.64975844537830307</v>
      </c>
      <c r="W7" s="38">
        <f t="array" ref="W7">L7/MAX(IF($E$5:$E$28=$E7,L$5:L$28))</f>
        <v>0.57045862157314886</v>
      </c>
      <c r="X7" s="38">
        <f t="array" ref="X7">M7/MAX(IF($E$5:$E$28=$E7,M$5:M$28))</f>
        <v>0.93989426059098191</v>
      </c>
      <c r="Y7" s="38">
        <f t="array" ref="Y7">N7/MAX(IF($E$5:$E$28=$E7,N$5:N$28))</f>
        <v>0.84695053454951097</v>
      </c>
      <c r="Z7" s="38">
        <f t="array" ref="Z7">IF(O7="NC","NC",IF(O7=0,0,IF(O7&gt;0,O7/MAX(IF($E$5:$E$28=$E7,$O$5:$O$28,"ERROR")))))</f>
        <v>0.58461538461538465</v>
      </c>
      <c r="AA7" s="39">
        <f t="array" ref="AA7">IF(P7=0,0,P7/MAX(IF($E$5:$E$28=$E7,$P$5:$P$28)))</f>
        <v>0.39386088516553563</v>
      </c>
      <c r="AB7" s="18">
        <f t="shared" si="1"/>
        <v>0.67438973538610059</v>
      </c>
      <c r="AC7" s="18">
        <f t="array" ref="AC7">SUM(IF($E$5:$E$28=$E7,$AB$5:$AB$28,"ERROR"))</f>
        <v>5.8820969808605605</v>
      </c>
      <c r="AD7" s="43">
        <f t="shared" si="2"/>
        <v>0.11465124386429892</v>
      </c>
      <c r="AE7" s="19">
        <f>VLOOKUP(E7,Categorías!$A$26:$E$29,5,0)</f>
        <v>16336394</v>
      </c>
      <c r="AF7" s="19">
        <f t="shared" si="3"/>
        <v>1872987.8923572698</v>
      </c>
      <c r="AG7" s="137">
        <f t="shared" si="4"/>
        <v>1872988</v>
      </c>
      <c r="AH7" s="137">
        <f t="shared" si="4"/>
        <v>1872988</v>
      </c>
      <c r="AI7" s="29">
        <f t="array" ref="AI7">AG7/(SUM(IF($C$5:$C$28=$C7,$AG$5:$AG$28,0)))</f>
        <v>6.6571693285858727E-2</v>
      </c>
    </row>
    <row r="8" spans="1:35" x14ac:dyDescent="0.25">
      <c r="A8" s="32" t="str">
        <f>Valores!A7</f>
        <v>UNIVERSIDAD DE LA FRONTERA</v>
      </c>
      <c r="B8" s="33" t="str">
        <f>Valores!B7</f>
        <v>FRO</v>
      </c>
      <c r="C8" s="34" t="str">
        <f>Valores!C7</f>
        <v>CRUCH-ESTATAL</v>
      </c>
      <c r="D8" s="34" t="str">
        <f>Valores!D7</f>
        <v>Categoría II</v>
      </c>
      <c r="E8" s="34" t="str">
        <f t="shared" si="0"/>
        <v>CRUCH-ESTATALCategoría II</v>
      </c>
      <c r="F8" s="35">
        <f>IFERROR(Valores!E7/Valores!F7*100,0)</f>
        <v>2.7982899339292655</v>
      </c>
      <c r="G8" s="36">
        <f>IFERROR(Valores!G7/Valores!H7,0)</f>
        <v>0.47561161539131069</v>
      </c>
      <c r="H8" s="36">
        <f>IFERROR((Valores!G7+Valores!I7+Valores!J7)/(Valores!H7),0)</f>
        <v>0.80781540521326889</v>
      </c>
      <c r="I8" s="36">
        <f>IFERROR(Valores!K7/Valores!H7,0)</f>
        <v>1.1746006340319914</v>
      </c>
      <c r="J8" s="36">
        <f>IFERROR(Valores!K7/Valores!G7,0)</f>
        <v>2.4696634733480716</v>
      </c>
      <c r="K8" s="36">
        <f>IFERROR(Valores!L7/Valores!M7,0)</f>
        <v>4.9685668620138514</v>
      </c>
      <c r="L8" s="36">
        <f>IFERROR(Valores!N7/Valores!O7,0)</f>
        <v>0.70987951807228911</v>
      </c>
      <c r="M8" s="36">
        <f>IFERROR(Valores!P7/Valores!Q7,0)</f>
        <v>0.83824239497827135</v>
      </c>
      <c r="N8" s="36">
        <f>IFERROR(Valores!R7/Valores!S7,0)</f>
        <v>0.63789581205311541</v>
      </c>
      <c r="O8" s="36">
        <f>IF(Valores!W7&gt;0,Valores!T7/Valores!W7,IF(AND(Valores!W7=0,OR(Valores!U7&gt;0,Valores!V7&gt;0)),0,IF(AND(Valores!W7=0,Valores!U7=0,Valores!V7=0),"NC",)))</f>
        <v>0.34210526315789475</v>
      </c>
      <c r="P8" s="37">
        <f>IFERROR((Valores!X7+Valores!Y7)*1000/(Valores!H7),0)</f>
        <v>0</v>
      </c>
      <c r="Q8" s="38">
        <f t="array" ref="Q8">F8/MAX(IF($E$5:$E$28=$E8,F$5:F$28))</f>
        <v>0.64103863391499849</v>
      </c>
      <c r="R8" s="38">
        <f t="array" ref="R8">G8/MAX(IF($E$5:$E$28=$E8,G$5:G$28))</f>
        <v>0.97506143458107619</v>
      </c>
      <c r="S8" s="38">
        <f t="array" ref="S8">H8/MAX(IF($E$5:$E$28=$E8,H$5:H$28))</f>
        <v>0.83532481156503302</v>
      </c>
      <c r="T8" s="38">
        <f t="array" ref="T8">I8/MAX(IF($E$5:$E$28=$E8,I$5:I$28))</f>
        <v>1</v>
      </c>
      <c r="U8" s="38">
        <f t="array" ref="U8">J8/MAX(IF($E$5:$E$28=$E8,J$5:J$28))</f>
        <v>1</v>
      </c>
      <c r="V8" s="38">
        <f t="array" ref="V8">K8/MAX(IF($E$5:$E$28=$E8,K$5:K$28))</f>
        <v>0.6925049242636081</v>
      </c>
      <c r="W8" s="38">
        <f t="array" ref="W8">L8/MAX(IF($E$5:$E$28=$E8,L$5:L$28))</f>
        <v>0.86368674698795178</v>
      </c>
      <c r="X8" s="38">
        <f t="array" ref="X8">M8/MAX(IF($E$5:$E$28=$E8,M$5:M$28))</f>
        <v>0.97883033764171412</v>
      </c>
      <c r="Y8" s="38">
        <f t="array" ref="Y8">N8/MAX(IF($E$5:$E$28=$E8,N$5:N$28))</f>
        <v>0.8732959604816698</v>
      </c>
      <c r="Z8" s="38">
        <f t="array" ref="Z8">IF(O8="NC","NC",IF(O8=0,0,IF(O8&gt;0,O8/MAX(IF($E$5:$E$28=$E8,$O$5:$O$28,"ERROR")))))</f>
        <v>1</v>
      </c>
      <c r="AA8" s="39">
        <f t="array" ref="AA8">IF(P8=0,0,P8/MAX(IF($E$5:$E$28=$E8,$P$5:$P$28)))</f>
        <v>0</v>
      </c>
      <c r="AB8" s="18">
        <f t="shared" si="1"/>
        <v>0.80543116813055027</v>
      </c>
      <c r="AC8" s="18">
        <f t="array" ref="AC8">SUM(IF($E$5:$E$28=$E8,$AB$5:$AB$28,"ERROR"))</f>
        <v>5.8820969808605605</v>
      </c>
      <c r="AD8" s="43">
        <f t="shared" si="2"/>
        <v>0.13692925681968512</v>
      </c>
      <c r="AE8" s="19">
        <f>VLOOKUP(E8,Categorías!$A$26:$E$29,5,0)</f>
        <v>16336394</v>
      </c>
      <c r="AF8" s="19">
        <f t="shared" si="3"/>
        <v>2236930.289533563</v>
      </c>
      <c r="AG8" s="137">
        <f t="shared" si="4"/>
        <v>2236930</v>
      </c>
      <c r="AH8" s="137">
        <f t="shared" si="4"/>
        <v>2236930</v>
      </c>
      <c r="AI8" s="29">
        <f t="array" ref="AI8">AG8/(SUM(IF($C$5:$C$28=$C8,$AG$5:$AG$28,0)))</f>
        <v>7.9507299492541317E-2</v>
      </c>
    </row>
    <row r="9" spans="1:35" x14ac:dyDescent="0.25">
      <c r="A9" s="32" t="str">
        <f>Valores!A8</f>
        <v>UNIVERSIDAD DE TALCA</v>
      </c>
      <c r="B9" s="33" t="str">
        <f>Valores!B8</f>
        <v>TAL</v>
      </c>
      <c r="C9" s="34" t="str">
        <f>Valores!C8</f>
        <v>CRUCH-ESTATAL</v>
      </c>
      <c r="D9" s="34" t="str">
        <f>Valores!D8</f>
        <v>Categoría II</v>
      </c>
      <c r="E9" s="34" t="str">
        <f t="shared" si="0"/>
        <v>CRUCH-ESTATALCategoría II</v>
      </c>
      <c r="F9" s="35">
        <f>IFERROR(Valores!E8/Valores!F8*100,0)</f>
        <v>3.3132530120481931</v>
      </c>
      <c r="G9" s="36">
        <f>IFERROR(Valores!G8/Valores!H8,0)</f>
        <v>0.4877760503323072</v>
      </c>
      <c r="H9" s="36">
        <f>IFERROR((Valores!G8+Valores!I8+Valores!J8)/(Valores!H8),0)</f>
        <v>0.96706741381209116</v>
      </c>
      <c r="I9" s="36">
        <f>IFERROR(Valores!K8/Valores!H8,0)</f>
        <v>0.83786156393417333</v>
      </c>
      <c r="J9" s="36">
        <f>IFERROR(Valores!K8/Valores!G8,0)</f>
        <v>1.7177177177177179</v>
      </c>
      <c r="K9" s="36">
        <f>IFERROR(Valores!L8/Valores!M8,0)</f>
        <v>3.8993548387096775</v>
      </c>
      <c r="L9" s="36">
        <f>IFERROR(Valores!N8/Valores!O8,0)</f>
        <v>0.72519893899204246</v>
      </c>
      <c r="M9" s="36">
        <f>IFERROR(Valores!P8/Valores!Q8,0)</f>
        <v>0.85637149028077753</v>
      </c>
      <c r="N9" s="36">
        <f>IFERROR(Valores!R8/Valores!S8,0)</f>
        <v>0.71880733944954134</v>
      </c>
      <c r="O9" s="36">
        <f>IF(Valores!W8&gt;0,Valores!T8/Valores!W8,IF(AND(Valores!W8=0,OR(Valores!U8&gt;0,Valores!V8&gt;0)),0,IF(AND(Valores!W8=0,Valores!U8=0,Valores!V8=0),"NC",)))</f>
        <v>0.16666666666666666</v>
      </c>
      <c r="P9" s="37">
        <f>IFERROR((Valores!X8+Valores!Y8)*1000/(Valores!H8),0)</f>
        <v>6.6673334000066848</v>
      </c>
      <c r="Q9" s="38">
        <f t="array" ref="Q9">F9/MAX(IF($E$5:$E$28=$E9,F$5:F$28))</f>
        <v>0.7590075491840782</v>
      </c>
      <c r="R9" s="38">
        <f t="array" ref="R9">G9/MAX(IF($E$5:$E$28=$E9,G$5:G$28))</f>
        <v>1</v>
      </c>
      <c r="S9" s="38">
        <f t="array" ref="S9">H9/MAX(IF($E$5:$E$28=$E9,H$5:H$28))</f>
        <v>1</v>
      </c>
      <c r="T9" s="38">
        <f t="array" ref="T9">I9/MAX(IF($E$5:$E$28=$E9,I$5:I$28))</f>
        <v>0.71331611754549196</v>
      </c>
      <c r="U9" s="38">
        <f t="array" ref="U9">J9/MAX(IF($E$5:$E$28=$E9,J$5:J$28))</f>
        <v>0.69552703688371098</v>
      </c>
      <c r="V9" s="38">
        <f t="array" ref="V9">K9/MAX(IF($E$5:$E$28=$E9,K$5:K$28))</f>
        <v>0.54348114904165512</v>
      </c>
      <c r="W9" s="38">
        <f t="array" ref="W9">L9/MAX(IF($E$5:$E$28=$E9,L$5:L$28))</f>
        <v>0.88232537577365167</v>
      </c>
      <c r="X9" s="38">
        <f t="array" ref="X9">M9/MAX(IF($E$5:$E$28=$E9,M$5:M$28))</f>
        <v>1</v>
      </c>
      <c r="Y9" s="38">
        <f t="array" ref="Y9">N9/MAX(IF($E$5:$E$28=$E9,N$5:N$28))</f>
        <v>0.98406594626395161</v>
      </c>
      <c r="Z9" s="38">
        <f t="array" ref="Z9">IF(O9="NC","NC",IF(O9=0,0,IF(O9&gt;0,O9/MAX(IF($E$5:$E$28=$E9,$O$5:$O$28,"ERROR")))))</f>
        <v>0.48717948717948711</v>
      </c>
      <c r="AA9" s="39">
        <f t="array" ref="AA9">IF(P9=0,0,P9/MAX(IF($E$5:$E$28=$E9,$P$5:$P$28)))</f>
        <v>1</v>
      </c>
      <c r="AB9" s="18">
        <f t="shared" si="1"/>
        <v>0.82408206017018426</v>
      </c>
      <c r="AC9" s="18">
        <f t="array" ref="AC9">SUM(IF($E$5:$E$28=$E9,$AB$5:$AB$28,"ERROR"))</f>
        <v>5.8820969808605605</v>
      </c>
      <c r="AD9" s="43">
        <f t="shared" si="2"/>
        <v>0.140100046437796</v>
      </c>
      <c r="AE9" s="19">
        <f>VLOOKUP(E9,Categorías!$A$26:$E$29,5,0)</f>
        <v>16336394</v>
      </c>
      <c r="AF9" s="19">
        <f t="shared" si="3"/>
        <v>2288729.5580261322</v>
      </c>
      <c r="AG9" s="137">
        <f t="shared" si="4"/>
        <v>2288730</v>
      </c>
      <c r="AH9" s="137">
        <f t="shared" si="4"/>
        <v>2288730</v>
      </c>
      <c r="AI9" s="29">
        <f t="array" ref="AI9">AG9/(SUM(IF($C$5:$C$28=$C9,$AG$5:$AG$28,0)))</f>
        <v>8.1348429127225286E-2</v>
      </c>
    </row>
    <row r="10" spans="1:35" x14ac:dyDescent="0.25">
      <c r="A10" s="32" t="str">
        <f>Valores!A9</f>
        <v>UNIVERSIDAD DE TARAPACÁ</v>
      </c>
      <c r="B10" s="33" t="str">
        <f>Valores!B9</f>
        <v>UTA</v>
      </c>
      <c r="C10" s="34" t="str">
        <f>Valores!C9</f>
        <v>CRUCH-ESTATAL</v>
      </c>
      <c r="D10" s="34" t="str">
        <f>Valores!D9</f>
        <v>Categoría II</v>
      </c>
      <c r="E10" s="34" t="str">
        <f t="shared" si="0"/>
        <v>CRUCH-ESTATALCategoría II</v>
      </c>
      <c r="F10" s="35">
        <f>IFERROR(Valores!E9/Valores!F9*100,0)</f>
        <v>3.7167725241119736</v>
      </c>
      <c r="G10" s="36">
        <f>IFERROR(Valores!G9/Valores!H9,0)</f>
        <v>0.3361032983891592</v>
      </c>
      <c r="H10" s="36">
        <f>IFERROR((Valores!G9+Valores!I9+Valores!J9)/(Valores!H9),0)</f>
        <v>0.83859626693940281</v>
      </c>
      <c r="I10" s="36">
        <f>IFERROR(Valores!K9/Valores!H9,0)</f>
        <v>0.57095372027614488</v>
      </c>
      <c r="J10" s="36">
        <f>IFERROR(Valores!K9/Valores!G9,0)</f>
        <v>1.6987447698744771</v>
      </c>
      <c r="K10" s="36">
        <f>IFERROR(Valores!L9/Valores!M9,0)</f>
        <v>4.0877777777777782</v>
      </c>
      <c r="L10" s="36">
        <f>IFERROR(Valores!N9/Valores!O9,0)</f>
        <v>0.72246153846153849</v>
      </c>
      <c r="M10" s="36">
        <f>IFERROR(Valores!P9/Valores!Q9,0)</f>
        <v>0.79753406878650224</v>
      </c>
      <c r="N10" s="36">
        <f>IFERROR(Valores!R9/Valores!S9,0)</f>
        <v>0.63040629095674972</v>
      </c>
      <c r="O10" s="36">
        <f>IF(Valores!W9&gt;0,Valores!T9/Valores!W9,IF(AND(Valores!W9=0,OR(Valores!U9&gt;0,Valores!V9&gt;0)),0,IF(AND(Valores!W9=0,Valores!U9=0,Valores!V9=0),"NC",)))</f>
        <v>0</v>
      </c>
      <c r="P10" s="37">
        <f>IFERROR((Valores!X9+Valores!Y9)*1000/(Valores!H9),0)</f>
        <v>0</v>
      </c>
      <c r="Q10" s="38">
        <f t="array" ref="Q10">F10/MAX(IF($E$5:$E$28=$E10,F$5:F$28))</f>
        <v>0.8514467184191955</v>
      </c>
      <c r="R10" s="38">
        <f t="array" ref="R10">G10/MAX(IF($E$5:$E$28=$E10,G$5:G$28))</f>
        <v>0.68905248250745832</v>
      </c>
      <c r="S10" s="38">
        <f t="array" ref="S10">H10/MAX(IF($E$5:$E$28=$E10,H$5:H$28))</f>
        <v>0.86715388706329499</v>
      </c>
      <c r="T10" s="38">
        <f t="array" ref="T10">I10/MAX(IF($E$5:$E$28=$E10,I$5:I$28))</f>
        <v>0.48608327267478246</v>
      </c>
      <c r="U10" s="38">
        <f t="array" ref="U10">J10/MAX(IF($E$5:$E$28=$E10,J$5:J$28))</f>
        <v>0.68784463478804425</v>
      </c>
      <c r="V10" s="38">
        <f t="array" ref="V10">K10/MAX(IF($E$5:$E$28=$E10,K$5:K$28))</f>
        <v>0.56974301021262352</v>
      </c>
      <c r="W10" s="38">
        <f t="array" ref="W10">L10/MAX(IF($E$5:$E$28=$E10,L$5:L$28))</f>
        <v>0.8789948717948719</v>
      </c>
      <c r="X10" s="38">
        <f t="array" ref="X10">M10/MAX(IF($E$5:$E$28=$E10,M$5:M$28))</f>
        <v>0.93129451159684873</v>
      </c>
      <c r="Y10" s="38">
        <f t="array" ref="Y10">N10/MAX(IF($E$5:$E$28=$E10,N$5:N$28))</f>
        <v>0.86304261127351756</v>
      </c>
      <c r="Z10" s="38">
        <f t="array" ref="Z10">IF(O10="NC","NC",IF(O10=0,0,IF(O10&gt;0,O10/MAX(IF($E$5:$E$28=$E10,$O$5:$O$28,"ERROR")))))</f>
        <v>0</v>
      </c>
      <c r="AA10" s="39">
        <f t="array" ref="AA10">IF(P10=0,0,P10/MAX(IF($E$5:$E$28=$E10,$P$5:$P$28)))</f>
        <v>0</v>
      </c>
      <c r="AB10" s="18">
        <f t="shared" si="1"/>
        <v>0.62042327275733067</v>
      </c>
      <c r="AC10" s="18">
        <f t="array" ref="AC10">SUM(IF($E$5:$E$28=$E10,$AB$5:$AB$28,"ERROR"))</f>
        <v>5.8820969808605605</v>
      </c>
      <c r="AD10" s="43">
        <f t="shared" si="2"/>
        <v>0.10547654599645205</v>
      </c>
      <c r="AE10" s="19">
        <f>VLOOKUP(E10,Categorías!$A$26:$E$29,5,0)</f>
        <v>16336394</v>
      </c>
      <c r="AF10" s="19">
        <f t="shared" si="3"/>
        <v>1723106.4131571632</v>
      </c>
      <c r="AG10" s="137">
        <f t="shared" si="4"/>
        <v>1723106</v>
      </c>
      <c r="AH10" s="137">
        <f t="shared" si="4"/>
        <v>1723106</v>
      </c>
      <c r="AI10" s="29">
        <f t="array" ref="AI10">AG10/(SUM(IF($C$5:$C$28=$C10,$AG$5:$AG$28,0)))</f>
        <v>6.1244430893856706E-2</v>
      </c>
    </row>
    <row r="11" spans="1:35" x14ac:dyDescent="0.25">
      <c r="A11" s="32" t="str">
        <f>Valores!A10</f>
        <v>UNIVERSIDAD DE VALPARAÍSO</v>
      </c>
      <c r="B11" s="33" t="str">
        <f>Valores!B10</f>
        <v>UVA</v>
      </c>
      <c r="C11" s="34" t="str">
        <f>Valores!C10</f>
        <v>CRUCH-ESTATAL</v>
      </c>
      <c r="D11" s="34" t="str">
        <f>Valores!D10</f>
        <v>Categoría II</v>
      </c>
      <c r="E11" s="34" t="str">
        <f t="shared" si="0"/>
        <v>CRUCH-ESTATALCategoría II</v>
      </c>
      <c r="F11" s="35">
        <f>IFERROR(Valores!E10/Valores!F10*100,0)</f>
        <v>3.4984883075214412</v>
      </c>
      <c r="G11" s="36">
        <f>IFERROR(Valores!G10/Valores!H10,0)</f>
        <v>0.23770327417527598</v>
      </c>
      <c r="H11" s="36">
        <f>IFERROR((Valores!G10+Valores!I10+Valores!J10)/(Valores!H10),0)</f>
        <v>0.68301275268608874</v>
      </c>
      <c r="I11" s="36">
        <f>IFERROR(Valores!K10/Valores!H10,0)</f>
        <v>0.43212064256273958</v>
      </c>
      <c r="J11" s="36">
        <f>IFERROR(Valores!K10/Valores!G10,0)</f>
        <v>1.8178994128793762</v>
      </c>
      <c r="K11" s="36">
        <f>IFERROR(Valores!L10/Valores!M10,0)</f>
        <v>7.1747747747747752</v>
      </c>
      <c r="L11" s="36">
        <f>IFERROR(Valores!N10/Valores!O10,0)</f>
        <v>0.6721548238012709</v>
      </c>
      <c r="M11" s="36">
        <f>IFERROR(Valores!P10/Valores!Q10,0)</f>
        <v>0.8253189401373896</v>
      </c>
      <c r="N11" s="36">
        <f>IFERROR(Valores!R10/Valores!S10,0)</f>
        <v>0.62412761714855436</v>
      </c>
      <c r="O11" s="36">
        <f>IF(Valores!W10&gt;0,Valores!T10/Valores!W10,IF(AND(Valores!W10=0,OR(Valores!U10&gt;0,Valores!V10&gt;0)),0,IF(AND(Valores!W10=0,Valores!U10=0,Valores!V10=0),"NC",)))</f>
        <v>7.6923076923076927E-2</v>
      </c>
      <c r="P11" s="37">
        <f>IFERROR((Valores!X10+Valores!Y10)*1000/(Valores!H10),0)</f>
        <v>1.0830091292299238</v>
      </c>
      <c r="Q11" s="38">
        <f t="array" ref="Q11">F11/MAX(IF($E$5:$E$28=$E11,F$5:F$28))</f>
        <v>0.80144167272619349</v>
      </c>
      <c r="R11" s="38">
        <f t="array" ref="R11">G11/MAX(IF($E$5:$E$28=$E11,G$5:G$28))</f>
        <v>0.48732051115124631</v>
      </c>
      <c r="S11" s="38">
        <f t="array" ref="S11">H11/MAX(IF($E$5:$E$28=$E11,H$5:H$28))</f>
        <v>0.70627212015521756</v>
      </c>
      <c r="T11" s="38">
        <f t="array" ref="T11">I11/MAX(IF($E$5:$E$28=$E11,I$5:I$28))</f>
        <v>0.36788728870290249</v>
      </c>
      <c r="U11" s="38">
        <f t="array" ref="U11">J11/MAX(IF($E$5:$E$28=$E11,J$5:J$28))</f>
        <v>0.736091954429276</v>
      </c>
      <c r="V11" s="38">
        <f t="array" ref="V11">K11/MAX(IF($E$5:$E$28=$E11,K$5:K$28))</f>
        <v>1</v>
      </c>
      <c r="W11" s="38">
        <f t="array" ref="W11">L11/MAX(IF($E$5:$E$28=$E11,L$5:L$28))</f>
        <v>0.81778836895821294</v>
      </c>
      <c r="X11" s="38">
        <f t="array" ref="X11">M11/MAX(IF($E$5:$E$28=$E11,M$5:M$28))</f>
        <v>0.96373939289687616</v>
      </c>
      <c r="Y11" s="38">
        <f t="array" ref="Y11">N11/MAX(IF($E$5:$E$28=$E11,N$5:N$28))</f>
        <v>0.85444694350101547</v>
      </c>
      <c r="Z11" s="38">
        <f t="array" ref="Z11">IF(O11="NC","NC",IF(O11=0,0,IF(O11&gt;0,O11/MAX(IF($E$5:$E$28=$E11,$O$5:$O$28,"ERROR")))))</f>
        <v>0.22485207100591717</v>
      </c>
      <c r="AA11" s="39">
        <f t="array" ref="AA11">IF(P11=0,0,P11/MAX(IF($E$5:$E$28=$E11,$P$5:$P$28)))</f>
        <v>0.16243512424754969</v>
      </c>
      <c r="AB11" s="18">
        <f t="shared" si="1"/>
        <v>0.64747958616130963</v>
      </c>
      <c r="AC11" s="18">
        <f t="array" ref="AC11">SUM(IF($E$5:$E$28=$E11,$AB$5:$AB$28,"ERROR"))</f>
        <v>5.8820969808605605</v>
      </c>
      <c r="AD11" s="43">
        <f t="shared" si="2"/>
        <v>0.1100763194262367</v>
      </c>
      <c r="AE11" s="19">
        <f>VLOOKUP(E11,Categorías!$A$26:$E$29,5,0)</f>
        <v>16336394</v>
      </c>
      <c r="AF11" s="19">
        <f t="shared" si="3"/>
        <v>1798250.1242168567</v>
      </c>
      <c r="AG11" s="137">
        <f t="shared" si="4"/>
        <v>1798250</v>
      </c>
      <c r="AH11" s="137">
        <f t="shared" si="4"/>
        <v>1798250</v>
      </c>
      <c r="AI11" s="29">
        <f t="array" ref="AI11">AG11/(SUM(IF($C$5:$C$28=$C11,$AG$5:$AG$28,0)))</f>
        <v>6.3915277327615261E-2</v>
      </c>
    </row>
    <row r="12" spans="1:35" x14ac:dyDescent="0.25">
      <c r="A12" s="32" t="str">
        <f>Valores!A11</f>
        <v>UNIVERSIDAD DEL BÍO-BÍO</v>
      </c>
      <c r="B12" s="33" t="str">
        <f>Valores!B11</f>
        <v>UBB</v>
      </c>
      <c r="C12" s="34" t="str">
        <f>Valores!C11</f>
        <v>CRUCH-ESTATAL</v>
      </c>
      <c r="D12" s="34" t="str">
        <f>Valores!D11</f>
        <v>Categoría II</v>
      </c>
      <c r="E12" s="34" t="str">
        <f t="shared" si="0"/>
        <v>CRUCH-ESTATALCategoría II</v>
      </c>
      <c r="F12" s="35">
        <f>IFERROR(Valores!E11/Valores!F11*100,0)</f>
        <v>3.6562626672071343</v>
      </c>
      <c r="G12" s="36">
        <f>IFERROR(Valores!G11/Valores!H11,0)</f>
        <v>0.42246828349845356</v>
      </c>
      <c r="H12" s="36">
        <f>IFERROR((Valores!G11+Valores!I11+Valores!J11)/(Valores!H11),0)</f>
        <v>0.84547451472631951</v>
      </c>
      <c r="I12" s="36">
        <f>IFERROR(Valores!K11/Valores!H11,0)</f>
        <v>0.44775182678083125</v>
      </c>
      <c r="J12" s="36">
        <f>IFERROR(Valores!K11/Valores!G11,0)</f>
        <v>1.0598471986417657</v>
      </c>
      <c r="K12" s="36">
        <f>IFERROR(Valores!L11/Valores!M11,0)</f>
        <v>3.2796317606444187</v>
      </c>
      <c r="L12" s="36">
        <f>IFERROR(Valores!N11/Valores!O11,0)</f>
        <v>0.79578392621870886</v>
      </c>
      <c r="M12" s="36">
        <f>IFERROR(Valores!P11/Valores!Q11,0)</f>
        <v>0.8301476976542137</v>
      </c>
      <c r="N12" s="36">
        <f>IFERROR(Valores!R11/Valores!S11,0)</f>
        <v>0.73044631020768891</v>
      </c>
      <c r="O12" s="36">
        <f>IF(Valores!W11&gt;0,Valores!T11/Valores!W11,IF(AND(Valores!W11=0,OR(Valores!U11&gt;0,Valores!V11&gt;0)),0,IF(AND(Valores!W11=0,Valores!U11=0,Valores!V11=0),"NC",)))</f>
        <v>0</v>
      </c>
      <c r="P12" s="37">
        <f>IFERROR((Valores!X11+Valores!Y11)*1000/(Valores!H11),0)</f>
        <v>1.9724750078450717</v>
      </c>
      <c r="Q12" s="38">
        <f t="array" ref="Q12">F12/MAX(IF($E$5:$E$28=$E12,F$5:F$28))</f>
        <v>0.83758498252887481</v>
      </c>
      <c r="R12" s="38">
        <f t="array" ref="R12">G12/MAX(IF($E$5:$E$28=$E12,G$5:G$28))</f>
        <v>0.86611116558641732</v>
      </c>
      <c r="S12" s="38">
        <f t="array" ref="S12">H12/MAX(IF($E$5:$E$28=$E12,H$5:H$28))</f>
        <v>0.87426636721584527</v>
      </c>
      <c r="T12" s="38">
        <f t="array" ref="T12">I12/MAX(IF($E$5:$E$28=$E12,I$5:I$28))</f>
        <v>0.38119494729358055</v>
      </c>
      <c r="U12" s="38">
        <f t="array" ref="U12">J12/MAX(IF($E$5:$E$28=$E12,J$5:J$28))</f>
        <v>0.42914640398554094</v>
      </c>
      <c r="V12" s="38">
        <f t="array" ref="V12">K12/MAX(IF($E$5:$E$28=$E12,K$5:K$28))</f>
        <v>0.45710588326410151</v>
      </c>
      <c r="W12" s="38">
        <f t="array" ref="W12">L12/MAX(IF($E$5:$E$28=$E12,L$5:L$28))</f>
        <v>0.96820377689942916</v>
      </c>
      <c r="X12" s="38">
        <f t="array" ref="X12">M12/MAX(IF($E$5:$E$28=$E12,M$5:M$28))</f>
        <v>0.9693780176895358</v>
      </c>
      <c r="Y12" s="38">
        <f t="array" ref="Y12">N12/MAX(IF($E$5:$E$28=$E12,N$5:N$28))</f>
        <v>1</v>
      </c>
      <c r="Z12" s="38">
        <f t="array" ref="Z12">IF(O12="NC","NC",IF(O12=0,0,IF(O12&gt;0,O12/MAX(IF($E$5:$E$28=$E12,$O$5:$O$28,"ERROR")))))</f>
        <v>0</v>
      </c>
      <c r="AA12" s="39">
        <f t="array" ref="AA12">IF(P12=0,0,P12/MAX(IF($E$5:$E$28=$E12,$P$5:$P$28)))</f>
        <v>0.29584166405164231</v>
      </c>
      <c r="AB12" s="42">
        <f t="shared" si="1"/>
        <v>0.64353029168317888</v>
      </c>
      <c r="AC12" s="18">
        <f t="array" ref="AC12">SUM(IF($E$5:$E$28=$E12,$AB$5:$AB$28,"ERROR"))</f>
        <v>5.8820969808605605</v>
      </c>
      <c r="AD12" s="43">
        <f t="shared" si="2"/>
        <v>0.1094049101497523</v>
      </c>
      <c r="AE12" s="19">
        <f>VLOOKUP(E12,Categorías!$A$26:$E$29,5,0)</f>
        <v>16336394</v>
      </c>
      <c r="AF12" s="19">
        <f t="shared" si="3"/>
        <v>1787281.7177409525</v>
      </c>
      <c r="AG12" s="137">
        <f t="shared" si="4"/>
        <v>1787282</v>
      </c>
      <c r="AH12" s="137">
        <f t="shared" si="4"/>
        <v>1787282</v>
      </c>
      <c r="AI12" s="29">
        <f t="array" ref="AI12">AG12/(SUM(IF($C$5:$C$28=$C12,$AG$5:$AG$28,0)))</f>
        <v>6.3525441230448967E-2</v>
      </c>
    </row>
    <row r="13" spans="1:35" x14ac:dyDescent="0.25">
      <c r="A13" s="32" t="str">
        <f>Valores!A12</f>
        <v>UNIVERSIDAD DE LA SERENA</v>
      </c>
      <c r="B13" s="33" t="str">
        <f>Valores!B12</f>
        <v>ULS</v>
      </c>
      <c r="C13" s="34" t="str">
        <f>Valores!C12</f>
        <v>CRUCH-ESTATAL</v>
      </c>
      <c r="D13" s="34" t="str">
        <f>Valores!D12</f>
        <v>Categoría II</v>
      </c>
      <c r="E13" s="34" t="str">
        <f t="shared" si="0"/>
        <v>CRUCH-ESTATALCategoría II</v>
      </c>
      <c r="F13" s="35">
        <f>IFERROR(Valores!E12/Valores!F12*100,0)</f>
        <v>2.9440221147201107</v>
      </c>
      <c r="G13" s="36">
        <f>IFERROR(Valores!G12/Valores!H12,0)</f>
        <v>0.2893793947670103</v>
      </c>
      <c r="H13" s="36">
        <f>IFERROR((Valores!G12+Valores!I12+Valores!J12)/(Valores!H12),0)</f>
        <v>0.59020214079842115</v>
      </c>
      <c r="I13" s="36">
        <f>IFERROR(Valores!K12/Valores!H12,0)</f>
        <v>0.36492197189020914</v>
      </c>
      <c r="J13" s="36">
        <f>IFERROR(Valores!K12/Valores!G12,0)</f>
        <v>1.2610502975998719</v>
      </c>
      <c r="K13" s="36">
        <f>IFERROR(Valores!L12/Valores!M12,0)</f>
        <v>6.3745519713261647</v>
      </c>
      <c r="L13" s="36">
        <f>IFERROR(Valores!N12/Valores!O12,0)</f>
        <v>0.70626865671641792</v>
      </c>
      <c r="M13" s="36">
        <f>IFERROR(Valores!P12/Valores!Q12,0)</f>
        <v>0.76452410383189118</v>
      </c>
      <c r="N13" s="36">
        <f>IFERROR(Valores!R12/Valores!S12,0)</f>
        <v>0.59616573902288184</v>
      </c>
      <c r="O13" s="36">
        <f>IF(Valores!W12&gt;0,Valores!T12/Valores!W12,IF(AND(Valores!W12=0,OR(Valores!U12&gt;0,Valores!V12&gt;0)),0,IF(AND(Valores!W12=0,Valores!U12=0,Valores!V12=0),"NC",)))</f>
        <v>0</v>
      </c>
      <c r="P13" s="37">
        <f>IFERROR((Valores!X12+Valores!Y12)*1000/(Valores!H12),0)</f>
        <v>0</v>
      </c>
      <c r="Q13" s="38">
        <f t="array" ref="Q13">F13/MAX(IF($E$5:$E$28=$E13,F$5:F$28))</f>
        <v>0.67442329393857214</v>
      </c>
      <c r="R13" s="38">
        <f t="array" ref="R13">G13/MAX(IF($E$5:$E$28=$E13,G$5:G$28))</f>
        <v>0.59326281921768154</v>
      </c>
      <c r="S13" s="38">
        <f t="array" ref="S13">H13/MAX(IF($E$5:$E$28=$E13,H$5:H$28))</f>
        <v>0.6103009287345319</v>
      </c>
      <c r="T13" s="38">
        <f t="array" ref="T13">I13/MAX(IF($E$5:$E$28=$E13,I$5:I$28))</f>
        <v>0.31067748587667637</v>
      </c>
      <c r="U13" s="38">
        <f t="array" ref="U13">J13/MAX(IF($E$5:$E$28=$E13,J$5:J$28))</f>
        <v>0.5106162484114859</v>
      </c>
      <c r="V13" s="38">
        <f t="array" ref="V13">K13/MAX(IF($E$5:$E$28=$E13,K$5:K$28))</f>
        <v>0.88846718836916649</v>
      </c>
      <c r="W13" s="38">
        <f t="array" ref="W13">L13/MAX(IF($E$5:$E$28=$E13,L$5:L$28))</f>
        <v>0.85929353233830852</v>
      </c>
      <c r="X13" s="38">
        <f t="array" ref="X13">M13/MAX(IF($E$5:$E$28=$E13,M$5:M$28))</f>
        <v>0.89274819690836227</v>
      </c>
      <c r="Y13" s="38">
        <f t="array" ref="Y13">N13/MAX(IF($E$5:$E$28=$E13,N$5:N$28))</f>
        <v>0.81616640496599002</v>
      </c>
      <c r="Z13" s="38">
        <f t="array" ref="Z13">IF(O13="NC","NC",IF(O13=0,0,IF(O13&gt;0,O13/MAX(IF($E$5:$E$28=$E13,$O$5:$O$28,"ERROR")))))</f>
        <v>0</v>
      </c>
      <c r="AA13" s="39">
        <f t="array" ref="AA13">IF(P13=0,0,P13/MAX(IF($E$5:$E$28=$E13,$P$5:$P$28)))</f>
        <v>0</v>
      </c>
      <c r="AB13" s="18">
        <f t="shared" si="1"/>
        <v>0.55963237261461596</v>
      </c>
      <c r="AC13" s="18">
        <f t="array" ref="AC13">SUM(IF($E$5:$E$28=$E13,$AB$5:$AB$28,"ERROR"))</f>
        <v>5.8820969808605605</v>
      </c>
      <c r="AD13" s="43">
        <f t="shared" si="2"/>
        <v>9.5141643266946074E-2</v>
      </c>
      <c r="AE13" s="19">
        <f>VLOOKUP(E13,Categorías!$A$26:$E$29,5,0)</f>
        <v>16336394</v>
      </c>
      <c r="AF13" s="19">
        <f t="shared" si="3"/>
        <v>1554271.3702162784</v>
      </c>
      <c r="AG13" s="137">
        <f t="shared" si="4"/>
        <v>1554271</v>
      </c>
      <c r="AH13" s="137">
        <f t="shared" si="4"/>
        <v>1554271</v>
      </c>
      <c r="AI13" s="29">
        <f t="array" ref="AI13">AG13/(SUM(IF($C$5:$C$28=$C13,$AG$5:$AG$28,0)))</f>
        <v>5.5243521205210568E-2</v>
      </c>
    </row>
    <row r="14" spans="1:35" x14ac:dyDescent="0.25">
      <c r="A14" s="32" t="str">
        <f>Valores!A13</f>
        <v>UNIVERSIDAD DE PLAYA ANCHA CS. EDUCACIÓN</v>
      </c>
      <c r="B14" s="33" t="str">
        <f>Valores!B13</f>
        <v>UPA</v>
      </c>
      <c r="C14" s="34" t="str">
        <f>Valores!C13</f>
        <v>CRUCH-ESTATAL</v>
      </c>
      <c r="D14" s="34" t="str">
        <f>Valores!D13</f>
        <v>Categoría II</v>
      </c>
      <c r="E14" s="34" t="str">
        <f t="shared" si="0"/>
        <v>CRUCH-ESTATALCategoría II</v>
      </c>
      <c r="F14" s="35">
        <f>IFERROR(Valores!E13/Valores!F13*100,0)</f>
        <v>3.7819666226437745</v>
      </c>
      <c r="G14" s="36">
        <f>IFERROR(Valores!G13/Valores!H13,0)</f>
        <v>0.26411938814813324</v>
      </c>
      <c r="H14" s="36">
        <f>IFERROR((Valores!G13+Valores!I13+Valores!J13)/(Valores!H13),0)</f>
        <v>0.73838221524404024</v>
      </c>
      <c r="I14" s="36">
        <f>IFERROR(Valores!K13/Valores!H13,0)</f>
        <v>0.22745981261232284</v>
      </c>
      <c r="J14" s="36">
        <f>IFERROR(Valores!K13/Valores!G13,0)</f>
        <v>0.86120074034379623</v>
      </c>
      <c r="K14" s="36">
        <f>IFERROR(Valores!L13/Valores!M13,0)</f>
        <v>1.9189189189189189</v>
      </c>
      <c r="L14" s="36">
        <f>IFERROR(Valores!N13/Valores!O13,0)</f>
        <v>0.77956690727373679</v>
      </c>
      <c r="M14" s="36">
        <f>IFERROR(Valores!P13/Valores!Q13,0)</f>
        <v>0.76256499133448874</v>
      </c>
      <c r="N14" s="36">
        <f>IFERROR(Valores!R13/Valores!S13,0)</f>
        <v>0.55097765363128492</v>
      </c>
      <c r="O14" s="36">
        <f>IF(Valores!W13&gt;0,Valores!T13/Valores!W13,IF(AND(Valores!W13=0,OR(Valores!U13&gt;0,Valores!V13&gt;0)),0,IF(AND(Valores!W13=0,Valores!U13=0,Valores!V13=0),"NC",)))</f>
        <v>0</v>
      </c>
      <c r="P14" s="37">
        <f>IFERROR((Valores!X13+Valores!Y13)*1000/(Valores!H13),0)</f>
        <v>0</v>
      </c>
      <c r="Q14" s="38">
        <f t="array" ref="Q14">F14/MAX(IF($E$5:$E$28=$E14,F$5:F$28))</f>
        <v>0.8663815310543761</v>
      </c>
      <c r="R14" s="38">
        <f t="array" ref="R14">G14/MAX(IF($E$5:$E$28=$E14,G$5:G$28))</f>
        <v>0.54147674525675593</v>
      </c>
      <c r="S14" s="38">
        <f t="array" ref="S14">H14/MAX(IF($E$5:$E$28=$E14,H$5:H$28))</f>
        <v>0.76352713854084397</v>
      </c>
      <c r="T14" s="38">
        <f t="array" ref="T14">I14/MAX(IF($E$5:$E$28=$E14,I$5:I$28))</f>
        <v>0.19364863769188784</v>
      </c>
      <c r="U14" s="38">
        <f t="array" ref="U14">J14/MAX(IF($E$5:$E$28=$E14,J$5:J$28))</f>
        <v>0.34871177779387258</v>
      </c>
      <c r="V14" s="38">
        <f t="array" ref="V14">K14/MAX(IF($E$5:$E$28=$E14,K$5:K$28))</f>
        <v>0.26745354093420387</v>
      </c>
      <c r="W14" s="38">
        <f t="array" ref="W14">L14/MAX(IF($E$5:$E$28=$E14,L$5:L$28))</f>
        <v>0.94847307051637986</v>
      </c>
      <c r="X14" s="38">
        <f t="array" ref="X14">M14/MAX(IF($E$5:$E$28=$E14,M$5:M$28))</f>
        <v>0.89046050690509027</v>
      </c>
      <c r="Y14" s="38">
        <f t="array" ref="Y14">N14/MAX(IF($E$5:$E$28=$E14,N$5:N$28))</f>
        <v>0.75430274057325941</v>
      </c>
      <c r="Z14" s="38">
        <f t="array" ref="Z14">IF(O14="NC","NC",IF(O14=0,0,IF(O14&gt;0,O14/MAX(IF($E$5:$E$28=$E14,$O$5:$O$28,"ERROR")))))</f>
        <v>0</v>
      </c>
      <c r="AA14" s="39">
        <f t="array" ref="AA14">IF(P14=0,0,P14/MAX(IF($E$5:$E$28=$E14,$P$5:$P$28)))</f>
        <v>0</v>
      </c>
      <c r="AB14" s="18">
        <f t="shared" si="1"/>
        <v>0.50676688084242449</v>
      </c>
      <c r="AC14" s="18">
        <f t="array" ref="AC14">SUM(IF($E$5:$E$28=$E14,$AB$5:$AB$28,"ERROR"))</f>
        <v>5.8820969808605605</v>
      </c>
      <c r="AD14" s="43">
        <f t="shared" si="2"/>
        <v>8.615411858923204E-2</v>
      </c>
      <c r="AE14" s="19">
        <f>VLOOKUP(E14,Categorías!$A$26:$E$29,5,0)</f>
        <v>16336394</v>
      </c>
      <c r="AF14" s="19">
        <f t="shared" si="3"/>
        <v>1407447.6259964188</v>
      </c>
      <c r="AG14" s="137">
        <f t="shared" si="4"/>
        <v>1407448</v>
      </c>
      <c r="AH14" s="137">
        <f t="shared" si="4"/>
        <v>1407448</v>
      </c>
      <c r="AI14" s="29">
        <f t="array" ref="AI14">AG14/(SUM(IF($C$5:$C$28=$C14,$AG$5:$AG$28,0)))</f>
        <v>5.0024984982175696E-2</v>
      </c>
    </row>
    <row r="15" spans="1:35" x14ac:dyDescent="0.25">
      <c r="A15" s="32" t="str">
        <f>Valores!A14</f>
        <v>UNIVERSIDAD ARTURO PRAT</v>
      </c>
      <c r="B15" s="33" t="str">
        <f>Valores!B14</f>
        <v>UAP</v>
      </c>
      <c r="C15" s="34" t="str">
        <f>Valores!C14</f>
        <v>CRUCH-ESTATAL</v>
      </c>
      <c r="D15" s="34" t="str">
        <f>Valores!D14</f>
        <v>Categoría III</v>
      </c>
      <c r="E15" s="34" t="str">
        <f t="shared" si="0"/>
        <v>CRUCH-ESTATALCategoría III</v>
      </c>
      <c r="F15" s="35">
        <f>IFERROR(Valores!E14/Valores!F14*100,0)</f>
        <v>1.7593193453024731</v>
      </c>
      <c r="G15" s="36">
        <f>IFERROR(Valores!G14/Valores!H14,0)</f>
        <v>0.14519437891065806</v>
      </c>
      <c r="H15" s="36">
        <f>IFERROR((Valores!G14+Valores!I14+Valores!J14)/(Valores!H14),0)</f>
        <v>0.50102574623038443</v>
      </c>
      <c r="I15" s="36">
        <f>IFERROR(Valores!K14/Valores!H14,0)</f>
        <v>0.16924812801313022</v>
      </c>
      <c r="J15" s="36">
        <f>IFERROR(Valores!K14/Valores!G14,0)</f>
        <v>1.1656658424584951</v>
      </c>
      <c r="K15" s="36">
        <f>IFERROR(Valores!L14/Valores!M14,0)</f>
        <v>4.5120274914089347</v>
      </c>
      <c r="L15" s="36">
        <f>IFERROR(Valores!N14/Valores!O14,0)</f>
        <v>0.68143459915611815</v>
      </c>
      <c r="M15" s="36">
        <f>IFERROR(Valores!P14/Valores!Q14,0)</f>
        <v>0.71413390010626998</v>
      </c>
      <c r="N15" s="36">
        <f>IFERROR(Valores!R14/Valores!S14,0)</f>
        <v>0.5826446280991735</v>
      </c>
      <c r="O15" s="36" t="str">
        <f>IF(Valores!W14&gt;0,Valores!T14/Valores!W14,IF(AND(Valores!W14=0,OR(Valores!U14&gt;0,Valores!V14&gt;0)),0,IF(AND(Valores!W14=0,Valores!U14=0,Valores!V14=0),"NC",)))</f>
        <v>NC</v>
      </c>
      <c r="P15" s="37">
        <f>IFERROR((Valores!X14+Valores!Y14)*1000/(Valores!H14),0)</f>
        <v>0</v>
      </c>
      <c r="Q15" s="38">
        <f t="array" ref="Q15">F15/MAX(IF($E$5:$E$28=$E15,F$5:F$28))</f>
        <v>0.39763952406386227</v>
      </c>
      <c r="R15" s="38">
        <f t="array" ref="R15">G15/MAX(IF($E$5:$E$28=$E15,G$5:G$28))</f>
        <v>0.62652764448541309</v>
      </c>
      <c r="S15" s="38">
        <f t="array" ref="S15">H15/MAX(IF($E$5:$E$28=$E15,H$5:H$28))</f>
        <v>0.71118092448129921</v>
      </c>
      <c r="T15" s="38">
        <f t="array" ref="T15">I15/MAX(IF($E$5:$E$28=$E15,I$5:I$28))</f>
        <v>0.38026716371846492</v>
      </c>
      <c r="U15" s="38">
        <f t="array" ref="U15">J15/MAX(IF($E$5:$E$28=$E15,J$5:J$28))</f>
        <v>0.54939411718923059</v>
      </c>
      <c r="V15" s="38">
        <f t="array" ref="V15">K15/MAX(IF($E$5:$E$28=$E15,K$5:K$28))</f>
        <v>1</v>
      </c>
      <c r="W15" s="38">
        <f t="array" ref="W15">L15/MAX(IF($E$5:$E$28=$E15,L$5:L$28))</f>
        <v>0.901252211787124</v>
      </c>
      <c r="X15" s="38">
        <f t="array" ref="X15">M15/MAX(IF($E$5:$E$28=$E15,M$5:M$28))</f>
        <v>0.88630273765454892</v>
      </c>
      <c r="Y15" s="38">
        <f t="array" ref="Y15">N15/MAX(IF($E$5:$E$28=$E15,N$5:N$28))</f>
        <v>0.96542341133737486</v>
      </c>
      <c r="Z15" s="38" t="str">
        <f t="array" ref="Z15">IF(O15="NC","NC",IF(O15=0,0,IF(O15&gt;0,O15/MAX(IF($E$5:$E$28=$E15,$O$5:$O$28,"ERROR")))))</f>
        <v>NC</v>
      </c>
      <c r="AA15" s="39">
        <f t="array" ref="AA15">IF(P15=0,0,P15/MAX(IF($E$5:$E$28=$E15,$P$5:$P$28)))</f>
        <v>0</v>
      </c>
      <c r="AB15" s="18">
        <f t="shared" si="1"/>
        <v>0.64179877347173186</v>
      </c>
      <c r="AC15" s="18">
        <f t="array" ref="AC15">SUM(IF($E$5:$E$28=$E15,$AB$5:$AB$28,"ERROR"))</f>
        <v>3.4238771185657098</v>
      </c>
      <c r="AD15" s="43">
        <f t="shared" si="2"/>
        <v>0.18744795775281406</v>
      </c>
      <c r="AE15" s="19">
        <f>VLOOKUP(E15,Categorías!$A$26:$E$29,5,0)</f>
        <v>6353042</v>
      </c>
      <c r="AF15" s="19">
        <f t="shared" si="3"/>
        <v>1190864.7484178534</v>
      </c>
      <c r="AG15" s="137">
        <f t="shared" si="4"/>
        <v>1190865</v>
      </c>
      <c r="AH15" s="137">
        <f t="shared" si="4"/>
        <v>1190865</v>
      </c>
      <c r="AI15" s="29">
        <f t="array" ref="AI15">AG15/(SUM(IF($C$5:$C$28=$C15,$AG$5:$AG$28,0)))</f>
        <v>4.2326966069651355E-2</v>
      </c>
    </row>
    <row r="16" spans="1:35" x14ac:dyDescent="0.25">
      <c r="A16" s="32" t="str">
        <f>Valores!A15</f>
        <v>UNIVERSIDAD DE ATACAMA</v>
      </c>
      <c r="B16" s="33" t="str">
        <f>Valores!B15</f>
        <v>ATA</v>
      </c>
      <c r="C16" s="34" t="str">
        <f>Valores!C15</f>
        <v>CRUCH-ESTATAL</v>
      </c>
      <c r="D16" s="34" t="str">
        <f>Valores!D15</f>
        <v>Categoría III</v>
      </c>
      <c r="E16" s="34" t="str">
        <f t="shared" si="0"/>
        <v>CRUCH-ESTATALCategoría III</v>
      </c>
      <c r="F16" s="35">
        <f>IFERROR(Valores!E15/Valores!F15*100,0)</f>
        <v>3.7501961399654795</v>
      </c>
      <c r="G16" s="36">
        <f>IFERROR(Valores!G15/Valores!H15,0)</f>
        <v>0.18351896971806478</v>
      </c>
      <c r="H16" s="36">
        <f>IFERROR((Valores!G15+Valores!I15+Valores!J15)/(Valores!H15),0)</f>
        <v>0.45022624434389158</v>
      </c>
      <c r="I16" s="36">
        <f>IFERROR(Valores!K15/Valores!H15,0)</f>
        <v>0.19526627218934914</v>
      </c>
      <c r="J16" s="36">
        <f>IFERROR(Valores!K15/Valores!G15,0)</f>
        <v>1.0640113798008535</v>
      </c>
      <c r="K16" s="36">
        <f>IFERROR(Valores!L15/Valores!M15,0)</f>
        <v>2.76056338028169</v>
      </c>
      <c r="L16" s="36">
        <f>IFERROR(Valores!N15/Valores!O15,0)</f>
        <v>0.64114832535885169</v>
      </c>
      <c r="M16" s="36">
        <f>IFERROR(Valores!P15/Valores!Q15,0)</f>
        <v>0.7467980295566502</v>
      </c>
      <c r="N16" s="36">
        <f>IFERROR(Valores!R15/Valores!S15,0)</f>
        <v>0.52705410821643284</v>
      </c>
      <c r="O16" s="36" t="str">
        <f>IF(Valores!W15&gt;0,Valores!T15/Valores!W15,IF(AND(Valores!W15=0,OR(Valores!U15&gt;0,Valores!V15&gt;0)),0,IF(AND(Valores!W15=0,Valores!U15=0,Valores!V15=0),"NC",)))</f>
        <v>NC</v>
      </c>
      <c r="P16" s="37">
        <f>IFERROR((Valores!X15+Valores!Y15)*1000/(Valores!H15),0)</f>
        <v>0</v>
      </c>
      <c r="Q16" s="38">
        <f t="array" ref="Q16">F16/MAX(IF($E$5:$E$28=$E16,F$5:F$28))</f>
        <v>0.84761542139788482</v>
      </c>
      <c r="R16" s="38">
        <f t="array" ref="R16">G16/MAX(IF($E$5:$E$28=$E16,G$5:G$28))</f>
        <v>0.79190192263984982</v>
      </c>
      <c r="S16" s="38">
        <f t="array" ref="S16">H16/MAX(IF($E$5:$E$28=$E16,H$5:H$28))</f>
        <v>0.63907357872782755</v>
      </c>
      <c r="T16" s="38">
        <f t="array" ref="T16">I16/MAX(IF($E$5:$E$28=$E16,I$5:I$28))</f>
        <v>0.43872480225932553</v>
      </c>
      <c r="U16" s="38">
        <f t="array" ref="U16">J16/MAX(IF($E$5:$E$28=$E16,J$5:J$28))</f>
        <v>0.50148299057308876</v>
      </c>
      <c r="V16" s="38">
        <f t="array" ref="V16">K16/MAX(IF($E$5:$E$28=$E16,K$5:K$28))</f>
        <v>0.61182326249959773</v>
      </c>
      <c r="W16" s="38">
        <f t="array" ref="W16">L16/MAX(IF($E$5:$E$28=$E16,L$5:L$28))</f>
        <v>0.84797036579719098</v>
      </c>
      <c r="X16" s="38">
        <f t="array" ref="X16">M16/MAX(IF($E$5:$E$28=$E16,M$5:M$28))</f>
        <v>0.92684178411441653</v>
      </c>
      <c r="Y16" s="38">
        <f t="array" ref="Y16">N16/MAX(IF($E$5:$E$28=$E16,N$5:N$28))</f>
        <v>0.87331170764193011</v>
      </c>
      <c r="Z16" s="38" t="str">
        <f t="array" ref="Z16">IF(O16="NC","NC",IF(O16=0,0,IF(O16&gt;0,O16/MAX(IF($E$5:$E$28=$E16,$O$5:$O$28,"ERROR")))))</f>
        <v>NC</v>
      </c>
      <c r="AA16" s="39">
        <f t="array" ref="AA16">IF(P16=0,0,P16/MAX(IF($E$5:$E$28=$E16,$P$5:$P$28)))</f>
        <v>0</v>
      </c>
      <c r="AB16" s="18">
        <f t="shared" si="1"/>
        <v>0.64787458356511118</v>
      </c>
      <c r="AC16" s="18">
        <f t="array" ref="AC16">SUM(IF($E$5:$E$28=$E16,$AB$5:$AB$28,"ERROR"))</f>
        <v>3.4238771185657098</v>
      </c>
      <c r="AD16" s="43">
        <f t="shared" si="2"/>
        <v>0.18922249868491517</v>
      </c>
      <c r="AE16" s="19">
        <f>VLOOKUP(E16,Categorías!$A$26:$E$29,5,0)</f>
        <v>6353042</v>
      </c>
      <c r="AF16" s="19">
        <f t="shared" si="3"/>
        <v>1202138.4814902109</v>
      </c>
      <c r="AG16" s="137">
        <f t="shared" si="4"/>
        <v>1202138</v>
      </c>
      <c r="AH16" s="137">
        <f t="shared" si="4"/>
        <v>1202138</v>
      </c>
      <c r="AI16" s="29">
        <f t="array" ref="AI16">AG16/(SUM(IF($C$5:$C$28=$C16,$AG$5:$AG$28,0)))</f>
        <v>4.2727642794975533E-2</v>
      </c>
    </row>
    <row r="17" spans="1:35" x14ac:dyDescent="0.25">
      <c r="A17" s="32" t="str">
        <f>Valores!A16</f>
        <v>UNIVERSIDAD DE LOS LAGOS</v>
      </c>
      <c r="B17" s="33" t="str">
        <f>Valores!B16</f>
        <v>ULA</v>
      </c>
      <c r="C17" s="34" t="str">
        <f>Valores!C16</f>
        <v>CRUCH-ESTATAL</v>
      </c>
      <c r="D17" s="34" t="str">
        <f>Valores!D16</f>
        <v>Categoría II</v>
      </c>
      <c r="E17" s="34" t="str">
        <f t="shared" si="0"/>
        <v>CRUCH-ESTATALCategoría II</v>
      </c>
      <c r="F17" s="35">
        <f>IFERROR(Valores!E16/Valores!F16*100,0)</f>
        <v>2.8385444456301352</v>
      </c>
      <c r="G17" s="36">
        <f>IFERROR(Valores!G16/Valores!H16,0)</f>
        <v>0.1931871565519907</v>
      </c>
      <c r="H17" s="36">
        <f>IFERROR((Valores!G16+Valores!I16+Valores!J16)/(Valores!H16),0)</f>
        <v>0.56996068919172449</v>
      </c>
      <c r="I17" s="36">
        <f>IFERROR(Valores!K16/Valores!H16,0)</f>
        <v>0.24805616273916262</v>
      </c>
      <c r="J17" s="36">
        <f>IFERROR(Valores!K16/Valores!G16,0)</f>
        <v>1.2840199481501531</v>
      </c>
      <c r="K17" s="36">
        <f>IFERROR(Valores!L16/Valores!M16,0)</f>
        <v>3.3202099737532809</v>
      </c>
      <c r="L17" s="36">
        <f>IFERROR(Valores!N16/Valores!O16,0)</f>
        <v>0.82191780821917804</v>
      </c>
      <c r="M17" s="36">
        <f>IFERROR(Valores!P16/Valores!Q16,0)</f>
        <v>0.83471074380165289</v>
      </c>
      <c r="N17" s="36">
        <f>IFERROR(Valores!R16/Valores!S16,0)</f>
        <v>0.60699865410497977</v>
      </c>
      <c r="O17" s="36" t="str">
        <f>IF(Valores!W16&gt;0,Valores!T16/Valores!W16,IF(AND(Valores!W16=0,OR(Valores!U16&gt;0,Valores!V16&gt;0)),0,IF(AND(Valores!W16=0,Valores!U16=0,Valores!V16=0),"NC",)))</f>
        <v>NC</v>
      </c>
      <c r="P17" s="37">
        <f>IFERROR((Valores!X16+Valores!Y16)*1000/(Valores!H16),0)</f>
        <v>2.4560016112788379</v>
      </c>
      <c r="Q17" s="38">
        <f t="array" ref="Q17">F17/MAX(IF($E$5:$E$28=$E17,F$5:F$28))</f>
        <v>0.65026022917457438</v>
      </c>
      <c r="R17" s="38">
        <f t="array" ref="R17">G17/MAX(IF($E$5:$E$28=$E17,G$5:G$28))</f>
        <v>0.39605707664486212</v>
      </c>
      <c r="S17" s="38">
        <f t="array" ref="S17">H17/MAX(IF($E$5:$E$28=$E17,H$5:H$28))</f>
        <v>0.5893701732178025</v>
      </c>
      <c r="T17" s="38">
        <f t="array" ref="T17">I17/MAX(IF($E$5:$E$28=$E17,I$5:I$28))</f>
        <v>0.21118340613155717</v>
      </c>
      <c r="U17" s="38">
        <f t="array" ref="U17">J17/MAX(IF($E$5:$E$28=$E17,J$5:J$28))</f>
        <v>0.51991696925793451</v>
      </c>
      <c r="V17" s="38">
        <f t="array" ref="V17">K17/MAX(IF($E$5:$E$28=$E17,K$5:K$28))</f>
        <v>0.46276156088223774</v>
      </c>
      <c r="W17" s="38">
        <f t="array" ref="W17">L17/MAX(IF($E$5:$E$28=$E17,L$5:L$28))</f>
        <v>1</v>
      </c>
      <c r="X17" s="38">
        <f t="array" ref="X17">M17/MAX(IF($E$5:$E$28=$E17,M$5:M$28))</f>
        <v>0.9747063666586766</v>
      </c>
      <c r="Y17" s="38">
        <f t="array" ref="Y17">N17/MAX(IF($E$5:$E$28=$E17,N$5:N$28))</f>
        <v>0.83099694751335096</v>
      </c>
      <c r="Z17" s="38" t="str">
        <f t="array" ref="Z17">IF(O17="NC","NC",IF(O17=0,0,IF(O17&gt;0,O17/MAX(IF($E$5:$E$28=$E17,$O$5:$O$28,"ERROR")))))</f>
        <v>NC</v>
      </c>
      <c r="AA17" s="39">
        <f t="array" ref="AA17">IF(P17=0,0,P17/MAX(IF($E$5:$E$28=$E17,$P$5:$P$28)))</f>
        <v>0.36836340166765552</v>
      </c>
      <c r="AB17" s="18">
        <f t="shared" si="1"/>
        <v>0.60036161311486524</v>
      </c>
      <c r="AC17" s="18">
        <f t="array" ref="AC17">SUM(IF($E$5:$E$28=$E17,$AB$5:$AB$28,"ERROR"))</f>
        <v>5.8820969808605605</v>
      </c>
      <c r="AD17" s="43">
        <f t="shared" si="2"/>
        <v>0.10206591544960066</v>
      </c>
      <c r="AE17" s="19">
        <f>VLOOKUP(E17,Categorías!$A$26:$E$29,5,0)</f>
        <v>16336394</v>
      </c>
      <c r="AF17" s="19">
        <f t="shared" si="3"/>
        <v>1667389.0087553635</v>
      </c>
      <c r="AG17" s="137">
        <f t="shared" si="4"/>
        <v>1667389</v>
      </c>
      <c r="AH17" s="137">
        <f t="shared" si="4"/>
        <v>1667389</v>
      </c>
      <c r="AI17" s="29">
        <f t="array" ref="AI17">AG17/(SUM(IF($C$5:$C$28=$C17,$AG$5:$AG$28,0)))</f>
        <v>5.9264079159190929E-2</v>
      </c>
    </row>
    <row r="18" spans="1:35" x14ac:dyDescent="0.25">
      <c r="A18" s="32" t="str">
        <f>Valores!A17</f>
        <v>UNIVERSIDAD DE MAGALLANES</v>
      </c>
      <c r="B18" s="33" t="str">
        <f>Valores!B17</f>
        <v>MAG</v>
      </c>
      <c r="C18" s="34" t="str">
        <f>Valores!C17</f>
        <v>CRUCH-ESTATAL</v>
      </c>
      <c r="D18" s="34" t="str">
        <f>Valores!D17</f>
        <v>Categoría III</v>
      </c>
      <c r="E18" s="34" t="str">
        <f t="shared" si="0"/>
        <v>CRUCH-ESTATALCategoría III</v>
      </c>
      <c r="F18" s="35">
        <f>IFERROR(Valores!E17/Valores!F17*100,0)</f>
        <v>3.9593010395930106</v>
      </c>
      <c r="G18" s="36">
        <f>IFERROR(Valores!G17/Valores!H17,0)</f>
        <v>0.20977077495315233</v>
      </c>
      <c r="H18" s="36">
        <f>IFERROR((Valores!G17+Valores!I17+Valores!J17)/(Valores!H17),0)</f>
        <v>0.46942347186126115</v>
      </c>
      <c r="I18" s="36">
        <f>IFERROR(Valores!K17/Valores!H17,0)</f>
        <v>0.44507689372421061</v>
      </c>
      <c r="J18" s="36">
        <f>IFERROR(Valores!K17/Valores!G17,0)</f>
        <v>2.1217297491683897</v>
      </c>
      <c r="K18" s="36">
        <f>IFERROR(Valores!L17/Valores!M17,0)</f>
        <v>3.3</v>
      </c>
      <c r="L18" s="36">
        <f>IFERROR(Valores!N17/Valores!O17,0)</f>
        <v>0.5879194630872483</v>
      </c>
      <c r="M18" s="36">
        <f>IFERROR(Valores!P17/Valores!Q17,0)</f>
        <v>0.80059970014992499</v>
      </c>
      <c r="N18" s="36">
        <f>IFERROR(Valores!R17/Valores!S17,0)</f>
        <v>0.59834710743801656</v>
      </c>
      <c r="O18" s="36" t="str">
        <f>IF(Valores!W17&gt;0,Valores!T17/Valores!W17,IF(AND(Valores!W17=0,OR(Valores!U17&gt;0,Valores!V17&gt;0)),0,IF(AND(Valores!W17=0,Valores!U17=0,Valores!V17=0),"NC",)))</f>
        <v>NC</v>
      </c>
      <c r="P18" s="37">
        <f>IFERROR((Valores!X17+Valores!Y17)*1000/(Valores!H17),0)</f>
        <v>0</v>
      </c>
      <c r="Q18" s="38">
        <f t="array" ref="Q18">F18/MAX(IF($E$5:$E$28=$E18,F$5:F$28))</f>
        <v>0.8948770927876335</v>
      </c>
      <c r="R18" s="38">
        <f t="array" ref="R18">G18/MAX(IF($E$5:$E$28=$E18,G$5:G$28))</f>
        <v>0.90518097531963582</v>
      </c>
      <c r="S18" s="38">
        <f t="array" ref="S18">H18/MAX(IF($E$5:$E$28=$E18,H$5:H$28))</f>
        <v>0.66632308060672474</v>
      </c>
      <c r="T18" s="38">
        <f t="array" ref="T18">I18/MAX(IF($E$5:$E$28=$E18,I$5:I$28))</f>
        <v>1</v>
      </c>
      <c r="U18" s="38">
        <f t="array" ref="U18">J18/MAX(IF($E$5:$E$28=$E18,J$5:J$28))</f>
        <v>1</v>
      </c>
      <c r="V18" s="38">
        <f t="array" ref="V18">K18/MAX(IF($E$5:$E$28=$E18,K$5:K$28))</f>
        <v>0.73137852246763135</v>
      </c>
      <c r="W18" s="38">
        <f t="array" ref="W18">L18/MAX(IF($E$5:$E$28=$E18,L$5:L$28))</f>
        <v>0.77757090279281227</v>
      </c>
      <c r="X18" s="38">
        <f t="array" ref="X18">M18/MAX(IF($E$5:$E$28=$E18,M$5:M$28))</f>
        <v>0.99361437106220296</v>
      </c>
      <c r="Y18" s="38">
        <f t="array" ref="Y18">N18/MAX(IF($E$5:$E$28=$E18,N$5:N$28))</f>
        <v>0.99144191462164466</v>
      </c>
      <c r="Z18" s="38" t="str">
        <f t="array" ref="Z18">IF(O18="NC","NC",IF(O18=0,0,IF(O18&gt;0,O18/MAX(IF($E$5:$E$28=$E18,$O$5:$O$28,"ERROR")))))</f>
        <v>NC</v>
      </c>
      <c r="AA18" s="39">
        <f t="array" ref="AA18">IF(P18=0,0,P18/MAX(IF($E$5:$E$28=$E18,$P$5:$P$28)))</f>
        <v>0</v>
      </c>
      <c r="AB18" s="18">
        <f t="shared" si="1"/>
        <v>0.79603868596582861</v>
      </c>
      <c r="AC18" s="18">
        <f t="array" ref="AC18">SUM(IF($E$5:$E$28=$E18,$AB$5:$AB$28,"ERROR"))</f>
        <v>3.4238771185657098</v>
      </c>
      <c r="AD18" s="43">
        <f t="shared" si="2"/>
        <v>0.23249627787439281</v>
      </c>
      <c r="AE18" s="19">
        <f>VLOOKUP(E18,Categorías!$A$26:$E$29,5,0)</f>
        <v>6353042</v>
      </c>
      <c r="AF18" s="19">
        <f t="shared" si="3"/>
        <v>1477058.6181796882</v>
      </c>
      <c r="AG18" s="137">
        <f t="shared" si="4"/>
        <v>1477059</v>
      </c>
      <c r="AH18" s="137">
        <f t="shared" si="4"/>
        <v>1477059</v>
      </c>
      <c r="AI18" s="29">
        <f t="array" ref="AI18">AG18/(SUM(IF($C$5:$C$28=$C18,$AG$5:$AG$28,0)))</f>
        <v>5.2499171758237213E-2</v>
      </c>
    </row>
    <row r="19" spans="1:35" x14ac:dyDescent="0.25">
      <c r="A19" s="32" t="str">
        <f>Valores!A18</f>
        <v>UNIVERSIDAD METROPOLITANA DE CS.DE LA EDUCACIÓN</v>
      </c>
      <c r="B19" s="33" t="str">
        <f>Valores!B18</f>
        <v>UMC</v>
      </c>
      <c r="C19" s="34" t="str">
        <f>Valores!C18</f>
        <v>CRUCH-ESTATAL</v>
      </c>
      <c r="D19" s="34" t="str">
        <f>Valores!D18</f>
        <v>Categoría III</v>
      </c>
      <c r="E19" s="34" t="str">
        <f t="shared" si="0"/>
        <v>CRUCH-ESTATALCategoría III</v>
      </c>
      <c r="F19" s="35">
        <f>IFERROR(Valores!E18/Valores!F18*100,0)</f>
        <v>4.4244076326273856</v>
      </c>
      <c r="G19" s="36">
        <f>IFERROR(Valores!G18/Valores!H18,0)</f>
        <v>0.23174456895658735</v>
      </c>
      <c r="H19" s="36">
        <f>IFERROR((Valores!G18+Valores!I18+Valores!J18)/(Valores!H18),0)</f>
        <v>0.70449829148019993</v>
      </c>
      <c r="I19" s="36">
        <f>IFERROR(Valores!K18/Valores!H18,0)</f>
        <v>0.24505554035303639</v>
      </c>
      <c r="J19" s="36">
        <f>IFERROR(Valores!K18/Valores!G18,0)</f>
        <v>1.0574381158375392</v>
      </c>
      <c r="K19" s="36">
        <f>IFERROR(Valores!L18/Valores!M18,0)</f>
        <v>2.4833948339483394</v>
      </c>
      <c r="L19" s="36">
        <f>IFERROR(Valores!N18/Valores!O18,0)</f>
        <v>0.66479400749063666</v>
      </c>
      <c r="M19" s="36">
        <f>IFERROR(Valores!P18/Valores!Q18,0)</f>
        <v>0.78898305084745768</v>
      </c>
      <c r="N19" s="36">
        <f>IFERROR(Valores!R18/Valores!S18,0)</f>
        <v>0.60351201478743066</v>
      </c>
      <c r="O19" s="36">
        <f>IF(Valores!W18&gt;0,Valores!T18/Valores!W18,IF(AND(Valores!W18=0,OR(Valores!U18&gt;0,Valores!V18&gt;0)),0,IF(AND(Valores!W18=0,Valores!U18=0,Valores!V18=0),"NC",)))</f>
        <v>0</v>
      </c>
      <c r="P19" s="37">
        <f>IFERROR((Valores!X18+Valores!Y18)*1000/(Valores!H18),0)</f>
        <v>0</v>
      </c>
      <c r="Q19" s="38">
        <f t="array" ref="Q19">F19/MAX(IF($E$5:$E$28=$E19,F$5:F$28))</f>
        <v>1</v>
      </c>
      <c r="R19" s="38">
        <f t="array" ref="R19">G19/MAX(IF($E$5:$E$28=$E19,G$5:G$28))</f>
        <v>1</v>
      </c>
      <c r="S19" s="38">
        <f t="array" ref="S19">H19/MAX(IF($E$5:$E$28=$E19,H$5:H$28))</f>
        <v>1</v>
      </c>
      <c r="T19" s="38">
        <f t="array" ref="T19">I19/MAX(IF($E$5:$E$28=$E19,I$5:I$28))</f>
        <v>0.55059146814501603</v>
      </c>
      <c r="U19" s="38">
        <f t="array" ref="U19">J19/MAX(IF($E$5:$E$28=$E19,J$5:J$28))</f>
        <v>0.49838492213817581</v>
      </c>
      <c r="V19" s="38">
        <f t="array" ref="V19">K19/MAX(IF($E$5:$E$28=$E19,K$5:K$28))</f>
        <v>0.55039443768390461</v>
      </c>
      <c r="W19" s="38">
        <f t="array" ref="W19">L19/MAX(IF($E$5:$E$28=$E19,L$5:L$28))</f>
        <v>0.87924368732632585</v>
      </c>
      <c r="X19" s="38">
        <f t="array" ref="X19">M19/MAX(IF($E$5:$E$28=$E19,M$5:M$28))</f>
        <v>0.97919709150494139</v>
      </c>
      <c r="Y19" s="38">
        <f t="array" ref="Y19">N19/MAX(IF($E$5:$E$28=$E19,N$5:N$28))</f>
        <v>1</v>
      </c>
      <c r="Z19" s="38">
        <f t="array" ref="Z19">IF(O19="NC","NC",IF(O19=0,0,IF(O19&gt;0,O19/MAX(IF($E$5:$E$28=$E19,$O$5:$O$28,"ERROR")))))</f>
        <v>0</v>
      </c>
      <c r="AA19" s="39">
        <f t="array" ref="AA19">IF(P19=0,0,P19/MAX(IF($E$5:$E$28=$E19,$P$5:$P$28)))</f>
        <v>0</v>
      </c>
      <c r="AB19" s="18">
        <f t="shared" si="1"/>
        <v>0.67798287334530583</v>
      </c>
      <c r="AC19" s="18">
        <f t="array" ref="AC19">SUM(IF($E$5:$E$28=$E19,$AB$5:$AB$28,"ERROR"))</f>
        <v>3.4238771185657098</v>
      </c>
      <c r="AD19" s="43">
        <f t="shared" si="2"/>
        <v>0.19801612320401218</v>
      </c>
      <c r="AE19" s="19">
        <f>VLOOKUP(E19,Categorías!$A$26:$E$29,5,0)</f>
        <v>6353042</v>
      </c>
      <c r="AF19" s="19">
        <f t="shared" si="3"/>
        <v>1258004.747392264</v>
      </c>
      <c r="AG19" s="137">
        <f t="shared" si="4"/>
        <v>1258005</v>
      </c>
      <c r="AH19" s="137">
        <f t="shared" si="4"/>
        <v>1258005</v>
      </c>
      <c r="AI19" s="29">
        <f t="array" ref="AI19">AG19/(SUM(IF($C$5:$C$28=$C19,$AG$5:$AG$28,0)))</f>
        <v>4.4713325986112412E-2</v>
      </c>
    </row>
    <row r="20" spans="1:35" x14ac:dyDescent="0.25">
      <c r="A20" s="32" t="str">
        <f>Valores!A19</f>
        <v>UNIVERSIDAD TECNOLÓGICA METROPOLITANA</v>
      </c>
      <c r="B20" s="33" t="str">
        <f>Valores!B19</f>
        <v>UTM</v>
      </c>
      <c r="C20" s="34" t="str">
        <f>Valores!C19</f>
        <v>CRUCH-ESTATAL</v>
      </c>
      <c r="D20" s="34" t="str">
        <f>Valores!D19</f>
        <v>Categoría III</v>
      </c>
      <c r="E20" s="34" t="str">
        <f t="shared" si="0"/>
        <v>CRUCH-ESTATALCategoría III</v>
      </c>
      <c r="F20" s="35">
        <f>IFERROR(Valores!E19/Valores!F19*100,0)</f>
        <v>2.2665242672362642</v>
      </c>
      <c r="G20" s="36">
        <f>IFERROR(Valores!G19/Valores!H19,0)</f>
        <v>0.18581289966748349</v>
      </c>
      <c r="H20" s="36">
        <f>IFERROR((Valores!G19+Valores!I19+Valores!J19)/(Valores!H19),0)</f>
        <v>0.63013806712100118</v>
      </c>
      <c r="I20" s="36">
        <f>IFERROR(Valores!K19/Valores!H19,0)</f>
        <v>0.12017051467726605</v>
      </c>
      <c r="J20" s="36">
        <f>IFERROR(Valores!K19/Valores!G19,0)</f>
        <v>0.64672859038481179</v>
      </c>
      <c r="K20" s="36">
        <f>IFERROR(Valores!L19/Valores!M19,0)</f>
        <v>4.3406593406593403</v>
      </c>
      <c r="L20" s="36">
        <f>IFERROR(Valores!N19/Valores!O19,0)</f>
        <v>0.75609756097560976</v>
      </c>
      <c r="M20" s="36">
        <f>IFERROR(Valores!P19/Valores!Q19,0)</f>
        <v>0.80574488802336908</v>
      </c>
      <c r="N20" s="36">
        <f>IFERROR(Valores!R19/Valores!S19,0)</f>
        <v>0.51688609044075562</v>
      </c>
      <c r="O20" s="36" t="str">
        <f>IF(Valores!W19&gt;0,Valores!T19/Valores!W19,IF(AND(Valores!W19=0,OR(Valores!U19&gt;0,Valores!V19&gt;0)),0,IF(AND(Valores!W19=0,Valores!U19=0,Valores!V19=0),"NC",)))</f>
        <v>NC</v>
      </c>
      <c r="P20" s="37">
        <f>IFERROR((Valores!X19+Valores!Y19)*1000/(Valores!H19),0)</f>
        <v>0</v>
      </c>
      <c r="Q20" s="38">
        <f t="array" ref="Q20">F20/MAX(IF($E$5:$E$28=$E20,F$5:F$28))</f>
        <v>0.51227745168008265</v>
      </c>
      <c r="R20" s="38">
        <f t="array" ref="R20">G20/MAX(IF($E$5:$E$28=$E20,G$5:G$28))</f>
        <v>0.80180044996994848</v>
      </c>
      <c r="S20" s="38">
        <f t="array" ref="S20">H20/MAX(IF($E$5:$E$28=$E20,H$5:H$28))</f>
        <v>0.8944493900716739</v>
      </c>
      <c r="T20" s="38">
        <f t="array" ref="T20">I20/MAX(IF($E$5:$E$28=$E20,I$5:I$28))</f>
        <v>0.2699994458749167</v>
      </c>
      <c r="U20" s="38">
        <f t="array" ref="U20">J20/MAX(IF($E$5:$E$28=$E20,J$5:J$28))</f>
        <v>0.30481195384958737</v>
      </c>
      <c r="V20" s="38">
        <f t="array" ref="V20">K20/MAX(IF($E$5:$E$28=$E20,K$5:K$28))</f>
        <v>0.96201970154750038</v>
      </c>
      <c r="W20" s="38">
        <f t="array" ref="W20">L20/MAX(IF($E$5:$E$28=$E20,L$5:L$28))</f>
        <v>1</v>
      </c>
      <c r="X20" s="38">
        <f t="array" ref="X20">M20/MAX(IF($E$5:$E$28=$E20,M$5:M$28))</f>
        <v>1</v>
      </c>
      <c r="Y20" s="38">
        <f t="array" ref="Y20">N20/MAX(IF($E$5:$E$28=$E20,N$5:N$28))</f>
        <v>0.85646362918361041</v>
      </c>
      <c r="Z20" s="38" t="str">
        <f t="array" ref="Z20">IF(O20="NC","NC",IF(O20=0,0,IF(O20&gt;0,O20/MAX(IF($E$5:$E$28=$E20,$O$5:$O$28,"ERROR")))))</f>
        <v>NC</v>
      </c>
      <c r="AA20" s="39">
        <f t="array" ref="AA20">IF(P20=0,0,P20/MAX(IF($E$5:$E$28=$E20,$P$5:$P$28)))</f>
        <v>0</v>
      </c>
      <c r="AB20" s="18">
        <f t="shared" si="1"/>
        <v>0.66018220221773205</v>
      </c>
      <c r="AC20" s="18">
        <f t="array" ref="AC20">SUM(IF($E$5:$E$28=$E20,$AB$5:$AB$28,"ERROR"))</f>
        <v>3.4238771185657098</v>
      </c>
      <c r="AD20" s="43">
        <f t="shared" si="2"/>
        <v>0.19281714248386572</v>
      </c>
      <c r="AE20" s="19">
        <f>VLOOKUP(E20,Categorías!$A$26:$E$29,5,0)</f>
        <v>6353042</v>
      </c>
      <c r="AF20" s="19">
        <f t="shared" si="3"/>
        <v>1224975.4045199833</v>
      </c>
      <c r="AG20" s="137">
        <f t="shared" si="4"/>
        <v>1224975</v>
      </c>
      <c r="AH20" s="137">
        <f t="shared" si="4"/>
        <v>1224975</v>
      </c>
      <c r="AI20" s="29">
        <f t="array" ref="AI20">AG20/(SUM(IF($C$5:$C$28=$C20,$AG$5:$AG$28,0)))</f>
        <v>4.3539339271177813E-2</v>
      </c>
    </row>
    <row r="21" spans="1:35" x14ac:dyDescent="0.25">
      <c r="A21" s="32" t="str">
        <f>Valores!A20</f>
        <v>U. DE O'HIGGINS</v>
      </c>
      <c r="B21" s="33" t="str">
        <f>Valores!B20</f>
        <v>URO</v>
      </c>
      <c r="C21" s="34" t="str">
        <f>Valores!C20</f>
        <v>CRUCH-ESTATAL</v>
      </c>
      <c r="D21" s="34" t="str">
        <f>Valores!D20</f>
        <v>Categoría III</v>
      </c>
      <c r="E21" s="34" t="str">
        <f>CONCATENATE(C21,D21)</f>
        <v>CRUCH-ESTATALCategoría III</v>
      </c>
      <c r="F21" s="35">
        <f>IFERROR(Valores!E20/Valores!F20*100,0)</f>
        <v>0</v>
      </c>
      <c r="G21" s="36">
        <f>IFERROR(Valores!G20/Valores!H20,0)</f>
        <v>0</v>
      </c>
      <c r="H21" s="36">
        <f>IFERROR((Valores!G20+Valores!I20+Valores!J20)/(Valores!H20),0)</f>
        <v>0</v>
      </c>
      <c r="I21" s="36">
        <f>IFERROR(Valores!K20/Valores!H20,0)</f>
        <v>0</v>
      </c>
      <c r="J21" s="36">
        <f>IFERROR(Valores!K20/Valores!G20,0)</f>
        <v>0</v>
      </c>
      <c r="K21" s="36">
        <f>IFERROR(Valores!L20/Valores!M20,0)</f>
        <v>0</v>
      </c>
      <c r="L21" s="36">
        <f>IFERROR(Valores!N20/Valores!O20,0)</f>
        <v>0</v>
      </c>
      <c r="M21" s="36">
        <f>IFERROR(Valores!P20/Valores!Q20,0)</f>
        <v>0</v>
      </c>
      <c r="N21" s="36">
        <f>IFERROR(Valores!R20/Valores!S20,0)</f>
        <v>0</v>
      </c>
      <c r="O21" s="36" t="str">
        <f>IF(Valores!W20&gt;0,Valores!T20/Valores!W20,IF(AND(Valores!W20=0,OR(Valores!U20&gt;0,Valores!V20&gt;0)),0,IF(AND(Valores!W20=0,Valores!U20=0,Valores!V20=0),"NC",)))</f>
        <v>NC</v>
      </c>
      <c r="P21" s="37">
        <f>IFERROR((Valores!X20+Valores!Y20)*1000/(Valores!H20),0)</f>
        <v>0</v>
      </c>
      <c r="Q21" s="38">
        <f t="array" ref="Q21">F21/MAX(IF($E$5:$E$28=$E21,F$5:F$28))</f>
        <v>0</v>
      </c>
      <c r="R21" s="38">
        <f t="array" ref="R21">G21/MAX(IF($E$5:$E$28=$E21,G$5:G$28))</f>
        <v>0</v>
      </c>
      <c r="S21" s="38">
        <f t="array" ref="S21">H21/MAX(IF($E$5:$E$28=$E21,H$5:H$28))</f>
        <v>0</v>
      </c>
      <c r="T21" s="38">
        <f t="array" ref="T21">I21/MAX(IF($E$5:$E$28=$E21,I$5:I$28))</f>
        <v>0</v>
      </c>
      <c r="U21" s="38">
        <f t="array" ref="U21">J21/MAX(IF($E$5:$E$28=$E21,J$5:J$28))</f>
        <v>0</v>
      </c>
      <c r="V21" s="38">
        <f t="array" ref="V21">K21/MAX(IF($E$5:$E$28=$E21,K$5:K$28))</f>
        <v>0</v>
      </c>
      <c r="W21" s="38">
        <f t="array" ref="W21">L21/MAX(IF($E$5:$E$28=$E21,L$5:L$28))</f>
        <v>0</v>
      </c>
      <c r="X21" s="38">
        <f t="array" ref="X21">M21/MAX(IF($E$5:$E$28=$E21,M$5:M$28))</f>
        <v>0</v>
      </c>
      <c r="Y21" s="38">
        <f t="array" ref="Y21">N21/MAX(IF($E$5:$E$28=$E21,N$5:N$28))</f>
        <v>0</v>
      </c>
      <c r="Z21" s="38" t="str">
        <f t="array" ref="Z21">IF(O21="NC","NC",IF(O21=0,0,IF(O21&gt;0,O21/MAX(IF($E$5:$E$28=$E21,$O$5:$O$28,"ERROR")))))</f>
        <v>NC</v>
      </c>
      <c r="AA21" s="39">
        <f t="array" ref="AA21">IF(P21=0,0,P21/MAX(IF($E$5:$E$28=$E21,$P$5:$P$28)))</f>
        <v>0</v>
      </c>
      <c r="AB21" s="18">
        <f>IF(Z21="NC",(SUM(Q21:Y21)+AA21)/(COUNTA(Q21:Y21)+COUNTA(AA21)),AVERAGE(Q21:AA21))</f>
        <v>0</v>
      </c>
      <c r="AC21" s="18">
        <f t="array" ref="AC21">SUM(IF($E$5:$E$28=$E21,$AB$5:$AB$28,"ERROR"))</f>
        <v>3.4238771185657098</v>
      </c>
      <c r="AD21" s="43">
        <f>AB21/AC21</f>
        <v>0</v>
      </c>
      <c r="AE21" s="19">
        <f>VLOOKUP(E21,Categorías!$A$26:$E$29,5,0)</f>
        <v>6353042</v>
      </c>
      <c r="AF21" s="19">
        <f>AD21*AE21</f>
        <v>0</v>
      </c>
      <c r="AG21" s="137">
        <f>ROUND(AF21,0)</f>
        <v>0</v>
      </c>
      <c r="AH21" s="137">
        <f>ROUND(AG21,0)</f>
        <v>0</v>
      </c>
      <c r="AI21" s="29">
        <f t="array" ref="AI21">AG21/(SUM(IF($C$5:$C$28=$C21,$AG$5:$AG$28,0)))</f>
        <v>0</v>
      </c>
    </row>
    <row r="22" spans="1:35" x14ac:dyDescent="0.25">
      <c r="A22" s="32" t="str">
        <f>Valores!A21</f>
        <v>U. DE AYSÉN</v>
      </c>
      <c r="B22" s="33" t="str">
        <f>Valores!B21</f>
        <v>URY</v>
      </c>
      <c r="C22" s="34" t="str">
        <f>Valores!C21</f>
        <v>CRUCH-ESTATAL</v>
      </c>
      <c r="D22" s="34" t="str">
        <f>Valores!D21</f>
        <v>Categoría III</v>
      </c>
      <c r="E22" s="34" t="str">
        <f>CONCATENATE(C22,D22)</f>
        <v>CRUCH-ESTATALCategoría III</v>
      </c>
      <c r="F22" s="35">
        <f>IFERROR(Valores!E21/Valores!F21*100,0)</f>
        <v>0</v>
      </c>
      <c r="G22" s="36">
        <f>IFERROR(Valores!G21/Valores!H21,0)</f>
        <v>0</v>
      </c>
      <c r="H22" s="36">
        <f>IFERROR((Valores!G21+Valores!I21+Valores!J21)/(Valores!H21),0)</f>
        <v>0</v>
      </c>
      <c r="I22" s="36">
        <f>IFERROR(Valores!K21/Valores!H21,0)</f>
        <v>0</v>
      </c>
      <c r="J22" s="36">
        <f>IFERROR(Valores!K21/Valores!G21,0)</f>
        <v>0</v>
      </c>
      <c r="K22" s="36">
        <f>IFERROR(Valores!L21/Valores!M21,0)</f>
        <v>0</v>
      </c>
      <c r="L22" s="36">
        <f>IFERROR(Valores!N21/Valores!O21,0)</f>
        <v>0</v>
      </c>
      <c r="M22" s="36">
        <f>IFERROR(Valores!P21/Valores!Q21,0)</f>
        <v>0</v>
      </c>
      <c r="N22" s="36">
        <f>IFERROR(Valores!R21/Valores!S21,0)</f>
        <v>0</v>
      </c>
      <c r="O22" s="36" t="str">
        <f>IF(Valores!W21&gt;0,Valores!T21/Valores!W21,IF(AND(Valores!W21=0,OR(Valores!U21&gt;0,Valores!V21&gt;0)),0,IF(AND(Valores!W21=0,Valores!U21=0,Valores!V21=0),"NC",)))</f>
        <v>NC</v>
      </c>
      <c r="P22" s="37">
        <f>IFERROR((Valores!X21+Valores!Y21)*1000/(Valores!H21),0)</f>
        <v>0</v>
      </c>
      <c r="Q22" s="38">
        <f t="array" ref="Q22">F22/MAX(IF($E$5:$E$28=$E22,F$5:F$28))</f>
        <v>0</v>
      </c>
      <c r="R22" s="38">
        <f t="array" ref="R22">G22/MAX(IF($E$5:$E$28=$E22,G$5:G$28))</f>
        <v>0</v>
      </c>
      <c r="S22" s="38">
        <f t="array" ref="S22">H22/MAX(IF($E$5:$E$28=$E22,H$5:H$28))</f>
        <v>0</v>
      </c>
      <c r="T22" s="38">
        <f t="array" ref="T22">I22/MAX(IF($E$5:$E$28=$E22,I$5:I$28))</f>
        <v>0</v>
      </c>
      <c r="U22" s="38">
        <f t="array" ref="U22">J22/MAX(IF($E$5:$E$28=$E22,J$5:J$28))</f>
        <v>0</v>
      </c>
      <c r="V22" s="38">
        <f t="array" ref="V22">K22/MAX(IF($E$5:$E$28=$E22,K$5:K$28))</f>
        <v>0</v>
      </c>
      <c r="W22" s="38">
        <f t="array" ref="W22">L22/MAX(IF($E$5:$E$28=$E22,L$5:L$28))</f>
        <v>0</v>
      </c>
      <c r="X22" s="38">
        <f t="array" ref="X22">M22/MAX(IF($E$5:$E$28=$E22,M$5:M$28))</f>
        <v>0</v>
      </c>
      <c r="Y22" s="38">
        <f t="array" ref="Y22">N22/MAX(IF($E$5:$E$28=$E22,N$5:N$28))</f>
        <v>0</v>
      </c>
      <c r="Z22" s="38" t="str">
        <f t="array" ref="Z22">IF(O22="NC","NC",IF(O22=0,0,IF(O22&gt;0,O22/MAX(IF($E$5:$E$28=$E22,$O$5:$O$28,"ERROR")))))</f>
        <v>NC</v>
      </c>
      <c r="AA22" s="39">
        <f t="array" ref="AA22">IF(P22=0,0,P22/MAX(IF($E$5:$E$28=$E22,$P$5:$P$28)))</f>
        <v>0</v>
      </c>
      <c r="AB22" s="18">
        <f>IF(Z22="NC",(SUM(Q22:Y22)+AA22)/(COUNTA(Q22:Y22)+COUNTA(AA22)),AVERAGE(Q22:AA22))</f>
        <v>0</v>
      </c>
      <c r="AC22" s="18">
        <f t="array" ref="AC22">SUM(IF($E$5:$E$28=$E22,$AB$5:$AB$28,"ERROR"))</f>
        <v>3.4238771185657098</v>
      </c>
      <c r="AD22" s="43">
        <f>AB22/AC22</f>
        <v>0</v>
      </c>
      <c r="AE22" s="19">
        <f>VLOOKUP(E22,Categorías!$A$26:$E$29,5,0)</f>
        <v>6353042</v>
      </c>
      <c r="AF22" s="19">
        <f>AD22*AE22</f>
        <v>0</v>
      </c>
      <c r="AG22" s="137">
        <f>ROUND(AF22,0)</f>
        <v>0</v>
      </c>
      <c r="AH22" s="137">
        <f>ROUND(AG22,0)</f>
        <v>0</v>
      </c>
      <c r="AI22" s="29">
        <f t="array" ref="AI22">AG22/(SUM(IF($C$5:$C$28=$C22,$AG$5:$AG$28,0)))</f>
        <v>0</v>
      </c>
    </row>
    <row r="31" spans="1:35" x14ac:dyDescent="0.25">
      <c r="AE31" s="1"/>
      <c r="AF31" s="44"/>
      <c r="AG31" s="44"/>
      <c r="AI31" s="44"/>
    </row>
    <row r="32" spans="1:35" x14ac:dyDescent="0.25">
      <c r="AE32" s="1"/>
      <c r="AF32" s="44"/>
      <c r="AG32" s="44"/>
      <c r="AI32" s="44"/>
    </row>
    <row r="33" spans="31:35" x14ac:dyDescent="0.25">
      <c r="AE33" s="1"/>
      <c r="AF33" s="44"/>
      <c r="AG33" s="44"/>
      <c r="AI33" s="44"/>
    </row>
    <row r="34" spans="31:35" x14ac:dyDescent="0.25">
      <c r="AE34" s="1"/>
      <c r="AF34" s="44"/>
      <c r="AG34" s="44"/>
      <c r="AI34" s="44"/>
    </row>
    <row r="35" spans="31:35" x14ac:dyDescent="0.25">
      <c r="AE35" s="1"/>
      <c r="AF35" s="44"/>
      <c r="AG35" s="44"/>
      <c r="AI35" s="44"/>
    </row>
    <row r="36" spans="31:35" x14ac:dyDescent="0.25">
      <c r="AE36" s="1"/>
      <c r="AF36" s="44"/>
      <c r="AG36" s="44"/>
      <c r="AI36" s="44"/>
    </row>
    <row r="37" spans="31:35" x14ac:dyDescent="0.25">
      <c r="AE37" s="1"/>
      <c r="AF37" s="44"/>
      <c r="AG37" s="44"/>
      <c r="AI37" s="44"/>
    </row>
    <row r="38" spans="31:35" x14ac:dyDescent="0.25">
      <c r="AE38" s="1"/>
      <c r="AF38" s="44"/>
      <c r="AG38" s="44"/>
      <c r="AI38" s="44"/>
    </row>
    <row r="39" spans="31:35" x14ac:dyDescent="0.25">
      <c r="AE39" s="1"/>
      <c r="AF39" s="44"/>
      <c r="AG39" s="44"/>
      <c r="AI39" s="44"/>
    </row>
    <row r="40" spans="31:35" x14ac:dyDescent="0.25">
      <c r="AE40" s="1"/>
      <c r="AF40" s="44"/>
      <c r="AG40" s="44"/>
      <c r="AI40" s="44"/>
    </row>
    <row r="41" spans="31:35" x14ac:dyDescent="0.25">
      <c r="AE41" s="1"/>
      <c r="AF41" s="44"/>
      <c r="AG41" s="44"/>
      <c r="AI41" s="44"/>
    </row>
    <row r="42" spans="31:35" x14ac:dyDescent="0.25">
      <c r="AE42" s="1"/>
      <c r="AF42" s="44"/>
      <c r="AG42" s="44"/>
      <c r="AI42" s="44"/>
    </row>
    <row r="43" spans="31:35" x14ac:dyDescent="0.25">
      <c r="AE43" s="1"/>
      <c r="AF43" s="44"/>
      <c r="AG43" s="44"/>
      <c r="AI43" s="44"/>
    </row>
    <row r="44" spans="31:35" x14ac:dyDescent="0.25">
      <c r="AE44" s="1"/>
      <c r="AF44" s="44"/>
      <c r="AG44" s="44"/>
      <c r="AI44" s="44"/>
    </row>
    <row r="45" spans="31:35" x14ac:dyDescent="0.25">
      <c r="AE45" s="1"/>
      <c r="AF45" s="44"/>
      <c r="AG45" s="44"/>
      <c r="AI45" s="44"/>
    </row>
    <row r="46" spans="31:35" x14ac:dyDescent="0.25">
      <c r="AE46" s="1"/>
      <c r="AF46" s="44"/>
      <c r="AG46" s="44"/>
      <c r="AI46" s="44"/>
    </row>
    <row r="47" spans="31:35" x14ac:dyDescent="0.25">
      <c r="AE47" s="1"/>
      <c r="AF47" s="44"/>
      <c r="AG47" s="44"/>
      <c r="AI47" s="44"/>
    </row>
    <row r="48" spans="31:35" x14ac:dyDescent="0.25">
      <c r="AE48" s="1"/>
      <c r="AF48" s="44"/>
      <c r="AG48" s="44"/>
      <c r="AI48" s="44"/>
    </row>
    <row r="49" spans="17:35" x14ac:dyDescent="0.25">
      <c r="AE49" s="1"/>
      <c r="AF49" s="44"/>
      <c r="AG49" s="44"/>
      <c r="AI49" s="44"/>
    </row>
    <row r="50" spans="17:35" x14ac:dyDescent="0.25">
      <c r="AE50" s="1"/>
      <c r="AF50" s="44"/>
      <c r="AG50" s="44"/>
      <c r="AI50" s="44"/>
    </row>
    <row r="51" spans="17:35" x14ac:dyDescent="0.25">
      <c r="AE51" s="1"/>
      <c r="AF51" s="44"/>
      <c r="AG51" s="44"/>
      <c r="AI51" s="44"/>
    </row>
    <row r="52" spans="17:35" x14ac:dyDescent="0.25">
      <c r="AE52" s="1"/>
      <c r="AF52" s="44"/>
      <c r="AG52" s="44"/>
      <c r="AI52" s="44"/>
    </row>
    <row r="53" spans="17:35" x14ac:dyDescent="0.25">
      <c r="AE53" s="1"/>
      <c r="AF53" s="44"/>
      <c r="AG53" s="44"/>
      <c r="AI53" s="44"/>
    </row>
    <row r="54" spans="17:35" x14ac:dyDescent="0.25">
      <c r="AE54" s="1"/>
      <c r="AF54" s="44"/>
      <c r="AG54" s="44"/>
      <c r="AI54" s="44"/>
    </row>
    <row r="55" spans="17:35" x14ac:dyDescent="0.25">
      <c r="AE55" s="1"/>
      <c r="AF55" s="44"/>
      <c r="AG55" s="44"/>
      <c r="AI55" s="44"/>
    </row>
    <row r="56" spans="17:35" x14ac:dyDescent="0.25">
      <c r="AE56" s="1"/>
      <c r="AF56" s="44"/>
      <c r="AG56" s="44"/>
      <c r="AI56" s="44"/>
    </row>
    <row r="57" spans="17:35" x14ac:dyDescent="0.25">
      <c r="AE57" s="1"/>
      <c r="AF57" s="44"/>
      <c r="AG57" s="44"/>
      <c r="AI57" s="44"/>
    </row>
    <row r="58" spans="17:35" x14ac:dyDescent="0.25">
      <c r="Q58" s="48">
        <f>Q5-Q22</f>
        <v>1</v>
      </c>
      <c r="R58" s="48">
        <f>R5-R22</f>
        <v>1</v>
      </c>
      <c r="S58" s="48">
        <f>S5-S22</f>
        <v>1</v>
      </c>
      <c r="T58" s="48">
        <f>T5-T22</f>
        <v>1</v>
      </c>
      <c r="U58" s="48">
        <f>U5-U22</f>
        <v>1</v>
      </c>
      <c r="V58" s="48"/>
      <c r="W58" s="48"/>
      <c r="X58" s="48"/>
      <c r="Y58" s="48"/>
      <c r="Z58" s="48"/>
      <c r="AA58" s="48"/>
      <c r="AB58" s="48"/>
      <c r="AC58" s="48"/>
      <c r="AD58" s="48"/>
      <c r="AE58" s="1"/>
      <c r="AF58" s="44"/>
      <c r="AG58" s="44"/>
      <c r="AI58" s="44"/>
    </row>
    <row r="59" spans="17:35" x14ac:dyDescent="0.25">
      <c r="Q59" s="48">
        <f t="shared" ref="Q59:U73" si="5">Q6-Q28</f>
        <v>0.66742559946045998</v>
      </c>
      <c r="R59" s="48">
        <f t="shared" si="5"/>
        <v>0.81598729529381664</v>
      </c>
      <c r="S59" s="48">
        <f t="shared" si="5"/>
        <v>0.91379526818974577</v>
      </c>
      <c r="T59" s="48">
        <f t="shared" si="5"/>
        <v>0.48975623206062152</v>
      </c>
      <c r="U59" s="48">
        <f t="shared" si="5"/>
        <v>0.6002008056807705</v>
      </c>
      <c r="V59" s="48"/>
      <c r="W59" s="48"/>
      <c r="X59" s="48"/>
      <c r="Y59" s="48"/>
      <c r="Z59" s="48"/>
      <c r="AA59" s="48"/>
      <c r="AB59" s="48"/>
      <c r="AC59" s="48"/>
      <c r="AD59" s="48"/>
      <c r="AE59" s="1"/>
      <c r="AF59" s="44"/>
      <c r="AG59" s="44"/>
      <c r="AI59" s="44"/>
    </row>
    <row r="60" spans="17:35" x14ac:dyDescent="0.25">
      <c r="Q60" s="48">
        <f t="shared" si="5"/>
        <v>1</v>
      </c>
      <c r="R60" s="48">
        <f t="shared" si="5"/>
        <v>0.68959302540943124</v>
      </c>
      <c r="S60" s="48">
        <f t="shared" si="5"/>
        <v>0.71236782330726345</v>
      </c>
      <c r="T60" s="48">
        <f t="shared" si="5"/>
        <v>0.42701011380420439</v>
      </c>
      <c r="U60" s="48">
        <f t="shared" si="5"/>
        <v>0.60377799485334205</v>
      </c>
      <c r="V60" s="48"/>
      <c r="W60" s="48"/>
      <c r="X60" s="48"/>
      <c r="Y60" s="48"/>
      <c r="Z60" s="48"/>
      <c r="AA60" s="48"/>
      <c r="AB60" s="48"/>
      <c r="AC60" s="48"/>
      <c r="AD60" s="48"/>
      <c r="AE60" s="1"/>
      <c r="AF60" s="44"/>
      <c r="AG60" s="44"/>
      <c r="AI60" s="44"/>
    </row>
    <row r="61" spans="17:35" x14ac:dyDescent="0.25">
      <c r="Q61" s="48">
        <f t="shared" si="5"/>
        <v>0.64103863391499849</v>
      </c>
      <c r="R61" s="48">
        <f t="shared" si="5"/>
        <v>0.97506143458107619</v>
      </c>
      <c r="S61" s="48">
        <f t="shared" si="5"/>
        <v>0.83532481156503302</v>
      </c>
      <c r="T61" s="48">
        <f t="shared" si="5"/>
        <v>1</v>
      </c>
      <c r="U61" s="48">
        <f t="shared" si="5"/>
        <v>1</v>
      </c>
      <c r="V61" s="48"/>
      <c r="W61" s="48"/>
      <c r="X61" s="48"/>
      <c r="Y61" s="48"/>
      <c r="Z61" s="48"/>
      <c r="AA61" s="48"/>
      <c r="AB61" s="48"/>
      <c r="AC61" s="48"/>
      <c r="AD61" s="48"/>
      <c r="AG61" s="44"/>
      <c r="AI61" s="44"/>
    </row>
    <row r="62" spans="17:35" x14ac:dyDescent="0.25">
      <c r="Q62" s="48">
        <f t="shared" si="5"/>
        <v>0.7590075491840782</v>
      </c>
      <c r="R62" s="48">
        <f t="shared" si="5"/>
        <v>1</v>
      </c>
      <c r="S62" s="48">
        <f t="shared" si="5"/>
        <v>1</v>
      </c>
      <c r="T62" s="48">
        <f t="shared" si="5"/>
        <v>0.71331611754549196</v>
      </c>
      <c r="U62" s="48">
        <f t="shared" si="5"/>
        <v>0.69552703688371098</v>
      </c>
      <c r="V62" s="48"/>
      <c r="W62" s="48"/>
      <c r="X62" s="48"/>
      <c r="Y62" s="48"/>
      <c r="Z62" s="48"/>
      <c r="AA62" s="48"/>
      <c r="AB62" s="48"/>
      <c r="AC62" s="48"/>
      <c r="AD62" s="48"/>
    </row>
    <row r="63" spans="17:35" x14ac:dyDescent="0.25">
      <c r="Q63" s="48">
        <f t="shared" si="5"/>
        <v>0.8514467184191955</v>
      </c>
      <c r="R63" s="48">
        <f t="shared" si="5"/>
        <v>0.68905248250745832</v>
      </c>
      <c r="S63" s="48">
        <f t="shared" si="5"/>
        <v>0.86715388706329499</v>
      </c>
      <c r="T63" s="48">
        <f t="shared" si="5"/>
        <v>0.48608327267478246</v>
      </c>
      <c r="U63" s="48">
        <f t="shared" si="5"/>
        <v>0.68784463478804425</v>
      </c>
      <c r="V63" s="48"/>
      <c r="W63" s="48"/>
      <c r="X63" s="48"/>
      <c r="Y63" s="48"/>
      <c r="Z63" s="48"/>
      <c r="AA63" s="48"/>
      <c r="AB63" s="48"/>
      <c r="AC63" s="48"/>
      <c r="AD63" s="48"/>
    </row>
    <row r="64" spans="17:35" x14ac:dyDescent="0.25">
      <c r="Q64" s="48">
        <f t="shared" si="5"/>
        <v>0.80144167272619349</v>
      </c>
      <c r="R64" s="48">
        <f t="shared" si="5"/>
        <v>0.48732051115124631</v>
      </c>
      <c r="S64" s="48">
        <f t="shared" si="5"/>
        <v>0.70627212015521756</v>
      </c>
      <c r="T64" s="48">
        <f t="shared" si="5"/>
        <v>0.36788728870290249</v>
      </c>
      <c r="U64" s="48">
        <f t="shared" si="5"/>
        <v>0.736091954429276</v>
      </c>
      <c r="V64" s="48"/>
      <c r="W64" s="48"/>
      <c r="X64" s="48"/>
      <c r="Y64" s="48"/>
      <c r="Z64" s="48"/>
      <c r="AA64" s="48"/>
      <c r="AB64" s="48"/>
      <c r="AC64" s="48"/>
      <c r="AD64" s="48"/>
    </row>
    <row r="65" spans="17:30" x14ac:dyDescent="0.25">
      <c r="Q65" s="48">
        <f t="shared" si="5"/>
        <v>0.83758498252887481</v>
      </c>
      <c r="R65" s="48">
        <f t="shared" si="5"/>
        <v>0.86611116558641732</v>
      </c>
      <c r="S65" s="48">
        <f t="shared" si="5"/>
        <v>0.87426636721584527</v>
      </c>
      <c r="T65" s="48">
        <f t="shared" si="5"/>
        <v>0.38119494729358055</v>
      </c>
      <c r="U65" s="48">
        <f t="shared" si="5"/>
        <v>0.42914640398554094</v>
      </c>
      <c r="V65" s="48"/>
      <c r="W65" s="48"/>
      <c r="X65" s="48"/>
      <c r="Y65" s="48"/>
      <c r="Z65" s="48"/>
      <c r="AA65" s="48"/>
      <c r="AB65" s="48"/>
      <c r="AC65" s="48"/>
      <c r="AD65" s="48"/>
    </row>
    <row r="66" spans="17:30" x14ac:dyDescent="0.25">
      <c r="Q66" s="48">
        <f t="shared" si="5"/>
        <v>0.67442329393857214</v>
      </c>
      <c r="R66" s="48">
        <f t="shared" si="5"/>
        <v>0.59326281921768154</v>
      </c>
      <c r="S66" s="48">
        <f t="shared" si="5"/>
        <v>0.6103009287345319</v>
      </c>
      <c r="T66" s="48">
        <f t="shared" si="5"/>
        <v>0.31067748587667637</v>
      </c>
      <c r="U66" s="48">
        <f t="shared" si="5"/>
        <v>0.5106162484114859</v>
      </c>
      <c r="V66" s="48"/>
      <c r="W66" s="48"/>
      <c r="X66" s="48"/>
      <c r="Y66" s="48"/>
      <c r="Z66" s="48"/>
      <c r="AA66" s="48"/>
      <c r="AB66" s="48"/>
      <c r="AC66" s="48"/>
      <c r="AD66" s="48"/>
    </row>
    <row r="67" spans="17:30" x14ac:dyDescent="0.25">
      <c r="Q67" s="48">
        <f t="shared" si="5"/>
        <v>0.8663815310543761</v>
      </c>
      <c r="R67" s="48">
        <f t="shared" si="5"/>
        <v>0.54147674525675593</v>
      </c>
      <c r="S67" s="48">
        <f t="shared" si="5"/>
        <v>0.76352713854084397</v>
      </c>
      <c r="T67" s="48">
        <f t="shared" si="5"/>
        <v>0.19364863769188784</v>
      </c>
      <c r="U67" s="48">
        <f t="shared" si="5"/>
        <v>0.34871177779387258</v>
      </c>
      <c r="V67" s="48"/>
      <c r="W67" s="48"/>
      <c r="X67" s="48"/>
      <c r="Y67" s="48"/>
      <c r="Z67" s="48"/>
      <c r="AA67" s="48"/>
      <c r="AB67" s="48"/>
      <c r="AC67" s="48"/>
      <c r="AD67" s="48"/>
    </row>
    <row r="68" spans="17:30" x14ac:dyDescent="0.25">
      <c r="Q68" s="48">
        <f t="shared" si="5"/>
        <v>0.39763952406386227</v>
      </c>
      <c r="R68" s="48">
        <f t="shared" si="5"/>
        <v>0.62652764448541309</v>
      </c>
      <c r="S68" s="48">
        <f t="shared" si="5"/>
        <v>0.71118092448129921</v>
      </c>
      <c r="T68" s="48">
        <f t="shared" si="5"/>
        <v>0.38026716371846492</v>
      </c>
      <c r="U68" s="48">
        <f t="shared" si="5"/>
        <v>0.54939411718923059</v>
      </c>
      <c r="V68" s="48"/>
      <c r="W68" s="48"/>
      <c r="X68" s="48"/>
      <c r="Y68" s="48"/>
      <c r="Z68" s="48"/>
      <c r="AA68" s="48"/>
      <c r="AB68" s="48"/>
      <c r="AC68" s="48"/>
      <c r="AD68" s="48"/>
    </row>
    <row r="69" spans="17:30" x14ac:dyDescent="0.25">
      <c r="Q69" s="48">
        <f t="shared" si="5"/>
        <v>0.84761542139788482</v>
      </c>
      <c r="R69" s="48">
        <f t="shared" si="5"/>
        <v>0.79190192263984982</v>
      </c>
      <c r="S69" s="48">
        <f t="shared" si="5"/>
        <v>0.63907357872782755</v>
      </c>
      <c r="T69" s="48">
        <f t="shared" si="5"/>
        <v>0.43872480225932553</v>
      </c>
      <c r="U69" s="48">
        <f t="shared" si="5"/>
        <v>0.50148299057308876</v>
      </c>
      <c r="V69" s="48"/>
      <c r="W69" s="48"/>
      <c r="X69" s="48"/>
      <c r="Y69" s="48"/>
      <c r="Z69" s="48"/>
      <c r="AA69" s="48"/>
      <c r="AB69" s="48"/>
      <c r="AC69" s="48"/>
      <c r="AD69" s="48"/>
    </row>
    <row r="70" spans="17:30" x14ac:dyDescent="0.25">
      <c r="Q70" s="48">
        <f t="shared" si="5"/>
        <v>0.65026022917457438</v>
      </c>
      <c r="R70" s="48">
        <f t="shared" si="5"/>
        <v>0.39605707664486212</v>
      </c>
      <c r="S70" s="48">
        <f t="shared" si="5"/>
        <v>0.5893701732178025</v>
      </c>
      <c r="T70" s="48">
        <f t="shared" si="5"/>
        <v>0.21118340613155717</v>
      </c>
      <c r="U70" s="48">
        <f t="shared" si="5"/>
        <v>0.51991696925793451</v>
      </c>
      <c r="V70" s="48"/>
      <c r="W70" s="48"/>
      <c r="X70" s="48"/>
      <c r="Y70" s="48"/>
      <c r="Z70" s="48"/>
      <c r="AA70" s="48"/>
      <c r="AB70" s="48"/>
      <c r="AC70" s="48"/>
      <c r="AD70" s="48"/>
    </row>
    <row r="71" spans="17:30" x14ac:dyDescent="0.25">
      <c r="Q71" s="48">
        <f t="shared" si="5"/>
        <v>0.8948770927876335</v>
      </c>
      <c r="R71" s="48">
        <f t="shared" si="5"/>
        <v>0.90518097531963582</v>
      </c>
      <c r="S71" s="48">
        <f t="shared" si="5"/>
        <v>0.66632308060672474</v>
      </c>
      <c r="T71" s="48">
        <f t="shared" si="5"/>
        <v>1</v>
      </c>
      <c r="U71" s="48">
        <f t="shared" si="5"/>
        <v>1</v>
      </c>
      <c r="V71" s="48"/>
      <c r="W71" s="48"/>
      <c r="X71" s="48"/>
      <c r="Y71" s="48"/>
      <c r="Z71" s="48"/>
      <c r="AA71" s="48"/>
      <c r="AB71" s="48"/>
      <c r="AC71" s="48"/>
      <c r="AD71" s="48"/>
    </row>
    <row r="72" spans="17:30" x14ac:dyDescent="0.25">
      <c r="Q72" s="48">
        <f t="shared" si="5"/>
        <v>1</v>
      </c>
      <c r="R72" s="48">
        <f t="shared" si="5"/>
        <v>1</v>
      </c>
      <c r="S72" s="48">
        <f t="shared" si="5"/>
        <v>1</v>
      </c>
      <c r="T72" s="48">
        <f t="shared" si="5"/>
        <v>0.55059146814501603</v>
      </c>
      <c r="U72" s="48">
        <f t="shared" si="5"/>
        <v>0.49838492213817581</v>
      </c>
      <c r="V72" s="48"/>
      <c r="W72" s="48"/>
      <c r="X72" s="48"/>
      <c r="Y72" s="48"/>
      <c r="Z72" s="48"/>
      <c r="AA72" s="48"/>
      <c r="AB72" s="48"/>
      <c r="AC72" s="48"/>
      <c r="AD72" s="48"/>
    </row>
    <row r="73" spans="17:30" x14ac:dyDescent="0.25">
      <c r="Q73" s="48">
        <f t="shared" si="5"/>
        <v>0.51227745168008265</v>
      </c>
      <c r="R73" s="48">
        <f t="shared" si="5"/>
        <v>0.80180044996994848</v>
      </c>
      <c r="S73" s="48">
        <f t="shared" si="5"/>
        <v>0.8944493900716739</v>
      </c>
      <c r="T73" s="48">
        <f t="shared" si="5"/>
        <v>0.2699994458749167</v>
      </c>
      <c r="U73" s="48">
        <f t="shared" si="5"/>
        <v>0.30481195384958737</v>
      </c>
      <c r="V73" s="48"/>
      <c r="W73" s="48"/>
      <c r="X73" s="48"/>
      <c r="Y73" s="48"/>
      <c r="Z73" s="48"/>
      <c r="AA73" s="48"/>
      <c r="AB73" s="48"/>
      <c r="AC73" s="48"/>
      <c r="AD73" s="48"/>
    </row>
    <row r="74" spans="17:30" x14ac:dyDescent="0.25">
      <c r="Q74" s="48" t="e">
        <f>#REF!-Q43</f>
        <v>#REF!</v>
      </c>
      <c r="R74" s="48" t="e">
        <f>#REF!-R43</f>
        <v>#REF!</v>
      </c>
      <c r="S74" s="48" t="e">
        <f>#REF!-S43</f>
        <v>#REF!</v>
      </c>
      <c r="T74" s="48" t="e">
        <f>#REF!-T43</f>
        <v>#REF!</v>
      </c>
      <c r="U74" s="48" t="e">
        <f>#REF!-U43</f>
        <v>#REF!</v>
      </c>
      <c r="V74" s="48"/>
      <c r="W74" s="48"/>
      <c r="X74" s="48"/>
      <c r="Y74" s="48"/>
      <c r="Z74" s="48"/>
      <c r="AA74" s="48"/>
      <c r="AB74" s="48"/>
      <c r="AC74" s="48"/>
      <c r="AD74" s="48"/>
    </row>
    <row r="75" spans="17:30" x14ac:dyDescent="0.25">
      <c r="Q75" s="48" t="e">
        <f>#REF!-Q44</f>
        <v>#REF!</v>
      </c>
      <c r="R75" s="48" t="e">
        <f>#REF!-R44</f>
        <v>#REF!</v>
      </c>
      <c r="S75" s="48" t="e">
        <f>#REF!-S44</f>
        <v>#REF!</v>
      </c>
      <c r="T75" s="48" t="e">
        <f>#REF!-T44</f>
        <v>#REF!</v>
      </c>
      <c r="U75" s="48" t="e">
        <f>#REF!-U44</f>
        <v>#REF!</v>
      </c>
      <c r="V75" s="48"/>
      <c r="W75" s="48"/>
      <c r="X75" s="48"/>
      <c r="Y75" s="48"/>
      <c r="Z75" s="48"/>
      <c r="AA75" s="48"/>
      <c r="AB75" s="48"/>
      <c r="AC75" s="48"/>
      <c r="AD75" s="48"/>
    </row>
    <row r="76" spans="17:30" x14ac:dyDescent="0.25">
      <c r="Q76" s="48" t="e">
        <f>#REF!-Q45</f>
        <v>#REF!</v>
      </c>
      <c r="R76" s="48" t="e">
        <f>#REF!-R45</f>
        <v>#REF!</v>
      </c>
      <c r="S76" s="48" t="e">
        <f>#REF!-S45</f>
        <v>#REF!</v>
      </c>
      <c r="T76" s="48" t="e">
        <f>#REF!-T45</f>
        <v>#REF!</v>
      </c>
      <c r="U76" s="48" t="e">
        <f>#REF!-U45</f>
        <v>#REF!</v>
      </c>
      <c r="V76" s="48"/>
      <c r="W76" s="48"/>
      <c r="X76" s="48"/>
      <c r="Y76" s="48"/>
      <c r="Z76" s="48"/>
      <c r="AA76" s="48"/>
      <c r="AB76" s="48"/>
      <c r="AC76" s="48"/>
      <c r="AD76" s="48"/>
    </row>
    <row r="77" spans="17:30" x14ac:dyDescent="0.25">
      <c r="Q77" s="48" t="e">
        <f>#REF!-Q46</f>
        <v>#REF!</v>
      </c>
      <c r="R77" s="48" t="e">
        <f>#REF!-R46</f>
        <v>#REF!</v>
      </c>
      <c r="S77" s="48" t="e">
        <f>#REF!-S46</f>
        <v>#REF!</v>
      </c>
      <c r="T77" s="48" t="e">
        <f>#REF!-T46</f>
        <v>#REF!</v>
      </c>
      <c r="U77" s="48" t="e">
        <f>#REF!-U46</f>
        <v>#REF!</v>
      </c>
      <c r="V77" s="48"/>
      <c r="W77" s="48"/>
      <c r="X77" s="48"/>
      <c r="Y77" s="48"/>
      <c r="Z77" s="48"/>
      <c r="AA77" s="48"/>
      <c r="AB77" s="48"/>
      <c r="AC77" s="48"/>
      <c r="AD77" s="48"/>
    </row>
    <row r="78" spans="17:30" x14ac:dyDescent="0.25">
      <c r="Q78" s="48" t="e">
        <f>#REF!-Q47</f>
        <v>#REF!</v>
      </c>
      <c r="R78" s="48" t="e">
        <f>#REF!-R47</f>
        <v>#REF!</v>
      </c>
      <c r="S78" s="48" t="e">
        <f>#REF!-S47</f>
        <v>#REF!</v>
      </c>
      <c r="T78" s="48" t="e">
        <f>#REF!-T47</f>
        <v>#REF!</v>
      </c>
      <c r="U78" s="48" t="e">
        <f>#REF!-U47</f>
        <v>#REF!</v>
      </c>
      <c r="V78" s="48"/>
      <c r="W78" s="48"/>
      <c r="X78" s="48"/>
      <c r="Y78" s="48"/>
      <c r="Z78" s="48"/>
      <c r="AA78" s="48"/>
      <c r="AB78" s="48"/>
      <c r="AC78" s="48"/>
      <c r="AD78" s="48"/>
    </row>
    <row r="79" spans="17:30" x14ac:dyDescent="0.25">
      <c r="Q79" s="48" t="e">
        <f>#REF!-Q48</f>
        <v>#REF!</v>
      </c>
      <c r="R79" s="48" t="e">
        <f>#REF!-R48</f>
        <v>#REF!</v>
      </c>
      <c r="S79" s="48" t="e">
        <f>#REF!-S48</f>
        <v>#REF!</v>
      </c>
      <c r="T79" s="48" t="e">
        <f>#REF!-T48</f>
        <v>#REF!</v>
      </c>
      <c r="U79" s="48" t="e">
        <f>#REF!-U48</f>
        <v>#REF!</v>
      </c>
      <c r="V79" s="48"/>
      <c r="W79" s="48"/>
      <c r="X79" s="48"/>
      <c r="Y79" s="48"/>
      <c r="Z79" s="48"/>
      <c r="AA79" s="48"/>
      <c r="AB79" s="48"/>
      <c r="AC79" s="48"/>
      <c r="AD79" s="48"/>
    </row>
    <row r="80" spans="17:30" x14ac:dyDescent="0.25">
      <c r="Q80" s="48" t="e">
        <f>#REF!-Q49</f>
        <v>#REF!</v>
      </c>
      <c r="R80" s="48" t="e">
        <f>#REF!-R49</f>
        <v>#REF!</v>
      </c>
      <c r="S80" s="48" t="e">
        <f>#REF!-S49</f>
        <v>#REF!</v>
      </c>
      <c r="T80" s="48" t="e">
        <f>#REF!-T49</f>
        <v>#REF!</v>
      </c>
      <c r="U80" s="48" t="e">
        <f>#REF!-U49</f>
        <v>#REF!</v>
      </c>
      <c r="V80" s="48"/>
      <c r="W80" s="48"/>
      <c r="X80" s="48"/>
      <c r="Y80" s="48"/>
      <c r="Z80" s="48"/>
      <c r="AA80" s="48"/>
      <c r="AB80" s="48"/>
      <c r="AC80" s="48"/>
      <c r="AD80" s="48"/>
    </row>
    <row r="81" spans="17:30" x14ac:dyDescent="0.25">
      <c r="Q81" s="48" t="e">
        <f>#REF!-Q50</f>
        <v>#REF!</v>
      </c>
      <c r="R81" s="48" t="e">
        <f>#REF!-R50</f>
        <v>#REF!</v>
      </c>
      <c r="S81" s="48" t="e">
        <f>#REF!-S50</f>
        <v>#REF!</v>
      </c>
      <c r="T81" s="48" t="e">
        <f>#REF!-T50</f>
        <v>#REF!</v>
      </c>
      <c r="U81" s="48" t="e">
        <f>#REF!-U50</f>
        <v>#REF!</v>
      </c>
      <c r="V81" s="48"/>
      <c r="W81" s="48"/>
      <c r="X81" s="48"/>
      <c r="Y81" s="48"/>
      <c r="Z81" s="48"/>
      <c r="AA81" s="48"/>
      <c r="AB81" s="48"/>
      <c r="AC81" s="48"/>
      <c r="AD81" s="48"/>
    </row>
    <row r="82" spans="17:30" x14ac:dyDescent="0.25">
      <c r="Q82" s="48" t="e">
        <f>#REF!-Q51</f>
        <v>#REF!</v>
      </c>
      <c r="R82" s="48" t="e">
        <f>#REF!-R51</f>
        <v>#REF!</v>
      </c>
      <c r="S82" s="48" t="e">
        <f>#REF!-S51</f>
        <v>#REF!</v>
      </c>
      <c r="T82" s="48" t="e">
        <f>#REF!-T51</f>
        <v>#REF!</v>
      </c>
      <c r="U82" s="48" t="e">
        <f>#REF!-U51</f>
        <v>#REF!</v>
      </c>
      <c r="V82" s="48"/>
      <c r="W82" s="48"/>
      <c r="X82" s="48"/>
      <c r="Y82" s="48"/>
      <c r="Z82" s="48"/>
      <c r="AA82" s="48"/>
      <c r="AB82" s="48"/>
      <c r="AC82" s="48"/>
      <c r="AD82" s="48"/>
    </row>
    <row r="83" spans="17:30" x14ac:dyDescent="0.25">
      <c r="Q83" s="48">
        <f t="shared" ref="Q83:U87" si="6">Q23-Q52</f>
        <v>0</v>
      </c>
      <c r="R83" s="48">
        <f t="shared" si="6"/>
        <v>0</v>
      </c>
      <c r="S83" s="48">
        <f t="shared" si="6"/>
        <v>0</v>
      </c>
      <c r="T83" s="48">
        <f t="shared" si="6"/>
        <v>0</v>
      </c>
      <c r="U83" s="48">
        <f t="shared" si="6"/>
        <v>0</v>
      </c>
      <c r="V83" s="48"/>
      <c r="W83" s="48"/>
      <c r="X83" s="48"/>
      <c r="Y83" s="48"/>
      <c r="Z83" s="48"/>
      <c r="AA83" s="48"/>
      <c r="AB83" s="48"/>
      <c r="AC83" s="48"/>
      <c r="AD83" s="48"/>
    </row>
    <row r="84" spans="17:30" x14ac:dyDescent="0.25">
      <c r="Q84" s="48">
        <f t="shared" si="6"/>
        <v>0</v>
      </c>
      <c r="R84" s="48">
        <f t="shared" si="6"/>
        <v>0</v>
      </c>
      <c r="S84" s="48">
        <f t="shared" si="6"/>
        <v>0</v>
      </c>
      <c r="T84" s="48">
        <f t="shared" si="6"/>
        <v>0</v>
      </c>
      <c r="U84" s="48">
        <f t="shared" si="6"/>
        <v>0</v>
      </c>
      <c r="V84" s="48"/>
      <c r="W84" s="48"/>
      <c r="X84" s="48"/>
      <c r="Y84" s="48"/>
      <c r="Z84" s="48"/>
      <c r="AA84" s="48"/>
      <c r="AB84" s="48"/>
      <c r="AC84" s="48"/>
      <c r="AD84" s="48"/>
    </row>
    <row r="85" spans="17:30" x14ac:dyDescent="0.25">
      <c r="Q85" s="48">
        <f t="shared" si="6"/>
        <v>0</v>
      </c>
      <c r="R85" s="48">
        <f t="shared" si="6"/>
        <v>0</v>
      </c>
      <c r="S85" s="48">
        <f t="shared" si="6"/>
        <v>0</v>
      </c>
      <c r="T85" s="48">
        <f t="shared" si="6"/>
        <v>0</v>
      </c>
      <c r="U85" s="48">
        <f t="shared" si="6"/>
        <v>0</v>
      </c>
      <c r="V85" s="48"/>
      <c r="W85" s="48"/>
      <c r="X85" s="48"/>
      <c r="Y85" s="48"/>
      <c r="Z85" s="48"/>
      <c r="AA85" s="48"/>
      <c r="AB85" s="48"/>
      <c r="AC85" s="48"/>
      <c r="AD85" s="48"/>
    </row>
    <row r="86" spans="17:30" x14ac:dyDescent="0.25">
      <c r="Q86" s="48">
        <f t="shared" si="6"/>
        <v>0</v>
      </c>
      <c r="R86" s="48">
        <f t="shared" si="6"/>
        <v>0</v>
      </c>
      <c r="S86" s="48">
        <f t="shared" si="6"/>
        <v>0</v>
      </c>
      <c r="T86" s="48">
        <f t="shared" si="6"/>
        <v>0</v>
      </c>
      <c r="U86" s="48">
        <f t="shared" si="6"/>
        <v>0</v>
      </c>
      <c r="V86" s="48"/>
      <c r="W86" s="48"/>
      <c r="X86" s="48"/>
      <c r="Y86" s="48"/>
      <c r="Z86" s="48"/>
      <c r="AA86" s="48"/>
      <c r="AB86" s="48"/>
      <c r="AC86" s="48"/>
      <c r="AD86" s="48"/>
    </row>
    <row r="87" spans="17:30" x14ac:dyDescent="0.25">
      <c r="Q87" s="48">
        <f t="shared" si="6"/>
        <v>0</v>
      </c>
      <c r="R87" s="48">
        <f t="shared" si="6"/>
        <v>0</v>
      </c>
      <c r="S87" s="48">
        <f t="shared" si="6"/>
        <v>0</v>
      </c>
      <c r="T87" s="48">
        <f t="shared" si="6"/>
        <v>0</v>
      </c>
      <c r="U87" s="48">
        <f t="shared" si="6"/>
        <v>0</v>
      </c>
      <c r="V87" s="48"/>
      <c r="W87" s="48"/>
      <c r="X87" s="48"/>
      <c r="Y87" s="48"/>
      <c r="Z87" s="48"/>
      <c r="AA87" s="48"/>
      <c r="AB87" s="48"/>
      <c r="AC87" s="48"/>
      <c r="AD87" s="48"/>
    </row>
    <row r="88" spans="17:30" x14ac:dyDescent="0.25">
      <c r="Q88" s="48"/>
    </row>
    <row r="89" spans="17:30" x14ac:dyDescent="0.25">
      <c r="Q89" s="48"/>
    </row>
    <row r="90" spans="17:30" x14ac:dyDescent="0.25">
      <c r="Q90" s="48"/>
    </row>
    <row r="91" spans="17:30" x14ac:dyDescent="0.25">
      <c r="Q91" s="48"/>
    </row>
  </sheetData>
  <pageMargins left="0.70866141732283472" right="0.70866141732283472" top="0.74803149606299213" bottom="0.74803149606299213" header="0.31496062992125984" footer="0.31496062992125984"/>
  <pageSetup scale="80" orientation="landscape" verticalDpi="0" r:id="rId1"/>
  <ignoredErrors>
    <ignoredError sqref="M1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24"/>
  <sheetViews>
    <sheetView workbookViewId="0">
      <selection activeCell="C2" sqref="C2"/>
    </sheetView>
  </sheetViews>
  <sheetFormatPr baseColWidth="10" defaultRowHeight="15" x14ac:dyDescent="0.25"/>
  <cols>
    <col min="1" max="1" width="44.7109375" bestFit="1" customWidth="1"/>
    <col min="2" max="2" width="13.140625" bestFit="1" customWidth="1"/>
    <col min="3" max="3" width="12.140625" bestFit="1" customWidth="1"/>
    <col min="5" max="5" width="14.42578125" bestFit="1" customWidth="1"/>
  </cols>
  <sheetData>
    <row r="2" spans="1:5" ht="25.5" x14ac:dyDescent="0.25">
      <c r="A2" s="62" t="s">
        <v>22</v>
      </c>
      <c r="B2" s="63" t="s">
        <v>10</v>
      </c>
      <c r="C2" s="63" t="s">
        <v>154</v>
      </c>
      <c r="D2" s="63" t="s">
        <v>155</v>
      </c>
      <c r="E2" s="63" t="s">
        <v>156</v>
      </c>
    </row>
    <row r="3" spans="1:5" x14ac:dyDescent="0.25">
      <c r="A3" s="51" t="s">
        <v>23</v>
      </c>
      <c r="B3" s="51" t="s">
        <v>13</v>
      </c>
      <c r="C3" s="28">
        <v>2598</v>
      </c>
      <c r="D3" s="60">
        <f>C3/$C$21</f>
        <v>0.45072866065232475</v>
      </c>
      <c r="E3" s="61">
        <f>$B$24*D3</f>
        <v>1146992.886016655</v>
      </c>
    </row>
    <row r="4" spans="1:5" x14ac:dyDescent="0.25">
      <c r="A4" s="51" t="s">
        <v>24</v>
      </c>
      <c r="B4" s="51" t="s">
        <v>14</v>
      </c>
      <c r="C4" s="28">
        <v>624</v>
      </c>
      <c r="D4" s="60">
        <f t="shared" ref="D4:D20" si="0">C4/$C$21</f>
        <v>0.10825815405968078</v>
      </c>
      <c r="E4" s="61">
        <f t="shared" ref="E4:E20" si="1">$B$24*D4</f>
        <v>275490.20818875782</v>
      </c>
    </row>
    <row r="5" spans="1:5" x14ac:dyDescent="0.25">
      <c r="A5" s="51" t="s">
        <v>30</v>
      </c>
      <c r="B5" s="51" t="s">
        <v>20</v>
      </c>
      <c r="C5" s="28">
        <v>191</v>
      </c>
      <c r="D5" s="60">
        <f t="shared" si="0"/>
        <v>3.3136710617626651E-2</v>
      </c>
      <c r="E5" s="61">
        <f t="shared" si="1"/>
        <v>84324.727185981959</v>
      </c>
    </row>
    <row r="6" spans="1:5" x14ac:dyDescent="0.25">
      <c r="A6" s="51" t="s">
        <v>27</v>
      </c>
      <c r="B6" s="51" t="s">
        <v>17</v>
      </c>
      <c r="C6" s="28">
        <v>457</v>
      </c>
      <c r="D6" s="60">
        <f t="shared" si="0"/>
        <v>7.9285218598195692E-2</v>
      </c>
      <c r="E6" s="61">
        <f t="shared" si="1"/>
        <v>201761.25824080498</v>
      </c>
    </row>
    <row r="7" spans="1:5" x14ac:dyDescent="0.25">
      <c r="A7" s="51" t="s">
        <v>26</v>
      </c>
      <c r="B7" s="51" t="s">
        <v>16</v>
      </c>
      <c r="C7" s="28">
        <v>377</v>
      </c>
      <c r="D7" s="60">
        <f t="shared" si="0"/>
        <v>6.5405968077723808E-2</v>
      </c>
      <c r="E7" s="61">
        <f t="shared" si="1"/>
        <v>166442.00078070787</v>
      </c>
    </row>
    <row r="8" spans="1:5" x14ac:dyDescent="0.25">
      <c r="A8" s="51" t="s">
        <v>31</v>
      </c>
      <c r="B8" s="51" t="s">
        <v>21</v>
      </c>
      <c r="C8" s="28">
        <v>203</v>
      </c>
      <c r="D8" s="60">
        <f t="shared" si="0"/>
        <v>3.5218598195697434E-2</v>
      </c>
      <c r="E8" s="61">
        <f t="shared" si="1"/>
        <v>89622.615804996531</v>
      </c>
    </row>
    <row r="9" spans="1:5" x14ac:dyDescent="0.25">
      <c r="A9" s="51" t="s">
        <v>25</v>
      </c>
      <c r="B9" s="51" t="s">
        <v>15</v>
      </c>
      <c r="C9" s="28">
        <v>399</v>
      </c>
      <c r="D9" s="60">
        <f t="shared" si="0"/>
        <v>6.9222761970853572E-2</v>
      </c>
      <c r="E9" s="61">
        <f t="shared" si="1"/>
        <v>176154.79658223456</v>
      </c>
    </row>
    <row r="10" spans="1:5" x14ac:dyDescent="0.25">
      <c r="A10" s="51" t="s">
        <v>29</v>
      </c>
      <c r="B10" s="51" t="s">
        <v>19</v>
      </c>
      <c r="C10" s="28">
        <v>227</v>
      </c>
      <c r="D10" s="60">
        <f t="shared" si="0"/>
        <v>3.9382373351839001E-2</v>
      </c>
      <c r="E10" s="61">
        <f t="shared" si="1"/>
        <v>100218.39304302567</v>
      </c>
    </row>
    <row r="11" spans="1:5" x14ac:dyDescent="0.25">
      <c r="A11" s="51" t="s">
        <v>28</v>
      </c>
      <c r="B11" s="51" t="s">
        <v>18</v>
      </c>
      <c r="C11" s="28">
        <v>129</v>
      </c>
      <c r="D11" s="60">
        <f t="shared" si="0"/>
        <v>2.2380291464260928E-2</v>
      </c>
      <c r="E11" s="61">
        <f t="shared" si="1"/>
        <v>56952.30265440666</v>
      </c>
    </row>
    <row r="12" spans="1:5" x14ac:dyDescent="0.25">
      <c r="A12" s="51" t="s">
        <v>45</v>
      </c>
      <c r="B12" s="51" t="s">
        <v>38</v>
      </c>
      <c r="C12" s="28">
        <v>103</v>
      </c>
      <c r="D12" s="60">
        <f t="shared" si="0"/>
        <v>1.7869535045107566E-2</v>
      </c>
      <c r="E12" s="61">
        <f t="shared" si="1"/>
        <v>45473.543979875089</v>
      </c>
    </row>
    <row r="13" spans="1:5" x14ac:dyDescent="0.25">
      <c r="A13" s="51" t="s">
        <v>41</v>
      </c>
      <c r="B13" s="51" t="s">
        <v>34</v>
      </c>
      <c r="C13" s="28">
        <v>75</v>
      </c>
      <c r="D13" s="60">
        <f t="shared" si="0"/>
        <v>1.30117973629424E-2</v>
      </c>
      <c r="E13" s="61">
        <f t="shared" si="1"/>
        <v>33111.803868841082</v>
      </c>
    </row>
    <row r="14" spans="1:5" x14ac:dyDescent="0.25">
      <c r="A14" s="51" t="s">
        <v>42</v>
      </c>
      <c r="B14" s="51" t="s">
        <v>35</v>
      </c>
      <c r="C14" s="28">
        <v>51</v>
      </c>
      <c r="D14" s="60">
        <f t="shared" si="0"/>
        <v>8.8480222068008322E-3</v>
      </c>
      <c r="E14" s="61">
        <f t="shared" si="1"/>
        <v>22516.026630811935</v>
      </c>
    </row>
    <row r="15" spans="1:5" x14ac:dyDescent="0.25">
      <c r="A15" s="51" t="s">
        <v>43</v>
      </c>
      <c r="B15" s="51" t="s">
        <v>36</v>
      </c>
      <c r="C15" s="28">
        <v>101</v>
      </c>
      <c r="D15" s="60">
        <f t="shared" si="0"/>
        <v>1.7522553782095766E-2</v>
      </c>
      <c r="E15" s="61">
        <f t="shared" si="1"/>
        <v>44590.56254337266</v>
      </c>
    </row>
    <row r="16" spans="1:5" x14ac:dyDescent="0.25">
      <c r="A16" s="51" t="s">
        <v>44</v>
      </c>
      <c r="B16" s="51" t="s">
        <v>37</v>
      </c>
      <c r="C16" s="28">
        <v>118</v>
      </c>
      <c r="D16" s="60">
        <f t="shared" si="0"/>
        <v>2.0471894517696043E-2</v>
      </c>
      <c r="E16" s="61">
        <f t="shared" si="1"/>
        <v>52095.904753643299</v>
      </c>
    </row>
    <row r="17" spans="1:5" x14ac:dyDescent="0.25">
      <c r="A17" s="51" t="s">
        <v>46</v>
      </c>
      <c r="B17" s="51" t="s">
        <v>39</v>
      </c>
      <c r="C17" s="28">
        <v>75</v>
      </c>
      <c r="D17" s="60">
        <f t="shared" si="0"/>
        <v>1.30117973629424E-2</v>
      </c>
      <c r="E17" s="61">
        <f t="shared" si="1"/>
        <v>33111.803868841082</v>
      </c>
    </row>
    <row r="18" spans="1:5" x14ac:dyDescent="0.25">
      <c r="A18" s="51" t="s">
        <v>47</v>
      </c>
      <c r="B18" s="51" t="s">
        <v>40</v>
      </c>
      <c r="C18" s="28">
        <v>36</v>
      </c>
      <c r="D18" s="60">
        <f t="shared" si="0"/>
        <v>6.2456627342123523E-3</v>
      </c>
      <c r="E18" s="61">
        <f t="shared" si="1"/>
        <v>15893.665857043719</v>
      </c>
    </row>
    <row r="19" spans="1:5" x14ac:dyDescent="0.25">
      <c r="A19" s="51" t="s">
        <v>111</v>
      </c>
      <c r="B19" s="51" t="s">
        <v>112</v>
      </c>
      <c r="C19" s="28">
        <v>0</v>
      </c>
      <c r="D19" s="60">
        <f t="shared" si="0"/>
        <v>0</v>
      </c>
      <c r="E19" s="61">
        <f t="shared" si="1"/>
        <v>0</v>
      </c>
    </row>
    <row r="20" spans="1:5" x14ac:dyDescent="0.25">
      <c r="A20" s="51" t="s">
        <v>113</v>
      </c>
      <c r="B20" s="51" t="s">
        <v>114</v>
      </c>
      <c r="C20" s="28">
        <v>0</v>
      </c>
      <c r="D20" s="60">
        <f t="shared" si="0"/>
        <v>0</v>
      </c>
      <c r="E20" s="61">
        <f t="shared" si="1"/>
        <v>0</v>
      </c>
    </row>
    <row r="21" spans="1:5" x14ac:dyDescent="0.25">
      <c r="C21" s="50">
        <f>SUM(C3:C20)</f>
        <v>5764</v>
      </c>
      <c r="D21" s="69">
        <f>SUM(D3:D20)</f>
        <v>1</v>
      </c>
      <c r="E21" s="70">
        <f>SUM(E3:E20)</f>
        <v>2544752.4999999995</v>
      </c>
    </row>
    <row r="24" spans="1:5" x14ac:dyDescent="0.25">
      <c r="A24" t="s">
        <v>157</v>
      </c>
      <c r="B24" s="13">
        <f>'Montos CM 2018'!B36/6</f>
        <v>2544752.5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24"/>
  <sheetViews>
    <sheetView workbookViewId="0">
      <selection activeCell="C2" sqref="C2"/>
    </sheetView>
  </sheetViews>
  <sheetFormatPr baseColWidth="10" defaultRowHeight="15" x14ac:dyDescent="0.25"/>
  <cols>
    <col min="1" max="1" width="44.7109375" bestFit="1" customWidth="1"/>
  </cols>
  <sheetData>
    <row r="2" spans="1:11" ht="51" x14ac:dyDescent="0.25">
      <c r="A2" s="67" t="s">
        <v>22</v>
      </c>
      <c r="B2" s="68" t="s">
        <v>10</v>
      </c>
      <c r="C2" s="63" t="s">
        <v>168</v>
      </c>
      <c r="D2" s="63" t="s">
        <v>171</v>
      </c>
      <c r="E2" s="63" t="s">
        <v>172</v>
      </c>
      <c r="F2" s="63" t="s">
        <v>173</v>
      </c>
      <c r="G2" s="63" t="s">
        <v>174</v>
      </c>
      <c r="H2" s="63" t="s">
        <v>175</v>
      </c>
      <c r="I2" s="63" t="s">
        <v>176</v>
      </c>
      <c r="J2" s="63" t="s">
        <v>178</v>
      </c>
      <c r="K2" s="63" t="s">
        <v>177</v>
      </c>
    </row>
    <row r="3" spans="1:11" x14ac:dyDescent="0.25">
      <c r="A3" s="51" t="s">
        <v>23</v>
      </c>
      <c r="B3" s="51" t="s">
        <v>13</v>
      </c>
      <c r="C3" s="64">
        <f>IFERROR(VLOOKUP(A3,[8]IES_ACRE_31_12_2017!$C$6:$N$92,12,0),0)</f>
        <v>1</v>
      </c>
      <c r="D3" s="64">
        <f>IFERROR(VLOOKUP(A3,[8]IES_ACRE_31_12_2017!$C$6:$M$92,11,0),0)</f>
        <v>1</v>
      </c>
      <c r="E3" s="64">
        <f>IFERROR(VLOOKUP(A3,[8]IES_ACRE_31_12_2017!$C$6:$L$92,10,0),0)</f>
        <v>7</v>
      </c>
      <c r="F3" s="64">
        <f>C3*100</f>
        <v>100</v>
      </c>
      <c r="G3" s="64">
        <f>D3*100</f>
        <v>100</v>
      </c>
      <c r="H3" s="64">
        <f>E3/7*100</f>
        <v>100</v>
      </c>
      <c r="I3" s="64">
        <f>F3+G3+H3</f>
        <v>300</v>
      </c>
      <c r="J3" s="65">
        <f>I3/$I$21</f>
        <v>0.11290322580645157</v>
      </c>
      <c r="K3" s="66">
        <f>J3*$B$24</f>
        <v>287310.76612903213</v>
      </c>
    </row>
    <row r="4" spans="1:11" x14ac:dyDescent="0.25">
      <c r="A4" s="51" t="s">
        <v>24</v>
      </c>
      <c r="B4" s="51" t="s">
        <v>14</v>
      </c>
      <c r="C4" s="64">
        <f>IFERROR(VLOOKUP(A4,[8]IES_ACRE_31_12_2017!$C$6:$N$92,12,0),0)</f>
        <v>1</v>
      </c>
      <c r="D4" s="64">
        <f>IFERROR(VLOOKUP(A4,[8]IES_ACRE_31_12_2017!$C$6:$M$92,11,0),0)</f>
        <v>1</v>
      </c>
      <c r="E4" s="64">
        <f>IFERROR(VLOOKUP(A4,[8]IES_ACRE_31_12_2017!$C$6:$L$92,10,0),0)</f>
        <v>6</v>
      </c>
      <c r="F4" s="64">
        <f t="shared" ref="F4:F20" si="0">C4*100</f>
        <v>100</v>
      </c>
      <c r="G4" s="64">
        <f t="shared" ref="G4:G20" si="1">D4*100</f>
        <v>100</v>
      </c>
      <c r="H4" s="64">
        <f t="shared" ref="H4:H20" si="2">E4/7*100</f>
        <v>85.714285714285708</v>
      </c>
      <c r="I4" s="64">
        <f t="shared" ref="I4:I20" si="3">F4+G4+H4</f>
        <v>285.71428571428572</v>
      </c>
      <c r="J4" s="65">
        <f t="shared" ref="J4:J20" si="4">I4/$I$21</f>
        <v>0.10752688172043007</v>
      </c>
      <c r="K4" s="66">
        <f t="shared" ref="K4:K20" si="5">J4*$B$24</f>
        <v>273629.30107526871</v>
      </c>
    </row>
    <row r="5" spans="1:11" x14ac:dyDescent="0.25">
      <c r="A5" s="51" t="s">
        <v>30</v>
      </c>
      <c r="B5" s="51" t="s">
        <v>20</v>
      </c>
      <c r="C5" s="64">
        <f>IFERROR(VLOOKUP(A5,[8]IES_ACRE_31_12_2017!$C$6:$N$92,12,0),0)</f>
        <v>1</v>
      </c>
      <c r="D5" s="64">
        <f>IFERROR(VLOOKUP(A5,[8]IES_ACRE_31_12_2017!$C$6:$M$92,11,0),0)</f>
        <v>0</v>
      </c>
      <c r="E5" s="64">
        <f>IFERROR(VLOOKUP(A5,[8]IES_ACRE_31_12_2017!$C$6:$L$92,10,0),0)</f>
        <v>5</v>
      </c>
      <c r="F5" s="64">
        <f t="shared" si="0"/>
        <v>100</v>
      </c>
      <c r="G5" s="64">
        <f t="shared" si="1"/>
        <v>0</v>
      </c>
      <c r="H5" s="64">
        <f t="shared" si="2"/>
        <v>71.428571428571431</v>
      </c>
      <c r="I5" s="64">
        <f t="shared" si="3"/>
        <v>171.42857142857144</v>
      </c>
      <c r="J5" s="65">
        <f t="shared" si="4"/>
        <v>6.4516129032258049E-2</v>
      </c>
      <c r="K5" s="66">
        <f t="shared" si="5"/>
        <v>164177.58064516124</v>
      </c>
    </row>
    <row r="6" spans="1:11" x14ac:dyDescent="0.25">
      <c r="A6" s="51" t="s">
        <v>27</v>
      </c>
      <c r="B6" s="51" t="s">
        <v>17</v>
      </c>
      <c r="C6" s="64">
        <f>IFERROR(VLOOKUP(A6,[8]IES_ACRE_31_12_2017!$C$6:$N$92,12,0),0)</f>
        <v>1</v>
      </c>
      <c r="D6" s="64">
        <f>IFERROR(VLOOKUP(A6,[8]IES_ACRE_31_12_2017!$C$6:$M$92,11,0),0)</f>
        <v>1</v>
      </c>
      <c r="E6" s="64">
        <f>IFERROR(VLOOKUP(A6,[8]IES_ACRE_31_12_2017!$C$6:$L$92,10,0),0)</f>
        <v>5</v>
      </c>
      <c r="F6" s="64">
        <f t="shared" si="0"/>
        <v>100</v>
      </c>
      <c r="G6" s="64">
        <f t="shared" si="1"/>
        <v>100</v>
      </c>
      <c r="H6" s="64">
        <f t="shared" si="2"/>
        <v>71.428571428571431</v>
      </c>
      <c r="I6" s="64">
        <f t="shared" si="3"/>
        <v>271.42857142857144</v>
      </c>
      <c r="J6" s="65">
        <f t="shared" si="4"/>
        <v>0.10215053763440857</v>
      </c>
      <c r="K6" s="66">
        <f t="shared" si="5"/>
        <v>259947.8360215053</v>
      </c>
    </row>
    <row r="7" spans="1:11" x14ac:dyDescent="0.25">
      <c r="A7" s="51" t="s">
        <v>26</v>
      </c>
      <c r="B7" s="51" t="s">
        <v>16</v>
      </c>
      <c r="C7" s="64">
        <f>IFERROR(VLOOKUP(A7,[8]IES_ACRE_31_12_2017!$C$6:$N$92,12,0),0)</f>
        <v>1</v>
      </c>
      <c r="D7" s="64">
        <f>IFERROR(VLOOKUP(A7,[8]IES_ACRE_31_12_2017!$C$6:$M$92,11,0),0)</f>
        <v>1</v>
      </c>
      <c r="E7" s="64">
        <f>IFERROR(VLOOKUP(A7,[8]IES_ACRE_31_12_2017!$C$6:$L$92,10,0),0)</f>
        <v>5</v>
      </c>
      <c r="F7" s="64">
        <f t="shared" si="0"/>
        <v>100</v>
      </c>
      <c r="G7" s="64">
        <f t="shared" si="1"/>
        <v>100</v>
      </c>
      <c r="H7" s="64">
        <f t="shared" si="2"/>
        <v>71.428571428571431</v>
      </c>
      <c r="I7" s="64">
        <f t="shared" si="3"/>
        <v>271.42857142857144</v>
      </c>
      <c r="J7" s="65">
        <f t="shared" si="4"/>
        <v>0.10215053763440857</v>
      </c>
      <c r="K7" s="66">
        <f t="shared" si="5"/>
        <v>259947.8360215053</v>
      </c>
    </row>
    <row r="8" spans="1:11" x14ac:dyDescent="0.25">
      <c r="A8" s="51" t="s">
        <v>31</v>
      </c>
      <c r="B8" s="51" t="s">
        <v>21</v>
      </c>
      <c r="C8" s="64">
        <f>IFERROR(VLOOKUP(A8,[8]IES_ACRE_31_12_2017!$C$6:$N$92,12,0),0)</f>
        <v>1</v>
      </c>
      <c r="D8" s="64">
        <f>IFERROR(VLOOKUP(A8,[8]IES_ACRE_31_12_2017!$C$6:$M$92,11,0),0)</f>
        <v>0</v>
      </c>
      <c r="E8" s="64">
        <f>IFERROR(VLOOKUP(A8,[8]IES_ACRE_31_12_2017!$C$6:$L$92,10,0),0)</f>
        <v>5</v>
      </c>
      <c r="F8" s="64">
        <f t="shared" si="0"/>
        <v>100</v>
      </c>
      <c r="G8" s="64">
        <f t="shared" si="1"/>
        <v>0</v>
      </c>
      <c r="H8" s="64">
        <f t="shared" si="2"/>
        <v>71.428571428571431</v>
      </c>
      <c r="I8" s="64">
        <f t="shared" si="3"/>
        <v>171.42857142857144</v>
      </c>
      <c r="J8" s="65">
        <f t="shared" si="4"/>
        <v>6.4516129032258049E-2</v>
      </c>
      <c r="K8" s="66">
        <f t="shared" si="5"/>
        <v>164177.58064516124</v>
      </c>
    </row>
    <row r="9" spans="1:11" x14ac:dyDescent="0.25">
      <c r="A9" s="51" t="s">
        <v>25</v>
      </c>
      <c r="B9" s="51" t="s">
        <v>15</v>
      </c>
      <c r="C9" s="64">
        <f>IFERROR(VLOOKUP(A9,[8]IES_ACRE_31_12_2017!$C$6:$N$92,12,0),0)</f>
        <v>1</v>
      </c>
      <c r="D9" s="64">
        <f>IFERROR(VLOOKUP(A9,[8]IES_ACRE_31_12_2017!$C$6:$M$92,11,0),0)</f>
        <v>1</v>
      </c>
      <c r="E9" s="64">
        <f>IFERROR(VLOOKUP(A9,[8]IES_ACRE_31_12_2017!$C$6:$L$92,10,0),0)</f>
        <v>5</v>
      </c>
      <c r="F9" s="64">
        <f t="shared" si="0"/>
        <v>100</v>
      </c>
      <c r="G9" s="64">
        <f t="shared" si="1"/>
        <v>100</v>
      </c>
      <c r="H9" s="64">
        <f t="shared" si="2"/>
        <v>71.428571428571431</v>
      </c>
      <c r="I9" s="64">
        <f t="shared" si="3"/>
        <v>271.42857142857144</v>
      </c>
      <c r="J9" s="65">
        <f t="shared" si="4"/>
        <v>0.10215053763440857</v>
      </c>
      <c r="K9" s="66">
        <f t="shared" si="5"/>
        <v>259947.8360215053</v>
      </c>
    </row>
    <row r="10" spans="1:11" x14ac:dyDescent="0.25">
      <c r="A10" s="51" t="s">
        <v>29</v>
      </c>
      <c r="B10" s="51" t="s">
        <v>19</v>
      </c>
      <c r="C10" s="64">
        <f>IFERROR(VLOOKUP(A10,[8]IES_ACRE_31_12_2017!$C$6:$N$92,12,0),0)</f>
        <v>1</v>
      </c>
      <c r="D10" s="64">
        <f>IFERROR(VLOOKUP(A10,[8]IES_ACRE_31_12_2017!$C$6:$M$92,11,0),0)</f>
        <v>0</v>
      </c>
      <c r="E10" s="64">
        <f>IFERROR(VLOOKUP(A10,[8]IES_ACRE_31_12_2017!$C$6:$L$92,10,0),0)</f>
        <v>5</v>
      </c>
      <c r="F10" s="64">
        <f t="shared" si="0"/>
        <v>100</v>
      </c>
      <c r="G10" s="64">
        <f t="shared" si="1"/>
        <v>0</v>
      </c>
      <c r="H10" s="64">
        <f t="shared" si="2"/>
        <v>71.428571428571431</v>
      </c>
      <c r="I10" s="64">
        <f t="shared" si="3"/>
        <v>171.42857142857144</v>
      </c>
      <c r="J10" s="65">
        <f t="shared" si="4"/>
        <v>6.4516129032258049E-2</v>
      </c>
      <c r="K10" s="66">
        <f t="shared" si="5"/>
        <v>164177.58064516124</v>
      </c>
    </row>
    <row r="11" spans="1:11" x14ac:dyDescent="0.25">
      <c r="A11" s="51" t="s">
        <v>28</v>
      </c>
      <c r="B11" s="51" t="s">
        <v>18</v>
      </c>
      <c r="C11" s="64">
        <f>IFERROR(VLOOKUP(A11,[8]IES_ACRE_31_12_2017!$C$6:$N$92,12,0),0)</f>
        <v>1</v>
      </c>
      <c r="D11" s="64">
        <f>IFERROR(VLOOKUP(A11,[8]IES_ACRE_31_12_2017!$C$6:$M$92,11,0),0)</f>
        <v>0</v>
      </c>
      <c r="E11" s="64">
        <f>IFERROR(VLOOKUP(A11,[8]IES_ACRE_31_12_2017!$C$6:$L$92,10,0),0)</f>
        <v>4</v>
      </c>
      <c r="F11" s="64">
        <f t="shared" si="0"/>
        <v>100</v>
      </c>
      <c r="G11" s="64">
        <f t="shared" si="1"/>
        <v>0</v>
      </c>
      <c r="H11" s="64">
        <f t="shared" si="2"/>
        <v>57.142857142857139</v>
      </c>
      <c r="I11" s="64">
        <f t="shared" si="3"/>
        <v>157.14285714285714</v>
      </c>
      <c r="J11" s="65">
        <f t="shared" si="4"/>
        <v>5.9139784946236534E-2</v>
      </c>
      <c r="K11" s="66">
        <f t="shared" si="5"/>
        <v>150496.1155913978</v>
      </c>
    </row>
    <row r="12" spans="1:11" x14ac:dyDescent="0.25">
      <c r="A12" s="51" t="s">
        <v>169</v>
      </c>
      <c r="B12" s="51" t="s">
        <v>38</v>
      </c>
      <c r="C12" s="64">
        <f>IFERROR(VLOOKUP(A12,[8]IES_ACRE_31_12_2017!$C$6:$N$92,12,0),0)</f>
        <v>0</v>
      </c>
      <c r="D12" s="64">
        <f>IFERROR(VLOOKUP(A12,[8]IES_ACRE_31_12_2017!$C$6:$M$92,11,0),0)</f>
        <v>0</v>
      </c>
      <c r="E12" s="64">
        <f>IFERROR(VLOOKUP(A12,[8]IES_ACRE_31_12_2017!$C$6:$L$92,10,0),0)</f>
        <v>5</v>
      </c>
      <c r="F12" s="64">
        <f t="shared" si="0"/>
        <v>0</v>
      </c>
      <c r="G12" s="64">
        <f t="shared" si="1"/>
        <v>0</v>
      </c>
      <c r="H12" s="64">
        <f t="shared" si="2"/>
        <v>71.428571428571431</v>
      </c>
      <c r="I12" s="64">
        <f t="shared" si="3"/>
        <v>71.428571428571431</v>
      </c>
      <c r="J12" s="65">
        <f t="shared" si="4"/>
        <v>2.6881720430107517E-2</v>
      </c>
      <c r="K12" s="66">
        <f t="shared" si="5"/>
        <v>68407.325268817178</v>
      </c>
    </row>
    <row r="13" spans="1:11" x14ac:dyDescent="0.25">
      <c r="A13" s="51" t="s">
        <v>41</v>
      </c>
      <c r="B13" s="51" t="s">
        <v>34</v>
      </c>
      <c r="C13" s="64">
        <f>IFERROR(VLOOKUP(A13,[8]IES_ACRE_31_12_2017!$C$6:$N$92,12,0),0)</f>
        <v>0</v>
      </c>
      <c r="D13" s="64">
        <f>IFERROR(VLOOKUP(A13,[8]IES_ACRE_31_12_2017!$C$6:$M$92,11,0),0)</f>
        <v>0</v>
      </c>
      <c r="E13" s="64">
        <f>IFERROR(VLOOKUP(A13,[8]IES_ACRE_31_12_2017!$C$6:$L$92,10,0),0)</f>
        <v>4</v>
      </c>
      <c r="F13" s="64">
        <f t="shared" si="0"/>
        <v>0</v>
      </c>
      <c r="G13" s="64">
        <f t="shared" si="1"/>
        <v>0</v>
      </c>
      <c r="H13" s="64">
        <f t="shared" si="2"/>
        <v>57.142857142857139</v>
      </c>
      <c r="I13" s="64">
        <f t="shared" si="3"/>
        <v>57.142857142857139</v>
      </c>
      <c r="J13" s="65">
        <f t="shared" si="4"/>
        <v>2.1505376344086009E-2</v>
      </c>
      <c r="K13" s="66">
        <f t="shared" si="5"/>
        <v>54725.860215053734</v>
      </c>
    </row>
    <row r="14" spans="1:11" x14ac:dyDescent="0.25">
      <c r="A14" s="51" t="s">
        <v>42</v>
      </c>
      <c r="B14" s="51" t="s">
        <v>35</v>
      </c>
      <c r="C14" s="64">
        <f>IFERROR(VLOOKUP(A14,[8]IES_ACRE_31_12_2017!$C$6:$N$92,12,0),0)</f>
        <v>1</v>
      </c>
      <c r="D14" s="64">
        <f>IFERROR(VLOOKUP(A14,[8]IES_ACRE_31_12_2017!$C$6:$M$92,11,0),0)</f>
        <v>0</v>
      </c>
      <c r="E14" s="64">
        <f>IFERROR(VLOOKUP(A14,[8]IES_ACRE_31_12_2017!$C$6:$L$92,10,0),0)</f>
        <v>3</v>
      </c>
      <c r="F14" s="64">
        <f t="shared" si="0"/>
        <v>100</v>
      </c>
      <c r="G14" s="64">
        <f t="shared" si="1"/>
        <v>0</v>
      </c>
      <c r="H14" s="64">
        <f t="shared" si="2"/>
        <v>42.857142857142854</v>
      </c>
      <c r="I14" s="64">
        <f t="shared" si="3"/>
        <v>142.85714285714286</v>
      </c>
      <c r="J14" s="65">
        <f t="shared" si="4"/>
        <v>5.3763440860215034E-2</v>
      </c>
      <c r="K14" s="66">
        <f t="shared" si="5"/>
        <v>136814.65053763436</v>
      </c>
    </row>
    <row r="15" spans="1:11" x14ac:dyDescent="0.25">
      <c r="A15" s="51" t="s">
        <v>43</v>
      </c>
      <c r="B15" s="51" t="s">
        <v>36</v>
      </c>
      <c r="C15" s="64">
        <f>IFERROR(VLOOKUP(A15,[8]IES_ACRE_31_12_2017!$C$6:$N$92,12,0),0)</f>
        <v>0</v>
      </c>
      <c r="D15" s="64">
        <f>IFERROR(VLOOKUP(A15,[8]IES_ACRE_31_12_2017!$C$6:$M$92,11,0),0)</f>
        <v>0</v>
      </c>
      <c r="E15" s="64">
        <f>IFERROR(VLOOKUP(A15,[8]IES_ACRE_31_12_2017!$C$6:$L$92,10,0),0)</f>
        <v>4</v>
      </c>
      <c r="F15" s="64">
        <f t="shared" si="0"/>
        <v>0</v>
      </c>
      <c r="G15" s="64">
        <f t="shared" si="1"/>
        <v>0</v>
      </c>
      <c r="H15" s="64">
        <f t="shared" si="2"/>
        <v>57.142857142857139</v>
      </c>
      <c r="I15" s="64">
        <f t="shared" si="3"/>
        <v>57.142857142857139</v>
      </c>
      <c r="J15" s="65">
        <f t="shared" si="4"/>
        <v>2.1505376344086009E-2</v>
      </c>
      <c r="K15" s="66">
        <f t="shared" si="5"/>
        <v>54725.860215053734</v>
      </c>
    </row>
    <row r="16" spans="1:11" x14ac:dyDescent="0.25">
      <c r="A16" s="51" t="s">
        <v>44</v>
      </c>
      <c r="B16" s="51" t="s">
        <v>37</v>
      </c>
      <c r="C16" s="64">
        <f>IFERROR(VLOOKUP(A16,[8]IES_ACRE_31_12_2017!$C$6:$N$92,12,0),0)</f>
        <v>1</v>
      </c>
      <c r="D16" s="64">
        <f>IFERROR(VLOOKUP(A16,[8]IES_ACRE_31_12_2017!$C$6:$M$92,11,0),0)</f>
        <v>0</v>
      </c>
      <c r="E16" s="64">
        <f>IFERROR(VLOOKUP(A16,[8]IES_ACRE_31_12_2017!$C$6:$L$92,10,0),0)</f>
        <v>4</v>
      </c>
      <c r="F16" s="64">
        <f t="shared" si="0"/>
        <v>100</v>
      </c>
      <c r="G16" s="64">
        <f t="shared" si="1"/>
        <v>0</v>
      </c>
      <c r="H16" s="64">
        <f t="shared" si="2"/>
        <v>57.142857142857139</v>
      </c>
      <c r="I16" s="64">
        <f t="shared" si="3"/>
        <v>157.14285714285714</v>
      </c>
      <c r="J16" s="65">
        <f t="shared" si="4"/>
        <v>5.9139784946236534E-2</v>
      </c>
      <c r="K16" s="66">
        <f t="shared" si="5"/>
        <v>150496.1155913978</v>
      </c>
    </row>
    <row r="17" spans="1:11" x14ac:dyDescent="0.25">
      <c r="A17" s="51" t="s">
        <v>170</v>
      </c>
      <c r="B17" s="51" t="s">
        <v>39</v>
      </c>
      <c r="C17" s="64">
        <f>IFERROR(VLOOKUP(A17,[8]IES_ACRE_31_12_2017!$C$6:$N$92,12,0),0)</f>
        <v>0</v>
      </c>
      <c r="D17" s="64">
        <f>IFERROR(VLOOKUP(A17,[8]IES_ACRE_31_12_2017!$C$6:$M$92,11,0),0)</f>
        <v>0</v>
      </c>
      <c r="E17" s="64">
        <f>IFERROR(VLOOKUP(A17,[8]IES_ACRE_31_12_2017!$C$6:$L$92,10,0),0)</f>
        <v>3</v>
      </c>
      <c r="F17" s="64">
        <f t="shared" si="0"/>
        <v>0</v>
      </c>
      <c r="G17" s="64">
        <f t="shared" si="1"/>
        <v>0</v>
      </c>
      <c r="H17" s="64">
        <f t="shared" si="2"/>
        <v>42.857142857142854</v>
      </c>
      <c r="I17" s="64">
        <f t="shared" si="3"/>
        <v>42.857142857142854</v>
      </c>
      <c r="J17" s="65">
        <f t="shared" si="4"/>
        <v>1.6129032258064509E-2</v>
      </c>
      <c r="K17" s="66">
        <f t="shared" si="5"/>
        <v>41044.395161290304</v>
      </c>
    </row>
    <row r="18" spans="1:11" x14ac:dyDescent="0.25">
      <c r="A18" s="51" t="s">
        <v>47</v>
      </c>
      <c r="B18" s="51" t="s">
        <v>40</v>
      </c>
      <c r="C18" s="64">
        <f>IFERROR(VLOOKUP(A18,[8]IES_ACRE_31_12_2017!$C$6:$N$92,12,0),0)</f>
        <v>0</v>
      </c>
      <c r="D18" s="64">
        <f>IFERROR(VLOOKUP(A18,[8]IES_ACRE_31_12_2017!$C$6:$M$92,11,0),0)</f>
        <v>0</v>
      </c>
      <c r="E18" s="64">
        <f>IFERROR(VLOOKUP(A18,[8]IES_ACRE_31_12_2017!$C$6:$L$92,10,0),0)</f>
        <v>4</v>
      </c>
      <c r="F18" s="64">
        <f t="shared" si="0"/>
        <v>0</v>
      </c>
      <c r="G18" s="64">
        <f t="shared" si="1"/>
        <v>0</v>
      </c>
      <c r="H18" s="64">
        <f t="shared" si="2"/>
        <v>57.142857142857139</v>
      </c>
      <c r="I18" s="64">
        <f t="shared" si="3"/>
        <v>57.142857142857139</v>
      </c>
      <c r="J18" s="65">
        <f t="shared" si="4"/>
        <v>2.1505376344086009E-2</v>
      </c>
      <c r="K18" s="66">
        <f t="shared" si="5"/>
        <v>54725.860215053734</v>
      </c>
    </row>
    <row r="19" spans="1:11" x14ac:dyDescent="0.25">
      <c r="A19" s="51" t="s">
        <v>111</v>
      </c>
      <c r="B19" s="51" t="s">
        <v>112</v>
      </c>
      <c r="C19" s="64">
        <f>IFERROR(VLOOKUP(A19,[8]IES_ACRE_31_12_2017!$C$6:$N$92,12,0),0)</f>
        <v>0</v>
      </c>
      <c r="D19" s="64">
        <f>IFERROR(VLOOKUP(A19,[8]IES_ACRE_31_12_2017!$C$6:$M$92,11,0),0)</f>
        <v>0</v>
      </c>
      <c r="E19" s="64">
        <f>IFERROR(VLOOKUP(A19,[8]IES_ACRE_31_12_2017!$C$6:$L$92,10,0),0)</f>
        <v>0</v>
      </c>
      <c r="F19" s="64">
        <f t="shared" si="0"/>
        <v>0</v>
      </c>
      <c r="G19" s="64">
        <f t="shared" si="1"/>
        <v>0</v>
      </c>
      <c r="H19" s="64">
        <f t="shared" si="2"/>
        <v>0</v>
      </c>
      <c r="I19" s="64">
        <f t="shared" si="3"/>
        <v>0</v>
      </c>
      <c r="J19" s="65">
        <f t="shared" si="4"/>
        <v>0</v>
      </c>
      <c r="K19" s="66">
        <f t="shared" si="5"/>
        <v>0</v>
      </c>
    </row>
    <row r="20" spans="1:11" x14ac:dyDescent="0.25">
      <c r="A20" s="51" t="s">
        <v>113</v>
      </c>
      <c r="B20" s="51" t="s">
        <v>114</v>
      </c>
      <c r="C20" s="64">
        <f>IFERROR(VLOOKUP(A20,[8]IES_ACRE_31_12_2017!$C$6:$N$92,12,0),0)</f>
        <v>0</v>
      </c>
      <c r="D20" s="64">
        <f>IFERROR(VLOOKUP(A20,[8]IES_ACRE_31_12_2017!$C$6:$M$92,11,0),0)</f>
        <v>0</v>
      </c>
      <c r="E20" s="64">
        <f>IFERROR(VLOOKUP(A20,[8]IES_ACRE_31_12_2017!$C$6:$L$92,10,0),0)</f>
        <v>0</v>
      </c>
      <c r="F20" s="64">
        <f t="shared" si="0"/>
        <v>0</v>
      </c>
      <c r="G20" s="64">
        <f t="shared" si="1"/>
        <v>0</v>
      </c>
      <c r="H20" s="64">
        <f t="shared" si="2"/>
        <v>0</v>
      </c>
      <c r="I20" s="64">
        <f t="shared" si="3"/>
        <v>0</v>
      </c>
      <c r="J20" s="65">
        <f t="shared" si="4"/>
        <v>0</v>
      </c>
      <c r="K20" s="66">
        <f t="shared" si="5"/>
        <v>0</v>
      </c>
    </row>
    <row r="21" spans="1:11" x14ac:dyDescent="0.25">
      <c r="C21" s="71">
        <f t="shared" ref="C21:K21" si="6">SUM(C3:C20)</f>
        <v>11</v>
      </c>
      <c r="D21" s="71">
        <f t="shared" si="6"/>
        <v>5</v>
      </c>
      <c r="E21" s="71">
        <f t="shared" si="6"/>
        <v>74</v>
      </c>
      <c r="F21" s="71">
        <f t="shared" si="6"/>
        <v>1100</v>
      </c>
      <c r="G21" s="71">
        <f t="shared" si="6"/>
        <v>500</v>
      </c>
      <c r="H21" s="71">
        <f t="shared" si="6"/>
        <v>1057.1428571428571</v>
      </c>
      <c r="I21" s="71">
        <f t="shared" si="6"/>
        <v>2657.1428571428582</v>
      </c>
      <c r="J21" s="71">
        <f t="shared" si="6"/>
        <v>0.99999999999999956</v>
      </c>
      <c r="K21" s="71">
        <f t="shared" si="6"/>
        <v>2544752.4999999991</v>
      </c>
    </row>
    <row r="24" spans="1:11" x14ac:dyDescent="0.25">
      <c r="A24" t="s">
        <v>186</v>
      </c>
      <c r="B24" s="13">
        <f>'Montos CM 2018'!B36/6</f>
        <v>2544752.5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4559A-3A8B-4F61-8795-8F172962E6FA}">
  <dimension ref="A2:E24"/>
  <sheetViews>
    <sheetView workbookViewId="0">
      <selection activeCell="A19" sqref="A19:A20"/>
    </sheetView>
  </sheetViews>
  <sheetFormatPr baseColWidth="10" defaultRowHeight="15" x14ac:dyDescent="0.25"/>
  <cols>
    <col min="1" max="1" width="50" bestFit="1" customWidth="1"/>
    <col min="5" max="5" width="12.140625" bestFit="1" customWidth="1"/>
  </cols>
  <sheetData>
    <row r="2" spans="1:5" ht="25.5" x14ac:dyDescent="0.25">
      <c r="A2" s="62" t="s">
        <v>22</v>
      </c>
      <c r="B2" s="63" t="s">
        <v>10</v>
      </c>
      <c r="C2" s="63" t="s">
        <v>179</v>
      </c>
      <c r="D2" s="63" t="s">
        <v>178</v>
      </c>
      <c r="E2" s="63" t="s">
        <v>177</v>
      </c>
    </row>
    <row r="3" spans="1:5" x14ac:dyDescent="0.25">
      <c r="A3" s="51" t="s">
        <v>23</v>
      </c>
      <c r="B3" s="51" t="s">
        <v>13</v>
      </c>
      <c r="C3" s="66">
        <f>IFERROR(VLOOKUP(A3,'[9]Indicador c.1)'!$B$2:$C$62,2,0),0)</f>
        <v>1031</v>
      </c>
      <c r="D3" s="65">
        <f>C3/$C$21</f>
        <v>0.3260594560404807</v>
      </c>
      <c r="E3" s="72">
        <f>D3*$B$24</f>
        <v>829740.61590765335</v>
      </c>
    </row>
    <row r="4" spans="1:5" x14ac:dyDescent="0.25">
      <c r="A4" s="51" t="s">
        <v>24</v>
      </c>
      <c r="B4" s="51" t="s">
        <v>14</v>
      </c>
      <c r="C4" s="66">
        <f>IFERROR(VLOOKUP(A4,'[9]Indicador c.1)'!$B$2:$C$62,2,0),0)</f>
        <v>405</v>
      </c>
      <c r="D4" s="65">
        <f t="shared" ref="D4:D20" si="0">C4/$C$21</f>
        <v>0.12808349146110057</v>
      </c>
      <c r="E4" s="72">
        <f t="shared" ref="E4:E20" si="1">D4*$B$24</f>
        <v>325940.78510436433</v>
      </c>
    </row>
    <row r="5" spans="1:5" x14ac:dyDescent="0.25">
      <c r="A5" s="51" t="s">
        <v>30</v>
      </c>
      <c r="B5" s="51" t="s">
        <v>20</v>
      </c>
      <c r="C5" s="66">
        <f>IFERROR(VLOOKUP(A5,'[9]Indicador c.1)'!$B$2:$C$62,2,0),0)</f>
        <v>135</v>
      </c>
      <c r="D5" s="65">
        <f t="shared" si="0"/>
        <v>4.2694497153700189E-2</v>
      </c>
      <c r="E5" s="72">
        <f t="shared" si="1"/>
        <v>108646.92836812144</v>
      </c>
    </row>
    <row r="6" spans="1:5" x14ac:dyDescent="0.25">
      <c r="A6" s="51" t="s">
        <v>27</v>
      </c>
      <c r="B6" s="51" t="s">
        <v>17</v>
      </c>
      <c r="C6" s="66">
        <f>IFERROR(VLOOKUP(A6,'[9]Indicador c.1)'!$B$2:$C$62,2,0),0)</f>
        <v>185</v>
      </c>
      <c r="D6" s="65">
        <f t="shared" si="0"/>
        <v>5.8507273877292855E-2</v>
      </c>
      <c r="E6" s="72">
        <f t="shared" si="1"/>
        <v>148886.5314674257</v>
      </c>
    </row>
    <row r="7" spans="1:5" x14ac:dyDescent="0.25">
      <c r="A7" s="51" t="s">
        <v>26</v>
      </c>
      <c r="B7" s="51" t="s">
        <v>16</v>
      </c>
      <c r="C7" s="66">
        <f>IFERROR(VLOOKUP(A7,'[9]Indicador c.1)'!$B$2:$C$62,2,0),0)</f>
        <v>213</v>
      </c>
      <c r="D7" s="65">
        <f t="shared" si="0"/>
        <v>6.7362428842504748E-2</v>
      </c>
      <c r="E7" s="72">
        <f t="shared" si="1"/>
        <v>171420.70920303607</v>
      </c>
    </row>
    <row r="8" spans="1:5" x14ac:dyDescent="0.25">
      <c r="A8" s="51" t="s">
        <v>180</v>
      </c>
      <c r="B8" s="51" t="s">
        <v>21</v>
      </c>
      <c r="C8" s="66">
        <f>IFERROR(VLOOKUP(A8,'[9]Indicador c.1)'!$B$2:$C$62,2,0),0)</f>
        <v>124</v>
      </c>
      <c r="D8" s="65">
        <f t="shared" si="0"/>
        <v>3.9215686274509803E-2</v>
      </c>
      <c r="E8" s="72">
        <f t="shared" si="1"/>
        <v>99794.215686274503</v>
      </c>
    </row>
    <row r="9" spans="1:5" x14ac:dyDescent="0.25">
      <c r="A9" s="51" t="s">
        <v>181</v>
      </c>
      <c r="B9" s="51" t="s">
        <v>15</v>
      </c>
      <c r="C9" s="66">
        <f>IFERROR(VLOOKUP(A9,'[9]Indicador c.1)'!$B$2:$C$62,2,0),0)</f>
        <v>216</v>
      </c>
      <c r="D9" s="65">
        <f t="shared" si="0"/>
        <v>6.8311195445920306E-2</v>
      </c>
      <c r="E9" s="72">
        <f t="shared" si="1"/>
        <v>173835.08538899431</v>
      </c>
    </row>
    <row r="10" spans="1:5" x14ac:dyDescent="0.25">
      <c r="A10" s="51" t="s">
        <v>182</v>
      </c>
      <c r="B10" s="51" t="s">
        <v>19</v>
      </c>
      <c r="C10" s="66">
        <f>IFERROR(VLOOKUP(A10,'[9]Indicador c.1)'!$B$2:$C$62,2,0),0)</f>
        <v>218</v>
      </c>
      <c r="D10" s="65">
        <f t="shared" si="0"/>
        <v>6.8943706514864006E-2</v>
      </c>
      <c r="E10" s="72">
        <f t="shared" si="1"/>
        <v>175444.66951296647</v>
      </c>
    </row>
    <row r="11" spans="1:5" x14ac:dyDescent="0.25">
      <c r="A11" s="51" t="s">
        <v>28</v>
      </c>
      <c r="B11" s="51" t="s">
        <v>18</v>
      </c>
      <c r="C11" s="66">
        <f>IFERROR(VLOOKUP(A11,'[9]Indicador c.1)'!$B$2:$C$62,2,0),0)</f>
        <v>111</v>
      </c>
      <c r="D11" s="65">
        <f t="shared" si="0"/>
        <v>3.510436432637571E-2</v>
      </c>
      <c r="E11" s="72">
        <f t="shared" si="1"/>
        <v>89331.9188804554</v>
      </c>
    </row>
    <row r="12" spans="1:5" x14ac:dyDescent="0.25">
      <c r="A12" s="51" t="s">
        <v>183</v>
      </c>
      <c r="B12" s="51" t="s">
        <v>38</v>
      </c>
      <c r="C12" s="66">
        <f>IFERROR(VLOOKUP(A12,'[9]Indicador c.1)'!$B$2:$C$62,2,0),0)</f>
        <v>110</v>
      </c>
      <c r="D12" s="65">
        <f t="shared" si="0"/>
        <v>3.478810879190386E-2</v>
      </c>
      <c r="E12" s="72">
        <f t="shared" si="1"/>
        <v>88527.126818469333</v>
      </c>
    </row>
    <row r="13" spans="1:5" x14ac:dyDescent="0.25">
      <c r="A13" s="51" t="s">
        <v>41</v>
      </c>
      <c r="B13" s="51" t="s">
        <v>34</v>
      </c>
      <c r="C13" s="66">
        <f>IFERROR(VLOOKUP(A13,'[9]Indicador c.1)'!$B$2:$C$62,2,0),0)</f>
        <v>62</v>
      </c>
      <c r="D13" s="65">
        <f t="shared" si="0"/>
        <v>1.9607843137254902E-2</v>
      </c>
      <c r="E13" s="72">
        <f t="shared" si="1"/>
        <v>49897.107843137252</v>
      </c>
    </row>
    <row r="14" spans="1:5" x14ac:dyDescent="0.25">
      <c r="A14" s="51" t="s">
        <v>42</v>
      </c>
      <c r="B14" s="51" t="s">
        <v>35</v>
      </c>
      <c r="C14" s="66">
        <f>IFERROR(VLOOKUP(A14,'[9]Indicador c.1)'!$B$2:$C$62,2,0),0)</f>
        <v>70</v>
      </c>
      <c r="D14" s="65">
        <f t="shared" si="0"/>
        <v>2.2137887413029727E-2</v>
      </c>
      <c r="E14" s="72">
        <f t="shared" si="1"/>
        <v>56335.444339025933</v>
      </c>
    </row>
    <row r="15" spans="1:5" x14ac:dyDescent="0.25">
      <c r="A15" s="51" t="s">
        <v>43</v>
      </c>
      <c r="B15" s="51" t="s">
        <v>36</v>
      </c>
      <c r="C15" s="66">
        <f>IFERROR(VLOOKUP(A15,'[9]Indicador c.1)'!$B$2:$C$62,2,0),0)</f>
        <v>89</v>
      </c>
      <c r="D15" s="65">
        <f t="shared" si="0"/>
        <v>2.8146742567994938E-2</v>
      </c>
      <c r="E15" s="72">
        <f t="shared" si="1"/>
        <v>71626.493516761533</v>
      </c>
    </row>
    <row r="16" spans="1:5" x14ac:dyDescent="0.25">
      <c r="A16" s="51" t="s">
        <v>44</v>
      </c>
      <c r="B16" s="51" t="s">
        <v>37</v>
      </c>
      <c r="C16" s="66">
        <f>IFERROR(VLOOKUP(A16,'[9]Indicador c.1)'!$B$2:$C$62,2,0),0)</f>
        <v>57</v>
      </c>
      <c r="D16" s="65">
        <f t="shared" si="0"/>
        <v>1.8026565464895637E-2</v>
      </c>
      <c r="E16" s="72">
        <f t="shared" si="1"/>
        <v>45873.147533206837</v>
      </c>
    </row>
    <row r="17" spans="1:5" x14ac:dyDescent="0.25">
      <c r="A17" s="51" t="s">
        <v>184</v>
      </c>
      <c r="B17" s="51" t="s">
        <v>39</v>
      </c>
      <c r="C17" s="66">
        <f>IFERROR(VLOOKUP(A17,'[9]Indicador c.1)'!$B$2:$C$62,2,0),0)</f>
        <v>60</v>
      </c>
      <c r="D17" s="65">
        <f t="shared" si="0"/>
        <v>1.8975332068311195E-2</v>
      </c>
      <c r="E17" s="72">
        <f t="shared" si="1"/>
        <v>48287.523719165081</v>
      </c>
    </row>
    <row r="18" spans="1:5" x14ac:dyDescent="0.25">
      <c r="A18" s="51" t="s">
        <v>185</v>
      </c>
      <c r="B18" s="51" t="s">
        <v>40</v>
      </c>
      <c r="C18" s="66">
        <f>IFERROR(VLOOKUP(A18,'[9]Indicador c.1)'!$B$2:$C$62,2,0),0)</f>
        <v>47</v>
      </c>
      <c r="D18" s="65">
        <f t="shared" si="0"/>
        <v>1.4864010120177103E-2</v>
      </c>
      <c r="E18" s="72">
        <f t="shared" si="1"/>
        <v>37825.226913345985</v>
      </c>
    </row>
    <row r="19" spans="1:5" x14ac:dyDescent="0.25">
      <c r="A19" s="51" t="s">
        <v>191</v>
      </c>
      <c r="B19" s="51" t="s">
        <v>112</v>
      </c>
      <c r="C19" s="66">
        <f>IFERROR(VLOOKUP(A19,'[9]Indicador c.1)'!$B$2:$C$62,2,0),0)</f>
        <v>22</v>
      </c>
      <c r="D19" s="65">
        <f t="shared" si="0"/>
        <v>6.957621758380772E-3</v>
      </c>
      <c r="E19" s="72">
        <f t="shared" si="1"/>
        <v>17705.425363693867</v>
      </c>
    </row>
    <row r="20" spans="1:5" x14ac:dyDescent="0.25">
      <c r="A20" s="51" t="s">
        <v>192</v>
      </c>
      <c r="B20" s="51" t="s">
        <v>114</v>
      </c>
      <c r="C20" s="66">
        <f>IFERROR(VLOOKUP(A20,'[9]Indicador c.1)'!$B$2:$C$62,2,0),0)</f>
        <v>7</v>
      </c>
      <c r="D20" s="65">
        <f t="shared" si="0"/>
        <v>2.213788741302973E-3</v>
      </c>
      <c r="E20" s="72">
        <f t="shared" si="1"/>
        <v>5633.5444339025935</v>
      </c>
    </row>
    <row r="21" spans="1:5" x14ac:dyDescent="0.25">
      <c r="C21" s="73">
        <f>SUM(C3:C20)</f>
        <v>3162</v>
      </c>
      <c r="D21" s="74">
        <f>SUM(D3:D20)</f>
        <v>1.0000000000000002</v>
      </c>
      <c r="E21" s="75">
        <f>SUM(E3:E20)</f>
        <v>2544752.4999999991</v>
      </c>
    </row>
    <row r="24" spans="1:5" x14ac:dyDescent="0.25">
      <c r="A24" t="s">
        <v>187</v>
      </c>
      <c r="B24" s="13">
        <f>'Montos CM 2018'!B36/6</f>
        <v>2544752.5</v>
      </c>
    </row>
  </sheetData>
  <autoFilter ref="A2:C20" xr:uid="{8ABAA2A2-4EA5-4CA7-A3F1-190DB176F36F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BB12F-9721-4CA1-B8BD-0B9F5ECF5FC5}">
  <dimension ref="A2:E24"/>
  <sheetViews>
    <sheetView workbookViewId="0">
      <selection activeCell="B24" sqref="B24"/>
    </sheetView>
  </sheetViews>
  <sheetFormatPr baseColWidth="10" defaultRowHeight="15" x14ac:dyDescent="0.25"/>
  <cols>
    <col min="1" max="1" width="50" bestFit="1" customWidth="1"/>
    <col min="5" max="5" width="13.140625" bestFit="1" customWidth="1"/>
  </cols>
  <sheetData>
    <row r="2" spans="1:5" ht="38.25" x14ac:dyDescent="0.25">
      <c r="A2" s="62" t="s">
        <v>22</v>
      </c>
      <c r="B2" s="63" t="s">
        <v>10</v>
      </c>
      <c r="C2" s="63" t="s">
        <v>188</v>
      </c>
      <c r="D2" s="63" t="s">
        <v>178</v>
      </c>
      <c r="E2" s="63" t="s">
        <v>177</v>
      </c>
    </row>
    <row r="3" spans="1:5" x14ac:dyDescent="0.25">
      <c r="A3" s="51" t="s">
        <v>23</v>
      </c>
      <c r="B3" s="76" t="s">
        <v>13</v>
      </c>
      <c r="C3" s="64">
        <f>IFERROR(VLOOKUP(B3,Categorías!B5:AI22,34,0),0)</f>
        <v>35</v>
      </c>
      <c r="D3" s="65">
        <f>C3/$C$21</f>
        <v>0.47945205479452052</v>
      </c>
      <c r="E3" s="72">
        <f>D3*$B$24</f>
        <v>1220086.8150684931</v>
      </c>
    </row>
    <row r="4" spans="1:5" x14ac:dyDescent="0.25">
      <c r="A4" s="51" t="s">
        <v>24</v>
      </c>
      <c r="B4" s="76" t="s">
        <v>14</v>
      </c>
      <c r="C4" s="64">
        <f>IFERROR(VLOOKUP(B4,Categorías!B6:AI23,34,0),0)</f>
        <v>10</v>
      </c>
      <c r="D4" s="65">
        <f t="shared" ref="D4:D20" si="0">C4/$C$21</f>
        <v>0.13698630136986301</v>
      </c>
      <c r="E4" s="72">
        <f t="shared" ref="E4:E20" si="1">D4*$B$24</f>
        <v>348596.23287671228</v>
      </c>
    </row>
    <row r="5" spans="1:5" x14ac:dyDescent="0.25">
      <c r="A5" s="51" t="s">
        <v>30</v>
      </c>
      <c r="B5" s="76" t="s">
        <v>20</v>
      </c>
      <c r="C5" s="64">
        <f>IFERROR(VLOOKUP(B5,Categorías!B7:AI24,34,0),0)</f>
        <v>2</v>
      </c>
      <c r="D5" s="65">
        <f t="shared" si="0"/>
        <v>2.7397260273972601E-2</v>
      </c>
      <c r="E5" s="72">
        <f t="shared" si="1"/>
        <v>69719.246575342462</v>
      </c>
    </row>
    <row r="6" spans="1:5" x14ac:dyDescent="0.25">
      <c r="A6" s="51" t="s">
        <v>27</v>
      </c>
      <c r="B6" s="76" t="s">
        <v>17</v>
      </c>
      <c r="C6" s="64">
        <f>IFERROR(VLOOKUP(B6,Categorías!B8:AI25,34,0),0)</f>
        <v>6</v>
      </c>
      <c r="D6" s="65">
        <f t="shared" si="0"/>
        <v>8.2191780821917804E-2</v>
      </c>
      <c r="E6" s="72">
        <f t="shared" si="1"/>
        <v>209157.73972602739</v>
      </c>
    </row>
    <row r="7" spans="1:5" x14ac:dyDescent="0.25">
      <c r="A7" s="51" t="s">
        <v>26</v>
      </c>
      <c r="B7" s="76" t="s">
        <v>16</v>
      </c>
      <c r="C7" s="64">
        <f>IFERROR(VLOOKUP(B7,Categorías!B9:AI26,34,0),0)</f>
        <v>7</v>
      </c>
      <c r="D7" s="65">
        <f t="shared" si="0"/>
        <v>9.5890410958904104E-2</v>
      </c>
      <c r="E7" s="72">
        <f t="shared" si="1"/>
        <v>244017.3630136986</v>
      </c>
    </row>
    <row r="8" spans="1:5" x14ac:dyDescent="0.25">
      <c r="A8" s="51" t="s">
        <v>180</v>
      </c>
      <c r="B8" s="76" t="s">
        <v>21</v>
      </c>
      <c r="C8" s="64">
        <f>IFERROR(VLOOKUP(B8,Categorías!B10:AI27,34,0),0)</f>
        <v>1</v>
      </c>
      <c r="D8" s="65">
        <f t="shared" si="0"/>
        <v>1.3698630136986301E-2</v>
      </c>
      <c r="E8" s="72">
        <f t="shared" si="1"/>
        <v>34859.623287671231</v>
      </c>
    </row>
    <row r="9" spans="1:5" x14ac:dyDescent="0.25">
      <c r="A9" s="51" t="s">
        <v>181</v>
      </c>
      <c r="B9" s="76" t="s">
        <v>15</v>
      </c>
      <c r="C9" s="64">
        <f>IFERROR(VLOOKUP(B9,Categorías!B11:AI28,34,0),0)</f>
        <v>5</v>
      </c>
      <c r="D9" s="65">
        <f t="shared" si="0"/>
        <v>6.8493150684931503E-2</v>
      </c>
      <c r="E9" s="72">
        <f t="shared" si="1"/>
        <v>174298.11643835614</v>
      </c>
    </row>
    <row r="10" spans="1:5" x14ac:dyDescent="0.25">
      <c r="A10" s="51" t="s">
        <v>182</v>
      </c>
      <c r="B10" s="76" t="s">
        <v>19</v>
      </c>
      <c r="C10" s="64">
        <f>IFERROR(VLOOKUP(B10,Categorías!B12:AI29,34,0),0)</f>
        <v>2</v>
      </c>
      <c r="D10" s="65">
        <f t="shared" si="0"/>
        <v>2.7397260273972601E-2</v>
      </c>
      <c r="E10" s="72">
        <f t="shared" si="1"/>
        <v>69719.246575342462</v>
      </c>
    </row>
    <row r="11" spans="1:5" x14ac:dyDescent="0.25">
      <c r="A11" s="51" t="s">
        <v>28</v>
      </c>
      <c r="B11" s="76" t="s">
        <v>18</v>
      </c>
      <c r="C11" s="64">
        <f>IFERROR(VLOOKUP(B11,Categorías!B13:AI29,34,0),0)</f>
        <v>3</v>
      </c>
      <c r="D11" s="65">
        <f t="shared" si="0"/>
        <v>4.1095890410958902E-2</v>
      </c>
      <c r="E11" s="72">
        <f t="shared" si="1"/>
        <v>104578.86986301369</v>
      </c>
    </row>
    <row r="12" spans="1:5" x14ac:dyDescent="0.25">
      <c r="A12" s="51" t="s">
        <v>183</v>
      </c>
      <c r="B12" s="76" t="s">
        <v>38</v>
      </c>
      <c r="C12" s="64">
        <f>IFERROR(VLOOKUP(B12,Categorías!B14:AI29,34,0),0)</f>
        <v>1</v>
      </c>
      <c r="D12" s="65">
        <f t="shared" si="0"/>
        <v>1.3698630136986301E-2</v>
      </c>
      <c r="E12" s="72">
        <f t="shared" si="1"/>
        <v>34859.623287671231</v>
      </c>
    </row>
    <row r="13" spans="1:5" x14ac:dyDescent="0.25">
      <c r="A13" s="51" t="s">
        <v>41</v>
      </c>
      <c r="B13" s="76" t="s">
        <v>34</v>
      </c>
      <c r="C13" s="64">
        <f>IFERROR(VLOOKUP(B13,Categorías!B15:AI29,34,0),0)</f>
        <v>0</v>
      </c>
      <c r="D13" s="65">
        <f t="shared" si="0"/>
        <v>0</v>
      </c>
      <c r="E13" s="72">
        <f t="shared" si="1"/>
        <v>0</v>
      </c>
    </row>
    <row r="14" spans="1:5" x14ac:dyDescent="0.25">
      <c r="A14" s="51" t="s">
        <v>42</v>
      </c>
      <c r="B14" s="76" t="s">
        <v>35</v>
      </c>
      <c r="C14" s="64">
        <f>IFERROR(VLOOKUP(B14,Categorías!B16:AI29,34,0),0)</f>
        <v>0</v>
      </c>
      <c r="D14" s="65">
        <f t="shared" si="0"/>
        <v>0</v>
      </c>
      <c r="E14" s="72">
        <f t="shared" si="1"/>
        <v>0</v>
      </c>
    </row>
    <row r="15" spans="1:5" x14ac:dyDescent="0.25">
      <c r="A15" s="51" t="s">
        <v>43</v>
      </c>
      <c r="B15" s="76" t="s">
        <v>36</v>
      </c>
      <c r="C15" s="64">
        <f>IFERROR(VLOOKUP(B15,Categorías!B17:AI30,34,0),0)</f>
        <v>1</v>
      </c>
      <c r="D15" s="65">
        <f t="shared" si="0"/>
        <v>1.3698630136986301E-2</v>
      </c>
      <c r="E15" s="72">
        <f t="shared" si="1"/>
        <v>34859.623287671231</v>
      </c>
    </row>
    <row r="16" spans="1:5" x14ac:dyDescent="0.25">
      <c r="A16" s="51" t="s">
        <v>44</v>
      </c>
      <c r="B16" s="76" t="s">
        <v>37</v>
      </c>
      <c r="C16" s="64">
        <f>IFERROR(VLOOKUP(B16,Categorías!B18:AI31,34,0),0)</f>
        <v>0</v>
      </c>
      <c r="D16" s="65">
        <f t="shared" si="0"/>
        <v>0</v>
      </c>
      <c r="E16" s="72">
        <f t="shared" si="1"/>
        <v>0</v>
      </c>
    </row>
    <row r="17" spans="1:5" x14ac:dyDescent="0.25">
      <c r="A17" s="51" t="s">
        <v>184</v>
      </c>
      <c r="B17" s="76" t="s">
        <v>39</v>
      </c>
      <c r="C17" s="64">
        <f>IFERROR(VLOOKUP(B17,Categorías!B19:AI32,34,0),0)</f>
        <v>0</v>
      </c>
      <c r="D17" s="65">
        <f t="shared" si="0"/>
        <v>0</v>
      </c>
      <c r="E17" s="72">
        <f t="shared" si="1"/>
        <v>0</v>
      </c>
    </row>
    <row r="18" spans="1:5" x14ac:dyDescent="0.25">
      <c r="A18" s="51" t="s">
        <v>185</v>
      </c>
      <c r="B18" s="76" t="s">
        <v>40</v>
      </c>
      <c r="C18" s="64">
        <f>IFERROR(VLOOKUP(B18,Categorías!B20:AI32,34,0),0)</f>
        <v>0</v>
      </c>
      <c r="D18" s="65">
        <f t="shared" si="0"/>
        <v>0</v>
      </c>
      <c r="E18" s="72">
        <f t="shared" si="1"/>
        <v>0</v>
      </c>
    </row>
    <row r="19" spans="1:5" x14ac:dyDescent="0.25">
      <c r="A19" s="51" t="s">
        <v>111</v>
      </c>
      <c r="B19" s="76" t="s">
        <v>112</v>
      </c>
      <c r="C19" s="64">
        <f>IFERROR(VLOOKUP(B19,Categorías!B21:AI32,34,0),0)</f>
        <v>0</v>
      </c>
      <c r="D19" s="65">
        <f t="shared" si="0"/>
        <v>0</v>
      </c>
      <c r="E19" s="72">
        <f t="shared" si="1"/>
        <v>0</v>
      </c>
    </row>
    <row r="20" spans="1:5" x14ac:dyDescent="0.25">
      <c r="A20" s="51" t="s">
        <v>113</v>
      </c>
      <c r="B20" s="76" t="s">
        <v>114</v>
      </c>
      <c r="C20" s="64">
        <f>IFERROR(VLOOKUP(B20,Categorías!B22:AI33,34,0),0)</f>
        <v>0</v>
      </c>
      <c r="D20" s="65">
        <f t="shared" si="0"/>
        <v>0</v>
      </c>
      <c r="E20" s="72">
        <f t="shared" si="1"/>
        <v>0</v>
      </c>
    </row>
    <row r="21" spans="1:5" x14ac:dyDescent="0.25">
      <c r="C21" s="77">
        <f>SUM(C3:C20)</f>
        <v>73</v>
      </c>
      <c r="D21" s="78">
        <f>SUM(D3:D20)</f>
        <v>1.0000000000000002</v>
      </c>
      <c r="E21" s="75">
        <f>SUM(E3:E20)</f>
        <v>2544752.5</v>
      </c>
    </row>
    <row r="24" spans="1:5" x14ac:dyDescent="0.25">
      <c r="A24" t="s">
        <v>187</v>
      </c>
      <c r="B24" s="13">
        <f>'Montos CM 2018'!B36/6</f>
        <v>2544752.5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EE5E-24A6-4BFE-AB11-397F663DB8B0}">
  <dimension ref="A2:E24"/>
  <sheetViews>
    <sheetView workbookViewId="0">
      <selection activeCell="C19" sqref="C19"/>
    </sheetView>
  </sheetViews>
  <sheetFormatPr baseColWidth="10" defaultRowHeight="15" x14ac:dyDescent="0.25"/>
  <cols>
    <col min="1" max="1" width="50" bestFit="1" customWidth="1"/>
    <col min="5" max="5" width="12" bestFit="1" customWidth="1"/>
  </cols>
  <sheetData>
    <row r="2" spans="1:5" ht="25.5" x14ac:dyDescent="0.25">
      <c r="A2" s="62" t="s">
        <v>22</v>
      </c>
      <c r="B2" s="63" t="s">
        <v>10</v>
      </c>
      <c r="C2" s="63" t="s">
        <v>189</v>
      </c>
      <c r="D2" s="63" t="s">
        <v>178</v>
      </c>
      <c r="E2" s="63" t="s">
        <v>177</v>
      </c>
    </row>
    <row r="3" spans="1:5" x14ac:dyDescent="0.25">
      <c r="A3" s="51" t="s">
        <v>23</v>
      </c>
      <c r="B3" s="76" t="s">
        <v>13</v>
      </c>
      <c r="C3" s="66">
        <f>IFERROR(VLOOKUP(A3,'[9]Indicador c.1)'!$B$2:$F$62,5,0),0)</f>
        <v>1559</v>
      </c>
      <c r="D3" s="65">
        <f>C3/$C$21</f>
        <v>0.2349660889223813</v>
      </c>
      <c r="E3" s="72">
        <f>D3*$B$24</f>
        <v>597930.54220045207</v>
      </c>
    </row>
    <row r="4" spans="1:5" x14ac:dyDescent="0.25">
      <c r="A4" s="51" t="s">
        <v>24</v>
      </c>
      <c r="B4" s="76" t="s">
        <v>14</v>
      </c>
      <c r="C4" s="66">
        <f>IFERROR(VLOOKUP(A4,'[9]Indicador c.1)'!$B$2:$F$62,5,0),0)</f>
        <v>640</v>
      </c>
      <c r="D4" s="65">
        <f t="shared" ref="D4:D20" si="0">C4/$C$21</f>
        <v>9.6458176337603618E-2</v>
      </c>
      <c r="E4" s="72">
        <f t="shared" ref="E4:E20" si="1">D4*$B$24</f>
        <v>245462.18538055764</v>
      </c>
    </row>
    <row r="5" spans="1:5" x14ac:dyDescent="0.25">
      <c r="A5" s="51" t="s">
        <v>30</v>
      </c>
      <c r="B5" s="76" t="s">
        <v>20</v>
      </c>
      <c r="C5" s="66">
        <f>IFERROR(VLOOKUP(A5,'[9]Indicador c.1)'!$B$2:$F$62,5,0),0)</f>
        <v>315</v>
      </c>
      <c r="D5" s="65">
        <f t="shared" si="0"/>
        <v>4.7475508666164283E-2</v>
      </c>
      <c r="E5" s="72">
        <f t="shared" si="1"/>
        <v>120813.41936699323</v>
      </c>
    </row>
    <row r="6" spans="1:5" x14ac:dyDescent="0.25">
      <c r="A6" s="51" t="s">
        <v>27</v>
      </c>
      <c r="B6" s="76" t="s">
        <v>17</v>
      </c>
      <c r="C6" s="66">
        <f>IFERROR(VLOOKUP(A6,'[9]Indicador c.1)'!$B$2:$F$62,5,0),0)</f>
        <v>320</v>
      </c>
      <c r="D6" s="65">
        <f t="shared" si="0"/>
        <v>4.8229088168801809E-2</v>
      </c>
      <c r="E6" s="72">
        <f t="shared" si="1"/>
        <v>122731.09269027882</v>
      </c>
    </row>
    <row r="7" spans="1:5" x14ac:dyDescent="0.25">
      <c r="A7" s="51" t="s">
        <v>26</v>
      </c>
      <c r="B7" s="76" t="s">
        <v>16</v>
      </c>
      <c r="C7" s="66">
        <f>IFERROR(VLOOKUP(A7,'[9]Indicador c.1)'!$B$2:$F$62,5,0),0)</f>
        <v>364</v>
      </c>
      <c r="D7" s="65">
        <f t="shared" si="0"/>
        <v>5.4860587792012055E-2</v>
      </c>
      <c r="E7" s="72">
        <f t="shared" si="1"/>
        <v>139606.61793519216</v>
      </c>
    </row>
    <row r="8" spans="1:5" x14ac:dyDescent="0.25">
      <c r="A8" s="51" t="s">
        <v>180</v>
      </c>
      <c r="B8" s="76" t="s">
        <v>21</v>
      </c>
      <c r="C8" s="66">
        <f>IFERROR(VLOOKUP(A8,'[9]Indicador c.1)'!$B$2:$F$62,5,0),0)</f>
        <v>319</v>
      </c>
      <c r="D8" s="65">
        <f t="shared" si="0"/>
        <v>4.80783722682743E-2</v>
      </c>
      <c r="E8" s="72">
        <f t="shared" si="1"/>
        <v>122347.55802562169</v>
      </c>
    </row>
    <row r="9" spans="1:5" x14ac:dyDescent="0.25">
      <c r="A9" s="51" t="s">
        <v>181</v>
      </c>
      <c r="B9" s="76" t="s">
        <v>15</v>
      </c>
      <c r="C9" s="66">
        <f>IFERROR(VLOOKUP(A9,'[9]Indicador c.1)'!$B$2:$F$62,5,0),0)</f>
        <v>568</v>
      </c>
      <c r="D9" s="65">
        <f t="shared" si="0"/>
        <v>8.5606631499623206E-2</v>
      </c>
      <c r="E9" s="72">
        <f t="shared" si="1"/>
        <v>217847.6895252449</v>
      </c>
    </row>
    <row r="10" spans="1:5" x14ac:dyDescent="0.25">
      <c r="A10" s="51" t="s">
        <v>182</v>
      </c>
      <c r="B10" s="76" t="s">
        <v>19</v>
      </c>
      <c r="C10" s="66">
        <f>IFERROR(VLOOKUP(A10,'[9]Indicador c.1)'!$B$2:$F$62,5,0),0)</f>
        <v>461</v>
      </c>
      <c r="D10" s="65">
        <f t="shared" si="0"/>
        <v>6.9480030143180105E-2</v>
      </c>
      <c r="E10" s="72">
        <f t="shared" si="1"/>
        <v>176809.48040693294</v>
      </c>
    </row>
    <row r="11" spans="1:5" x14ac:dyDescent="0.25">
      <c r="A11" s="51" t="s">
        <v>28</v>
      </c>
      <c r="B11" s="76" t="s">
        <v>18</v>
      </c>
      <c r="C11" s="66">
        <f>IFERROR(VLOOKUP(A11,'[9]Indicador c.1)'!$B$2:$F$62,5,0),0)</f>
        <v>232</v>
      </c>
      <c r="D11" s="65">
        <f t="shared" si="0"/>
        <v>3.496608892238131E-2</v>
      </c>
      <c r="E11" s="72">
        <f t="shared" si="1"/>
        <v>88980.042200452139</v>
      </c>
    </row>
    <row r="12" spans="1:5" x14ac:dyDescent="0.25">
      <c r="A12" s="51" t="s">
        <v>183</v>
      </c>
      <c r="B12" s="76" t="s">
        <v>38</v>
      </c>
      <c r="C12" s="66">
        <f>IFERROR(VLOOKUP(A12,'[9]Indicador c.1)'!$B$2:$F$62,5,0),0)</f>
        <v>314</v>
      </c>
      <c r="D12" s="65">
        <f t="shared" si="0"/>
        <v>4.7324792765636774E-2</v>
      </c>
      <c r="E12" s="72">
        <f t="shared" si="1"/>
        <v>120429.88470233609</v>
      </c>
    </row>
    <row r="13" spans="1:5" x14ac:dyDescent="0.25">
      <c r="A13" s="51" t="s">
        <v>41</v>
      </c>
      <c r="B13" s="76" t="s">
        <v>34</v>
      </c>
      <c r="C13" s="66">
        <f>IFERROR(VLOOKUP(A13,'[9]Indicador c.1)'!$B$2:$F$62,5,0),0)</f>
        <v>273</v>
      </c>
      <c r="D13" s="65">
        <f t="shared" si="0"/>
        <v>4.1145440844009042E-2</v>
      </c>
      <c r="E13" s="72">
        <f t="shared" si="1"/>
        <v>104704.96345139411</v>
      </c>
    </row>
    <row r="14" spans="1:5" x14ac:dyDescent="0.25">
      <c r="A14" s="51" t="s">
        <v>42</v>
      </c>
      <c r="B14" s="76" t="s">
        <v>35</v>
      </c>
      <c r="C14" s="66">
        <f>IFERROR(VLOOKUP(A14,'[9]Indicador c.1)'!$B$2:$F$62,5,0),0)</f>
        <v>311</v>
      </c>
      <c r="D14" s="65">
        <f t="shared" si="0"/>
        <v>4.6872645064054259E-2</v>
      </c>
      <c r="E14" s="72">
        <f t="shared" si="1"/>
        <v>119279.28070836473</v>
      </c>
    </row>
    <row r="15" spans="1:5" x14ac:dyDescent="0.25">
      <c r="A15" s="51" t="s">
        <v>43</v>
      </c>
      <c r="B15" s="76" t="s">
        <v>36</v>
      </c>
      <c r="C15" s="66">
        <f>IFERROR(VLOOKUP(A15,'[9]Indicador c.1)'!$B$2:$F$62,5,0),0)</f>
        <v>294</v>
      </c>
      <c r="D15" s="65">
        <f t="shared" si="0"/>
        <v>4.4310474755086662E-2</v>
      </c>
      <c r="E15" s="72">
        <f t="shared" si="1"/>
        <v>112759.19140919368</v>
      </c>
    </row>
    <row r="16" spans="1:5" x14ac:dyDescent="0.25">
      <c r="A16" s="51" t="s">
        <v>44</v>
      </c>
      <c r="B16" s="76" t="s">
        <v>37</v>
      </c>
      <c r="C16" s="66">
        <f>IFERROR(VLOOKUP(A16,'[9]Indicador c.1)'!$B$2:$F$62,5,0),0)</f>
        <v>189</v>
      </c>
      <c r="D16" s="65">
        <f t="shared" si="0"/>
        <v>2.8485305199698569E-2</v>
      </c>
      <c r="E16" s="72">
        <f t="shared" si="1"/>
        <v>72488.05162019594</v>
      </c>
    </row>
    <row r="17" spans="1:5" x14ac:dyDescent="0.25">
      <c r="A17" s="51" t="s">
        <v>184</v>
      </c>
      <c r="B17" s="76" t="s">
        <v>39</v>
      </c>
      <c r="C17" s="66">
        <f>IFERROR(VLOOKUP(A17,'[9]Indicador c.1)'!$B$2:$F$62,5,0),0)</f>
        <v>240</v>
      </c>
      <c r="D17" s="65">
        <f t="shared" si="0"/>
        <v>3.6171816126601357E-2</v>
      </c>
      <c r="E17" s="72">
        <f t="shared" si="1"/>
        <v>92048.319517709126</v>
      </c>
    </row>
    <row r="18" spans="1:5" x14ac:dyDescent="0.25">
      <c r="A18" s="51" t="s">
        <v>185</v>
      </c>
      <c r="B18" s="76" t="s">
        <v>40</v>
      </c>
      <c r="C18" s="66">
        <f>IFERROR(VLOOKUP(A18,'[9]Indicador c.1)'!$B$2:$F$62,5,0),0)</f>
        <v>195</v>
      </c>
      <c r="D18" s="65">
        <f t="shared" si="0"/>
        <v>2.9389600602863601E-2</v>
      </c>
      <c r="E18" s="72">
        <f t="shared" si="1"/>
        <v>74789.259608138658</v>
      </c>
    </row>
    <row r="19" spans="1:5" x14ac:dyDescent="0.25">
      <c r="A19" s="51" t="s">
        <v>191</v>
      </c>
      <c r="B19" s="76" t="s">
        <v>112</v>
      </c>
      <c r="C19" s="66">
        <f>IFERROR(VLOOKUP(A19,'[9]Indicador c.1)'!$B$2:$F$62,5,0),0)</f>
        <v>27</v>
      </c>
      <c r="D19" s="65">
        <f t="shared" si="0"/>
        <v>4.0693293142426527E-3</v>
      </c>
      <c r="E19" s="72">
        <f t="shared" si="1"/>
        <v>10355.435945742276</v>
      </c>
    </row>
    <row r="20" spans="1:5" x14ac:dyDescent="0.25">
      <c r="A20" s="51" t="s">
        <v>192</v>
      </c>
      <c r="B20" s="76" t="s">
        <v>114</v>
      </c>
      <c r="C20" s="66">
        <f>IFERROR(VLOOKUP(A20,'[9]Indicador c.1)'!$B$2:$F$62,5,0),0)</f>
        <v>14</v>
      </c>
      <c r="D20" s="65">
        <f t="shared" si="0"/>
        <v>2.1100226073850793E-3</v>
      </c>
      <c r="E20" s="72">
        <f t="shared" si="1"/>
        <v>5369.4853051996988</v>
      </c>
    </row>
    <row r="21" spans="1:5" x14ac:dyDescent="0.25">
      <c r="C21" s="73">
        <f>SUM(C3:C20)</f>
        <v>6635</v>
      </c>
      <c r="D21" s="78">
        <f>SUM(D3:D20)</f>
        <v>1</v>
      </c>
      <c r="E21" s="73">
        <f>SUM(E3:E20)</f>
        <v>2544752.5000000009</v>
      </c>
    </row>
    <row r="24" spans="1:5" x14ac:dyDescent="0.25">
      <c r="A24" t="s">
        <v>187</v>
      </c>
      <c r="B24" s="13">
        <f>'Montos CM 2018'!B36/6</f>
        <v>2544752.5</v>
      </c>
    </row>
  </sheetData>
  <autoFilter ref="A2:C20" xr:uid="{F104A81B-AC08-48F4-A852-4A21590014B4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DC5B1-E8B6-4875-B61D-F7AD45B4FE41}">
  <dimension ref="A2:E24"/>
  <sheetViews>
    <sheetView workbookViewId="0">
      <selection activeCell="L25" sqref="L25"/>
    </sheetView>
  </sheetViews>
  <sheetFormatPr baseColWidth="10" defaultRowHeight="15" x14ac:dyDescent="0.25"/>
  <cols>
    <col min="1" max="1" width="50" bestFit="1" customWidth="1"/>
  </cols>
  <sheetData>
    <row r="2" spans="1:5" ht="38.25" x14ac:dyDescent="0.25">
      <c r="A2" s="62" t="s">
        <v>22</v>
      </c>
      <c r="B2" s="63" t="s">
        <v>10</v>
      </c>
      <c r="C2" s="63" t="s">
        <v>190</v>
      </c>
      <c r="D2" s="63" t="s">
        <v>178</v>
      </c>
      <c r="E2" s="63" t="s">
        <v>177</v>
      </c>
    </row>
    <row r="3" spans="1:5" x14ac:dyDescent="0.25">
      <c r="A3" s="51" t="s">
        <v>23</v>
      </c>
      <c r="B3" s="76" t="s">
        <v>13</v>
      </c>
      <c r="C3" s="66">
        <f>IFERROR(VLOOKUP(B3,[10]Matricula_total!$C$8:$D$25,2,0),0)</f>
        <v>28183</v>
      </c>
      <c r="D3" s="65">
        <f>C3/$C$21</f>
        <v>0.16924083926834249</v>
      </c>
      <c r="E3" s="66">
        <f>D3*$B$24</f>
        <v>430676.04883021273</v>
      </c>
    </row>
    <row r="4" spans="1:5" x14ac:dyDescent="0.25">
      <c r="A4" s="51" t="s">
        <v>24</v>
      </c>
      <c r="B4" s="76" t="s">
        <v>14</v>
      </c>
      <c r="C4" s="66">
        <f>IFERROR(VLOOKUP(B4,[10]Matricula_total!$C$8:$D$25,2,0),0)</f>
        <v>18965</v>
      </c>
      <c r="D4" s="65">
        <f t="shared" ref="D4:D20" si="0">C4/$C$21</f>
        <v>0.1138861198851831</v>
      </c>
      <c r="E4" s="66">
        <f t="shared" ref="E4:E20" si="1">D4*$B$24</f>
        <v>289811.98829311942</v>
      </c>
    </row>
    <row r="5" spans="1:5" x14ac:dyDescent="0.25">
      <c r="A5" s="51" t="s">
        <v>30</v>
      </c>
      <c r="B5" s="76" t="s">
        <v>20</v>
      </c>
      <c r="C5" s="66">
        <f>IFERROR(VLOOKUP(B5,[10]Matricula_total!$C$8:$D$25,2,0),0)</f>
        <v>7275</v>
      </c>
      <c r="D5" s="65">
        <f t="shared" si="0"/>
        <v>4.368687171973145E-2</v>
      </c>
      <c r="E5" s="66">
        <f t="shared" si="1"/>
        <v>111172.27602596591</v>
      </c>
    </row>
    <row r="6" spans="1:5" x14ac:dyDescent="0.25">
      <c r="A6" s="51" t="s">
        <v>27</v>
      </c>
      <c r="B6" s="76" t="s">
        <v>17</v>
      </c>
      <c r="C6" s="66">
        <f>IFERROR(VLOOKUP(B6,[10]Matricula_total!$C$8:$D$25,2,0),0)</f>
        <v>9682</v>
      </c>
      <c r="D6" s="65">
        <f t="shared" si="0"/>
        <v>5.8141071063977999E-2</v>
      </c>
      <c r="E6" s="66">
        <f t="shared" si="1"/>
        <v>147954.63594273568</v>
      </c>
    </row>
    <row r="7" spans="1:5" x14ac:dyDescent="0.25">
      <c r="A7" s="51" t="s">
        <v>26</v>
      </c>
      <c r="B7" s="76" t="s">
        <v>16</v>
      </c>
      <c r="C7" s="66">
        <f>IFERROR(VLOOKUP(B7,[10]Matricula_total!$C$8:$D$25,2,0),0)</f>
        <v>9946</v>
      </c>
      <c r="D7" s="65">
        <f t="shared" si="0"/>
        <v>5.9726409089271348E-2</v>
      </c>
      <c r="E7" s="66">
        <f t="shared" si="1"/>
        <v>151988.92884594598</v>
      </c>
    </row>
    <row r="8" spans="1:5" x14ac:dyDescent="0.25">
      <c r="A8" s="51" t="s">
        <v>180</v>
      </c>
      <c r="B8" s="76" t="s">
        <v>21</v>
      </c>
      <c r="C8" s="66">
        <f>IFERROR(VLOOKUP(B8,[10]Matricula_total!$C$8:$D$25,2,0),0)</f>
        <v>8452</v>
      </c>
      <c r="D8" s="65">
        <f t="shared" si="0"/>
        <v>5.0754837082497631E-2</v>
      </c>
      <c r="E8" s="66">
        <f t="shared" si="1"/>
        <v>129158.49855277855</v>
      </c>
    </row>
    <row r="9" spans="1:5" x14ac:dyDescent="0.25">
      <c r="A9" s="51" t="s">
        <v>181</v>
      </c>
      <c r="B9" s="76" t="s">
        <v>15</v>
      </c>
      <c r="C9" s="66">
        <f>IFERROR(VLOOKUP(B9,[10]Matricula_total!$C$8:$D$25,2,0),0)</f>
        <v>14936</v>
      </c>
      <c r="D9" s="65">
        <f t="shared" si="0"/>
        <v>8.969169979462667E-2</v>
      </c>
      <c r="E9" s="66">
        <f t="shared" si="1"/>
        <v>228243.17728162571</v>
      </c>
    </row>
    <row r="10" spans="1:5" x14ac:dyDescent="0.25">
      <c r="A10" s="51" t="s">
        <v>182</v>
      </c>
      <c r="B10" s="76" t="s">
        <v>19</v>
      </c>
      <c r="C10" s="66">
        <f>IFERROR(VLOOKUP(B10,[10]Matricula_total!$C$8:$D$25,2,0),0)</f>
        <v>11419</v>
      </c>
      <c r="D10" s="65">
        <f t="shared" si="0"/>
        <v>6.8571874662214913E-2</v>
      </c>
      <c r="E10" s="66">
        <f t="shared" si="1"/>
        <v>174498.44947635804</v>
      </c>
    </row>
    <row r="11" spans="1:5" x14ac:dyDescent="0.25">
      <c r="A11" s="51" t="s">
        <v>28</v>
      </c>
      <c r="B11" s="76" t="s">
        <v>18</v>
      </c>
      <c r="C11" s="66">
        <f>IFERROR(VLOOKUP(B11,[10]Matricula_total!$C$8:$D$25,2,0),0)</f>
        <v>7411</v>
      </c>
      <c r="D11" s="65">
        <f t="shared" si="0"/>
        <v>4.4503561005488634E-2</v>
      </c>
      <c r="E11" s="66">
        <f t="shared" si="1"/>
        <v>113250.54812761971</v>
      </c>
    </row>
    <row r="12" spans="1:5" x14ac:dyDescent="0.25">
      <c r="A12" s="51" t="s">
        <v>183</v>
      </c>
      <c r="B12" s="76" t="s">
        <v>38</v>
      </c>
      <c r="C12" s="66">
        <f>IFERROR(VLOOKUP(B12,[10]Matricula_total!$C$8:$D$25,2,0),0)</f>
        <v>7795</v>
      </c>
      <c r="D12" s="65">
        <f t="shared" si="0"/>
        <v>4.6809507224097137E-2</v>
      </c>
      <c r="E12" s="66">
        <f t="shared" si="1"/>
        <v>119118.61053228925</v>
      </c>
    </row>
    <row r="13" spans="1:5" x14ac:dyDescent="0.25">
      <c r="A13" s="51" t="s">
        <v>41</v>
      </c>
      <c r="B13" s="76" t="s">
        <v>34</v>
      </c>
      <c r="C13" s="66">
        <f>IFERROR(VLOOKUP(B13,[10]Matricula_total!$C$8:$D$25,2,0),0)</f>
        <v>9618</v>
      </c>
      <c r="D13" s="65">
        <f t="shared" si="0"/>
        <v>5.7756746694209916E-2</v>
      </c>
      <c r="E13" s="66">
        <f t="shared" si="1"/>
        <v>146976.62554195742</v>
      </c>
    </row>
    <row r="14" spans="1:5" x14ac:dyDescent="0.25">
      <c r="A14" s="51" t="s">
        <v>42</v>
      </c>
      <c r="B14" s="76" t="s">
        <v>35</v>
      </c>
      <c r="C14" s="66">
        <f>IFERROR(VLOOKUP(B14,[10]Matricula_total!$C$8:$D$25,2,0),0)</f>
        <v>6899</v>
      </c>
      <c r="D14" s="65">
        <f t="shared" si="0"/>
        <v>4.142896604734396E-2</v>
      </c>
      <c r="E14" s="66">
        <f t="shared" si="1"/>
        <v>105426.46492139366</v>
      </c>
    </row>
    <row r="15" spans="1:5" x14ac:dyDescent="0.25">
      <c r="A15" s="51" t="s">
        <v>43</v>
      </c>
      <c r="B15" s="76" t="s">
        <v>36</v>
      </c>
      <c r="C15" s="66">
        <f>IFERROR(VLOOKUP(B15,[10]Matricula_total!$C$8:$D$25,2,0),0)</f>
        <v>8320</v>
      </c>
      <c r="D15" s="65">
        <f t="shared" si="0"/>
        <v>4.9962168069850953E-2</v>
      </c>
      <c r="E15" s="66">
        <f t="shared" si="1"/>
        <v>127141.35210117338</v>
      </c>
    </row>
    <row r="16" spans="1:5" x14ac:dyDescent="0.25">
      <c r="A16" s="51" t="s">
        <v>44</v>
      </c>
      <c r="B16" s="76" t="s">
        <v>37</v>
      </c>
      <c r="C16" s="66">
        <f>IFERROR(VLOOKUP(B16,[10]Matricula_total!$C$8:$D$25,2,0),0)</f>
        <v>4102</v>
      </c>
      <c r="D16" s="65">
        <f t="shared" si="0"/>
        <v>2.4632790074823149E-2</v>
      </c>
      <c r="E16" s="66">
        <f t="shared" si="1"/>
        <v>62684.354124881393</v>
      </c>
    </row>
    <row r="17" spans="1:5" x14ac:dyDescent="0.25">
      <c r="A17" s="51" t="s">
        <v>184</v>
      </c>
      <c r="B17" s="76" t="s">
        <v>39</v>
      </c>
      <c r="C17" s="66">
        <f>IFERROR(VLOOKUP(B17,[10]Matricula_total!$C$8:$D$25,2,0),0)</f>
        <v>4701</v>
      </c>
      <c r="D17" s="65">
        <f t="shared" si="0"/>
        <v>2.8229825973121313E-2</v>
      </c>
      <c r="E17" s="66">
        <f t="shared" si="1"/>
        <v>71837.920219665393</v>
      </c>
    </row>
    <row r="18" spans="1:5" x14ac:dyDescent="0.25">
      <c r="A18" s="51" t="s">
        <v>185</v>
      </c>
      <c r="B18" s="76" t="s">
        <v>40</v>
      </c>
      <c r="C18" s="66">
        <f>IFERROR(VLOOKUP(B18,[10]Matricula_total!$C$8:$D$25,2,0),0)</f>
        <v>8294</v>
      </c>
      <c r="D18" s="65">
        <f t="shared" si="0"/>
        <v>4.980603629463267E-2</v>
      </c>
      <c r="E18" s="66">
        <f t="shared" si="1"/>
        <v>126744.03537585723</v>
      </c>
    </row>
    <row r="19" spans="1:5" x14ac:dyDescent="0.25">
      <c r="A19" s="51" t="s">
        <v>111</v>
      </c>
      <c r="B19" s="76" t="s">
        <v>112</v>
      </c>
      <c r="C19" s="66">
        <f>IFERROR(VLOOKUP(B19,[10]Matricula_total!$C$8:$D$25,2,0),0)</f>
        <v>435</v>
      </c>
      <c r="D19" s="65">
        <f t="shared" si="0"/>
        <v>2.6122047007674479E-3</v>
      </c>
      <c r="E19" s="66">
        <f t="shared" si="1"/>
        <v>6647.4144427897145</v>
      </c>
    </row>
    <row r="20" spans="1:5" x14ac:dyDescent="0.25">
      <c r="A20" s="51" t="s">
        <v>113</v>
      </c>
      <c r="B20" s="76" t="s">
        <v>114</v>
      </c>
      <c r="C20" s="66">
        <f>IFERROR(VLOOKUP(B20,[10]Matricula_total!$C$8:$D$25,2,0),0)</f>
        <v>93</v>
      </c>
      <c r="D20" s="65">
        <f t="shared" si="0"/>
        <v>5.5847134981924741E-4</v>
      </c>
      <c r="E20" s="66">
        <f t="shared" si="1"/>
        <v>1421.1713636309044</v>
      </c>
    </row>
    <row r="21" spans="1:5" x14ac:dyDescent="0.25">
      <c r="C21" s="73">
        <f>SUM(C3:C20)</f>
        <v>166526</v>
      </c>
      <c r="D21" s="73">
        <f>SUM(D3:D20)</f>
        <v>1</v>
      </c>
      <c r="E21" s="73">
        <f>SUM(E3:E20)</f>
        <v>2544752.5</v>
      </c>
    </row>
    <row r="24" spans="1:5" x14ac:dyDescent="0.25">
      <c r="A24" t="s">
        <v>187</v>
      </c>
      <c r="B24" s="13">
        <f>'Montos CM 2018'!B36/6</f>
        <v>2544752.5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Montos CM 2018</vt:lpstr>
      <vt:lpstr>Montos CM 2018 Anticipo</vt:lpstr>
      <vt:lpstr>Categorías</vt:lpstr>
      <vt:lpstr>Valores</vt:lpstr>
      <vt:lpstr>Indicadores</vt:lpstr>
      <vt:lpstr>Publicaciones CM</vt:lpstr>
      <vt:lpstr>Acreditación CM</vt:lpstr>
      <vt:lpstr>Doctorado JC CM</vt:lpstr>
      <vt:lpstr>Programas Doct. Acreditados CM</vt:lpstr>
      <vt:lpstr>Académicos JC CM</vt:lpstr>
      <vt:lpstr>Matrícula Regular Pre CM</vt:lpstr>
      <vt:lpstr>'Montos CM 2018'!Títulos_a_imprimir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Roxana Acuña Molina</cp:lastModifiedBy>
  <cp:lastPrinted>2018-07-25T16:57:24Z</cp:lastPrinted>
  <dcterms:created xsi:type="dcterms:W3CDTF">2016-05-30T15:19:10Z</dcterms:created>
  <dcterms:modified xsi:type="dcterms:W3CDTF">2019-06-13T15:22:50Z</dcterms:modified>
</cp:coreProperties>
</file>