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540" yWindow="1575" windowWidth="12735" windowHeight="8025" tabRatio="659"/>
  </bookViews>
  <sheets>
    <sheet name="Detalle FI 2016" sheetId="11" r:id="rId1"/>
    <sheet name="DATOS Indicadores (DESEMPEÑO)" sheetId="8" r:id="rId2"/>
    <sheet name="Categoria 2016" sheetId="13" r:id="rId3"/>
  </sheets>
  <definedNames>
    <definedName name="_xlnm._FilterDatabase" localSheetId="1" hidden="1">'DATOS Indicadores (DESEMPEÑO)'!$A$7:$BI$12</definedName>
    <definedName name="_xlnm.Print_Titles" localSheetId="1">'DATOS Indicadores (DESEMPEÑO)'!$D:$D</definedName>
  </definedNames>
  <calcPr calcId="145621"/>
</workbook>
</file>

<file path=xl/calcChain.xml><?xml version="1.0" encoding="utf-8"?>
<calcChain xmlns="http://schemas.openxmlformats.org/spreadsheetml/2006/main">
  <c r="BD1" i="8" l="1"/>
  <c r="BD5" i="8" s="1"/>
  <c r="BD4" i="8" l="1"/>
  <c r="B11" i="11" l="1"/>
  <c r="B12" i="11"/>
  <c r="B13" i="11"/>
  <c r="B14" i="11"/>
  <c r="B10" i="11"/>
  <c r="K48" i="13"/>
  <c r="I47" i="13"/>
  <c r="I46" i="13"/>
  <c r="I45" i="13"/>
  <c r="M44" i="13"/>
  <c r="I44" i="13"/>
  <c r="M43" i="13"/>
  <c r="M48" i="13" s="1"/>
  <c r="I43" i="13"/>
  <c r="K38" i="13"/>
  <c r="I37" i="13"/>
  <c r="I36" i="13"/>
  <c r="M35" i="13"/>
  <c r="I35" i="13"/>
  <c r="I34" i="13"/>
  <c r="I33" i="13"/>
  <c r="I32" i="13"/>
  <c r="M31" i="13"/>
  <c r="I31" i="13"/>
  <c r="I30" i="13"/>
  <c r="M29" i="13"/>
  <c r="M38" i="13" s="1"/>
  <c r="H38" i="13"/>
  <c r="K24" i="13"/>
  <c r="I23" i="13"/>
  <c r="I22" i="13"/>
  <c r="I21" i="13"/>
  <c r="I20" i="13"/>
  <c r="I19" i="13"/>
  <c r="I18" i="13"/>
  <c r="I17" i="13"/>
  <c r="M16" i="13"/>
  <c r="I16" i="13"/>
  <c r="I15" i="13"/>
  <c r="I14" i="13"/>
  <c r="I13" i="13"/>
  <c r="I12" i="13"/>
  <c r="I11" i="13"/>
  <c r="M10" i="13"/>
  <c r="I10" i="13"/>
  <c r="I9" i="13"/>
  <c r="M8" i="13"/>
  <c r="D24" i="13" l="1"/>
  <c r="E38" i="13"/>
  <c r="E24" i="13"/>
  <c r="H24" i="13"/>
  <c r="I29" i="13"/>
  <c r="D38" i="13"/>
  <c r="D48" i="13"/>
  <c r="E48" i="13"/>
  <c r="I8" i="13"/>
  <c r="M24" i="13"/>
  <c r="H48" i="13"/>
  <c r="BH4" i="8"/>
  <c r="BH1" i="8" s="1"/>
  <c r="BH5" i="8"/>
  <c r="BI4" i="8" l="1"/>
  <c r="F48" i="13"/>
  <c r="F24" i="13"/>
  <c r="F38" i="13"/>
  <c r="E14" i="11"/>
  <c r="E13" i="11"/>
  <c r="E12" i="11"/>
  <c r="E11" i="11"/>
  <c r="E10" i="11"/>
  <c r="BA12" i="8" l="1"/>
  <c r="AX12" i="8"/>
  <c r="AV12" i="8"/>
  <c r="AT12" i="8"/>
  <c r="AR12" i="8"/>
  <c r="AP12" i="8"/>
  <c r="AN12" i="8"/>
  <c r="AL12" i="8"/>
  <c r="AJ12" i="8"/>
  <c r="AH12" i="8"/>
  <c r="AF12" i="8"/>
  <c r="AE12" i="8"/>
  <c r="AD12" i="8"/>
  <c r="BF12" i="8" s="1"/>
  <c r="BA11" i="8"/>
  <c r="AX11" i="8"/>
  <c r="AV11" i="8"/>
  <c r="AT11" i="8"/>
  <c r="AR11" i="8"/>
  <c r="AP11" i="8"/>
  <c r="AN11" i="8"/>
  <c r="AL11" i="8"/>
  <c r="AJ11" i="8"/>
  <c r="AH11" i="8"/>
  <c r="AF11" i="8"/>
  <c r="AE11" i="8"/>
  <c r="AD11" i="8"/>
  <c r="BF11" i="8" s="1"/>
  <c r="BA10" i="8"/>
  <c r="AX10" i="8"/>
  <c r="AV10" i="8"/>
  <c r="AT10" i="8"/>
  <c r="AR10" i="8"/>
  <c r="AP10" i="8"/>
  <c r="AN10" i="8"/>
  <c r="AL10" i="8"/>
  <c r="AJ10" i="8"/>
  <c r="AH10" i="8"/>
  <c r="AF10" i="8"/>
  <c r="AE10" i="8"/>
  <c r="AD10" i="8"/>
  <c r="BF10" i="8" s="1"/>
  <c r="BA9" i="8"/>
  <c r="AY9" i="8"/>
  <c r="AX9" i="8"/>
  <c r="AV9" i="8"/>
  <c r="AT9" i="8"/>
  <c r="AR9" i="8"/>
  <c r="AP9" i="8"/>
  <c r="AN9" i="8"/>
  <c r="AL9" i="8"/>
  <c r="AJ9" i="8"/>
  <c r="AH9" i="8"/>
  <c r="AF9" i="8"/>
  <c r="AE9" i="8"/>
  <c r="AD9" i="8"/>
  <c r="BF9" i="8" s="1"/>
  <c r="BA8" i="8"/>
  <c r="BB4" i="8" s="1"/>
  <c r="AX8" i="8"/>
  <c r="AV8" i="8"/>
  <c r="AW4" i="8" s="1"/>
  <c r="AW8" i="8" s="1"/>
  <c r="AT8" i="8"/>
  <c r="AR8" i="8"/>
  <c r="AS4" i="8" s="1"/>
  <c r="AS8" i="8" s="1"/>
  <c r="AP8" i="8"/>
  <c r="AQ4" i="8" s="1"/>
  <c r="AN8" i="8"/>
  <c r="AO4" i="8" s="1"/>
  <c r="AO8" i="8" s="1"/>
  <c r="AL8" i="8"/>
  <c r="AM4" i="8" s="1"/>
  <c r="AJ8" i="8"/>
  <c r="AK4" i="8" s="1"/>
  <c r="AK8" i="8" s="1"/>
  <c r="AH8" i="8"/>
  <c r="AI4" i="8" s="1"/>
  <c r="AF8" i="8"/>
  <c r="AG4" i="8" s="1"/>
  <c r="AG8" i="8" s="1"/>
  <c r="AE8" i="8"/>
  <c r="AD8" i="8"/>
  <c r="BF8" i="8" s="1"/>
  <c r="AZ5" i="8"/>
  <c r="BE4" i="8"/>
  <c r="AZ4" i="8"/>
  <c r="AU4" i="8"/>
  <c r="AK5" i="8" l="1"/>
  <c r="AK12" i="8" s="1"/>
  <c r="AM5" i="8"/>
  <c r="AU5" i="8"/>
  <c r="AU9" i="8" s="1"/>
  <c r="AI5" i="8"/>
  <c r="AI10" i="8" s="1"/>
  <c r="AQ5" i="8"/>
  <c r="AQ12" i="8" s="1"/>
  <c r="AS5" i="8"/>
  <c r="AS12" i="8" s="1"/>
  <c r="BB5" i="8"/>
  <c r="AG5" i="8"/>
  <c r="AG9" i="8" s="1"/>
  <c r="AO5" i="8"/>
  <c r="AO11" i="8" s="1"/>
  <c r="AW5" i="8"/>
  <c r="AW12" i="8" s="1"/>
  <c r="AM12" i="8"/>
  <c r="AM11" i="8"/>
  <c r="AM10" i="8"/>
  <c r="AM9" i="8"/>
  <c r="AU11" i="8"/>
  <c r="AU10" i="8"/>
  <c r="AQ11" i="8"/>
  <c r="AM8" i="8"/>
  <c r="AU8" i="8"/>
  <c r="AI8" i="8"/>
  <c r="AQ8" i="8"/>
  <c r="AQ9" i="8" l="1"/>
  <c r="AQ10" i="8"/>
  <c r="AW11" i="8"/>
  <c r="AW10" i="8"/>
  <c r="AW9" i="8"/>
  <c r="AO9" i="8"/>
  <c r="AS9" i="8"/>
  <c r="AI11" i="8"/>
  <c r="AO10" i="8"/>
  <c r="AO12" i="8"/>
  <c r="AK9" i="8"/>
  <c r="AI12" i="8"/>
  <c r="AS11" i="8"/>
  <c r="AK11" i="8"/>
  <c r="AS10" i="8"/>
  <c r="AI9" i="8"/>
  <c r="AK10" i="8"/>
  <c r="AG11" i="8"/>
  <c r="AU12" i="8"/>
  <c r="AG10" i="8"/>
  <c r="AG12" i="8"/>
  <c r="BC8" i="8"/>
  <c r="BC12" i="8" l="1"/>
  <c r="BC10" i="8"/>
  <c r="BC11" i="8"/>
  <c r="BC9" i="8"/>
  <c r="BC4" i="8"/>
  <c r="BD8" i="8" s="1"/>
  <c r="BC5" i="8" l="1"/>
  <c r="BD12" i="8" s="1"/>
  <c r="BE12" i="8"/>
  <c r="BG12" i="8" s="1"/>
  <c r="BH12" i="8"/>
  <c r="BI12" i="8" s="1"/>
  <c r="D13" i="11" s="1"/>
  <c r="BE8" i="8"/>
  <c r="BG8" i="8" s="1"/>
  <c r="BH8" i="8"/>
  <c r="BI8" i="8" s="1"/>
  <c r="D10" i="11" s="1"/>
  <c r="BD9" i="8"/>
  <c r="BD10" i="8"/>
  <c r="BD11" i="8"/>
  <c r="F10" i="11" l="1"/>
  <c r="F13" i="11"/>
  <c r="BE9" i="8"/>
  <c r="BG9" i="8" s="1"/>
  <c r="BH9" i="8"/>
  <c r="BI9" i="8" s="1"/>
  <c r="D12" i="11" s="1"/>
  <c r="BE11" i="8"/>
  <c r="BG11" i="8" s="1"/>
  <c r="BH11" i="8"/>
  <c r="BI11" i="8" s="1"/>
  <c r="D11" i="11" s="1"/>
  <c r="BE10" i="8"/>
  <c r="BG10" i="8" s="1"/>
  <c r="BH10" i="8"/>
  <c r="BI10" i="8" s="1"/>
  <c r="D14" i="11" s="1"/>
  <c r="F14" i="11" l="1"/>
  <c r="F12" i="11"/>
  <c r="F11" i="11"/>
  <c r="D15" i="11"/>
  <c r="F15" i="11" l="1"/>
  <c r="G11" i="11" s="1"/>
  <c r="G13" i="11" l="1"/>
  <c r="G10" i="11"/>
  <c r="G14" i="11"/>
  <c r="G12" i="11"/>
</calcChain>
</file>

<file path=xl/sharedStrings.xml><?xml version="1.0" encoding="utf-8"?>
<sst xmlns="http://schemas.openxmlformats.org/spreadsheetml/2006/main" count="370" uniqueCount="189">
  <si>
    <t>Instituciones</t>
  </si>
  <si>
    <t>UCH</t>
  </si>
  <si>
    <t>U.de Chile</t>
  </si>
  <si>
    <t>PUC</t>
  </si>
  <si>
    <t>P.U. Católica de Chile</t>
  </si>
  <si>
    <t>UCO</t>
  </si>
  <si>
    <t>U. de Concepción</t>
  </si>
  <si>
    <t>UCV</t>
  </si>
  <si>
    <t>P.U. Católica de Valparaíso</t>
  </si>
  <si>
    <t>FSM</t>
  </si>
  <si>
    <t>U. Téc. Federico Sta.Maria</t>
  </si>
  <si>
    <t>USA</t>
  </si>
  <si>
    <t>U. de Santiago</t>
  </si>
  <si>
    <t>AUS</t>
  </si>
  <si>
    <t>U. Austral</t>
  </si>
  <si>
    <t>UCN</t>
  </si>
  <si>
    <t>U. Católica del Norte</t>
  </si>
  <si>
    <t>UVA</t>
  </si>
  <si>
    <t>U. de Valparaíso</t>
  </si>
  <si>
    <t>ANT</t>
  </si>
  <si>
    <t>U. de Antofagasta</t>
  </si>
  <si>
    <t>ULS</t>
  </si>
  <si>
    <t>U. de la Serena</t>
  </si>
  <si>
    <t>UBB</t>
  </si>
  <si>
    <t>U. de Bio Bio</t>
  </si>
  <si>
    <t>FRO</t>
  </si>
  <si>
    <t>U. de la Frontera</t>
  </si>
  <si>
    <t>MAG</t>
  </si>
  <si>
    <t>U. de Magallanes</t>
  </si>
  <si>
    <t>TAL</t>
  </si>
  <si>
    <t>U. de Talca</t>
  </si>
  <si>
    <t>ATA</t>
  </si>
  <si>
    <t>U. de Atacama</t>
  </si>
  <si>
    <t>UTA</t>
  </si>
  <si>
    <t>U. de Tarapacá</t>
  </si>
  <si>
    <t>UAP</t>
  </si>
  <si>
    <t>U. Arturo Prat</t>
  </si>
  <si>
    <t>UMC</t>
  </si>
  <si>
    <t>U. Metropolitana</t>
  </si>
  <si>
    <t>UPA</t>
  </si>
  <si>
    <t>U. de Playa Ancha</t>
  </si>
  <si>
    <t>UTM</t>
  </si>
  <si>
    <t>U.Tecnológica Metropolitana</t>
  </si>
  <si>
    <t>ULA</t>
  </si>
  <si>
    <t>U. de Los Lagos</t>
  </si>
  <si>
    <t>UCM</t>
  </si>
  <si>
    <t>U. Católica de Maule</t>
  </si>
  <si>
    <t>UCT</t>
  </si>
  <si>
    <t>U. Católica de Temuco</t>
  </si>
  <si>
    <t>USC</t>
  </si>
  <si>
    <t>U. C.de la Sant.Concepción</t>
  </si>
  <si>
    <t>INSTITUCIÓN</t>
  </si>
  <si>
    <t>IES</t>
  </si>
  <si>
    <t>UNIVERSIDAD ALBERTO HURTADO</t>
  </si>
  <si>
    <t>U. ALBERTO HURTADO</t>
  </si>
  <si>
    <t>UAH</t>
  </si>
  <si>
    <t>UNIVERSIDAD AUTONOMA DE CHILE</t>
  </si>
  <si>
    <t>U. AUTÓNOMA DE CHILE</t>
  </si>
  <si>
    <t>UAU</t>
  </si>
  <si>
    <t>UNIVERSIDAD CATOLICA SILVA HENRIQUEZ</t>
  </si>
  <si>
    <t>U. C. SILVA HENRÍQUEZ</t>
  </si>
  <si>
    <t>UCS</t>
  </si>
  <si>
    <t>UNIVERSIDAD DIEGO PORTALES</t>
  </si>
  <si>
    <t>U. DIEGO PORTALES</t>
  </si>
  <si>
    <t>UDP</t>
  </si>
  <si>
    <t>UNIVERSIDAD FINIS TERRAE</t>
  </si>
  <si>
    <t>U. FINIS TERRAE</t>
  </si>
  <si>
    <t>UFT</t>
  </si>
  <si>
    <t>Cod</t>
  </si>
  <si>
    <t>Tipo</t>
  </si>
  <si>
    <t>Total Estatal</t>
  </si>
  <si>
    <t>a)</t>
  </si>
  <si>
    <t>b)</t>
  </si>
  <si>
    <t>c)</t>
  </si>
  <si>
    <t>d)</t>
  </si>
  <si>
    <t>U. Privada</t>
  </si>
  <si>
    <t>4. Metropolitana</t>
  </si>
  <si>
    <t>RM</t>
  </si>
  <si>
    <t>II</t>
  </si>
  <si>
    <t>III</t>
  </si>
  <si>
    <t>I</t>
  </si>
  <si>
    <t>Institución</t>
  </si>
  <si>
    <t>UdA-DFI</t>
  </si>
  <si>
    <t>d) e)</t>
  </si>
  <si>
    <t>f)</t>
  </si>
  <si>
    <t>b) c) e)</t>
  </si>
  <si>
    <t>j)</t>
  </si>
  <si>
    <t>g)</t>
  </si>
  <si>
    <t>h)</t>
  </si>
  <si>
    <t>i)</t>
  </si>
  <si>
    <t>Max Categoria</t>
  </si>
  <si>
    <t>SUMA Categoria</t>
  </si>
  <si>
    <t>INAPI</t>
  </si>
  <si>
    <t>CONICYT</t>
  </si>
  <si>
    <t>SIES</t>
  </si>
  <si>
    <t>SOLICITUD PATENTES NACIONALES</t>
  </si>
  <si>
    <t>PUBLICACIONES SCOPUS Y CITAS (DATO U. Privadas CORREGIDO desde CONICYT el 04sep15)</t>
  </si>
  <si>
    <t>ACADEMICOS JC POR CADA 100 MATRICULADOS (A)</t>
  </si>
  <si>
    <t>ACADEMICOS JCE CON PDH-MAG-ESP.MED RESPECTO DEL TOTAL (C)</t>
  </si>
  <si>
    <t>GRADUACIÓN Phd al 5to AÑO(J)</t>
  </si>
  <si>
    <t>PORCENTAJE Q1Q2Q3 EN MATRICULA PRIMER AÑO (G)</t>
  </si>
  <si>
    <t>RETENCIÓN AL CUARTO AÑO (i)</t>
  </si>
  <si>
    <t>Privada II</t>
  </si>
  <si>
    <t>Privada III</t>
  </si>
  <si>
    <t>NOMB_INST</t>
  </si>
  <si>
    <t>NOMB_INST2</t>
  </si>
  <si>
    <t>Cod_SIES</t>
  </si>
  <si>
    <t>COD_INST</t>
  </si>
  <si>
    <t>Categoría 2016
(11ene2015)</t>
  </si>
  <si>
    <t>Tipo_INST</t>
  </si>
  <si>
    <t>Region_INST</t>
  </si>
  <si>
    <t>ZONA_Reg_INST</t>
  </si>
  <si>
    <t>Solicitud_ pat_nac_2013</t>
  </si>
  <si>
    <t>Solicitud_ pat_nac_2014</t>
  </si>
  <si>
    <t>Publicaciones  (citables)
2014</t>
  </si>
  <si>
    <t>Publicaciones 2010_2014 (citables)</t>
  </si>
  <si>
    <t>Citas 2010_2014</t>
  </si>
  <si>
    <t>JC_2014</t>
  </si>
  <si>
    <t>MAT_2014</t>
  </si>
  <si>
    <t>JCE 2014</t>
  </si>
  <si>
    <t>JCE Doctor 2014</t>
  </si>
  <si>
    <t>JCE Magister 2014</t>
  </si>
  <si>
    <t>JCE Esp. Med._Odont. 2014</t>
  </si>
  <si>
    <t>TOTAL MAT PhD 2010</t>
  </si>
  <si>
    <t>Grad_PhD_2010_al_2014</t>
  </si>
  <si>
    <t>MAT_1año_2014(g)</t>
  </si>
  <si>
    <t>Q1_Q2_Q3_MAT_1año_2014</t>
  </si>
  <si>
    <t>MAT_1año_2013(h)</t>
  </si>
  <si>
    <t>MAT_2013_Ret_1er_enMAT_2014</t>
  </si>
  <si>
    <t>MAT_1año_2011(i)</t>
  </si>
  <si>
    <t>MAT_2011_Ret_4to_enMAT_2014</t>
  </si>
  <si>
    <t>a) Corregido</t>
  </si>
  <si>
    <t>b) Corregido</t>
  </si>
  <si>
    <t>c) Corregido</t>
  </si>
  <si>
    <t>d) Corregido</t>
  </si>
  <si>
    <t>e)</t>
  </si>
  <si>
    <t>e) Corregido</t>
  </si>
  <si>
    <t>f) Corregido</t>
  </si>
  <si>
    <t>g) Corregido</t>
  </si>
  <si>
    <t>h) Corregido</t>
  </si>
  <si>
    <t>i) Corregido</t>
  </si>
  <si>
    <t>j)(vericado 2008-2009-2010)</t>
  </si>
  <si>
    <t>j) Corregido</t>
  </si>
  <si>
    <t>k)</t>
  </si>
  <si>
    <t>k) Corregido</t>
  </si>
  <si>
    <t>Promedio corregidos</t>
  </si>
  <si>
    <t>FACTOR 2016
% del promedio</t>
  </si>
  <si>
    <t>Monto 
M$</t>
  </si>
  <si>
    <t>DESEMPEÑO
Monto SIN decimales
M$</t>
  </si>
  <si>
    <t>Total Elemento Desempeño
BD M$</t>
  </si>
  <si>
    <t>%</t>
  </si>
  <si>
    <t xml:space="preserve">Total U. Privada </t>
  </si>
  <si>
    <t>UNIVERSIDADES PRIVADAS ADSCRITAS A GRATUIDAD</t>
  </si>
  <si>
    <t>CÁLCULO APORTE PARA FOMENTO DE INVESTIGACIÓN</t>
  </si>
  <si>
    <t>Universidad
Privada</t>
  </si>
  <si>
    <t>Total Universidad
FI M$</t>
  </si>
  <si>
    <t>Individual</t>
  </si>
  <si>
    <t>CATEGORIAS UNIVERSIDADES CM-BD-FI 2016</t>
  </si>
  <si>
    <t>Acreditación Programas de Doctorado
(web CNA al 31-dic-2015)</t>
  </si>
  <si>
    <t>N° Conjunto desde 5 años</t>
  </si>
  <si>
    <t>N°
Individual + Cjto &gt;de 4 años</t>
  </si>
  <si>
    <t>Categoría
Individual + Cjto &gt;de 4 años</t>
  </si>
  <si>
    <t>Categoría
Publicaciones  (citables)
2014</t>
  </si>
  <si>
    <t>CATEGORÍA</t>
  </si>
  <si>
    <t>Peso categoría</t>
  </si>
  <si>
    <t>proporción</t>
  </si>
  <si>
    <t>Monto categoría</t>
  </si>
  <si>
    <t>Est.</t>
  </si>
  <si>
    <t xml:space="preserve"> _ 6/26</t>
  </si>
  <si>
    <t xml:space="preserve"> _ 12/26</t>
  </si>
  <si>
    <t xml:space="preserve"> _ 8/26</t>
  </si>
  <si>
    <t>Priv.</t>
  </si>
  <si>
    <t xml:space="preserve"> _ 6/17</t>
  </si>
  <si>
    <t>_ 8/17</t>
  </si>
  <si>
    <t>_ 3/17</t>
  </si>
  <si>
    <t>Total Privada CRUCH</t>
  </si>
  <si>
    <t>Privada</t>
  </si>
  <si>
    <t xml:space="preserve"> _ 2/6</t>
  </si>
  <si>
    <t>_ 4/6</t>
  </si>
  <si>
    <t>Total Privada</t>
  </si>
  <si>
    <t>Categoría</t>
  </si>
  <si>
    <t>b) c) d) k)</t>
  </si>
  <si>
    <t>K)</t>
  </si>
  <si>
    <t>Santiago, junio de 2016</t>
  </si>
  <si>
    <t>RETENCIÓN DE PRIMER AÑO (H)
PREGRADO
PLAN REGULAR
DURACION CARRERA &gt;=8
CONSIDERAR MAT RETENCION</t>
  </si>
  <si>
    <t>Categoría 2016</t>
  </si>
  <si>
    <t>TOTAL MAT PhD 2008</t>
  </si>
  <si>
    <t>TOTAL MAT PhD 2009</t>
  </si>
  <si>
    <t>FOMENTO DE INVESTIGACIÓN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</si>
</sst>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#,##0.0"/>
    <numFmt numFmtId="166" formatCode="0.0%"/>
    <numFmt numFmtId="167" formatCode="0.0000000000_ ;\-0.0000000000\ "/>
    <numFmt numFmtId="168" formatCode="0.0"/>
    <numFmt numFmtId="169" formatCode="0.0_ ;\-0.0\ "/>
    <numFmt numFmtId="170" formatCode="0.00000000000_ ;\-0.00000000000\ "/>
    <numFmt numFmtId="171" formatCode="#,##0.000_ ;\-#,##0.000\ "/>
    <numFmt numFmtId="172" formatCode="#,##0.00_ ;\-#,##0.00\ "/>
    <numFmt numFmtId="173" formatCode="#,##0.0000_ ;\-#,##0.000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CC00FF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rgb="FFCC00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CC00FF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rgb="FF7A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C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CC00FF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5" fillId="0" borderId="0" xfId="0" applyFont="1"/>
    <xf numFmtId="165" fontId="5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0" xfId="0" applyFont="1" applyFill="1"/>
    <xf numFmtId="0" fontId="8" fillId="0" borderId="0" xfId="0" applyFont="1"/>
    <xf numFmtId="14" fontId="0" fillId="0" borderId="0" xfId="0" applyNumberFormat="1" applyAlignment="1">
      <alignment horizontal="left"/>
    </xf>
    <xf numFmtId="165" fontId="5" fillId="5" borderId="1" xfId="0" applyNumberFormat="1" applyFont="1" applyFill="1" applyBorder="1"/>
    <xf numFmtId="3" fontId="6" fillId="0" borderId="1" xfId="0" applyNumberFormat="1" applyFont="1" applyFill="1" applyBorder="1"/>
    <xf numFmtId="166" fontId="5" fillId="0" borderId="1" xfId="1" applyNumberFormat="1" applyFont="1" applyBorder="1"/>
    <xf numFmtId="0" fontId="5" fillId="0" borderId="1" xfId="0" applyFont="1" applyBorder="1"/>
    <xf numFmtId="0" fontId="10" fillId="0" borderId="0" xfId="4" applyFont="1"/>
    <xf numFmtId="0" fontId="10" fillId="0" borderId="0" xfId="4" applyFont="1" applyAlignment="1">
      <alignment horizontal="center"/>
    </xf>
    <xf numFmtId="0" fontId="10" fillId="0" borderId="0" xfId="4" applyFont="1" applyFill="1"/>
    <xf numFmtId="0" fontId="16" fillId="0" borderId="0" xfId="4" applyFont="1" applyFill="1"/>
    <xf numFmtId="0" fontId="17" fillId="0" borderId="0" xfId="4" applyFont="1" applyFill="1"/>
    <xf numFmtId="0" fontId="11" fillId="0" borderId="0" xfId="4" applyFont="1" applyFill="1"/>
    <xf numFmtId="0" fontId="18" fillId="0" borderId="0" xfId="4" applyFont="1" applyFill="1" applyAlignment="1">
      <alignment horizontal="center"/>
    </xf>
    <xf numFmtId="0" fontId="19" fillId="0" borderId="0" xfId="4" applyFont="1" applyFill="1"/>
    <xf numFmtId="0" fontId="20" fillId="0" borderId="0" xfId="4" applyFont="1" applyAlignment="1">
      <alignment vertical="center"/>
    </xf>
    <xf numFmtId="0" fontId="22" fillId="0" borderId="0" xfId="4" applyFont="1" applyFill="1" applyAlignment="1">
      <alignment horizontal="center" vertical="center" wrapText="1"/>
    </xf>
    <xf numFmtId="167" fontId="23" fillId="0" borderId="0" xfId="4" applyNumberFormat="1" applyFont="1" applyFill="1" applyAlignment="1">
      <alignment horizontal="center" vertical="center"/>
    </xf>
    <xf numFmtId="0" fontId="21" fillId="0" borderId="0" xfId="4" applyFont="1" applyFill="1" applyAlignment="1">
      <alignment horizontal="center" vertical="center" wrapText="1"/>
    </xf>
    <xf numFmtId="167" fontId="24" fillId="0" borderId="0" xfId="4" applyNumberFormat="1" applyFont="1" applyFill="1" applyAlignment="1">
      <alignment horizontal="center" vertical="center"/>
    </xf>
    <xf numFmtId="3" fontId="25" fillId="0" borderId="0" xfId="4" applyNumberFormat="1" applyFont="1" applyFill="1" applyAlignment="1">
      <alignment horizontal="center" vertical="center" wrapText="1"/>
    </xf>
    <xf numFmtId="0" fontId="15" fillId="0" borderId="0" xfId="4" applyFont="1" applyAlignment="1">
      <alignment vertical="center"/>
    </xf>
    <xf numFmtId="0" fontId="27" fillId="0" borderId="0" xfId="4" applyFont="1" applyFill="1" applyAlignment="1">
      <alignment horizontal="center" vertical="center"/>
    </xf>
    <xf numFmtId="0" fontId="15" fillId="0" borderId="0" xfId="4" applyFont="1" applyFill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28" fillId="0" borderId="0" xfId="4" applyFont="1" applyFill="1" applyAlignment="1">
      <alignment horizontal="center" vertical="center"/>
    </xf>
    <xf numFmtId="0" fontId="29" fillId="0" borderId="0" xfId="4" applyFont="1" applyFill="1" applyAlignment="1">
      <alignment horizontal="center" vertical="center"/>
    </xf>
    <xf numFmtId="0" fontId="9" fillId="0" borderId="1" xfId="4" applyFont="1" applyFill="1" applyBorder="1" applyAlignment="1">
      <alignment horizontal="center" vertical="top" wrapText="1"/>
    </xf>
    <xf numFmtId="0" fontId="30" fillId="0" borderId="1" xfId="4" applyFont="1" applyFill="1" applyBorder="1" applyAlignment="1">
      <alignment horizontal="center" vertical="top" wrapText="1"/>
    </xf>
    <xf numFmtId="0" fontId="31" fillId="0" borderId="1" xfId="4" applyFont="1" applyFill="1" applyBorder="1" applyAlignment="1">
      <alignment horizontal="center" vertical="top" wrapText="1"/>
    </xf>
    <xf numFmtId="0" fontId="10" fillId="2" borderId="1" xfId="4" applyFont="1" applyFill="1" applyBorder="1"/>
    <xf numFmtId="0" fontId="10" fillId="2" borderId="1" xfId="4" applyFont="1" applyFill="1" applyBorder="1" applyAlignment="1">
      <alignment horizontal="center"/>
    </xf>
    <xf numFmtId="0" fontId="32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2" fontId="15" fillId="0" borderId="0" xfId="4" applyNumberFormat="1" applyFont="1" applyFill="1" applyAlignment="1">
      <alignment horizontal="center" vertical="center"/>
    </xf>
    <xf numFmtId="165" fontId="15" fillId="0" borderId="0" xfId="4" applyNumberFormat="1" applyFont="1" applyFill="1" applyAlignment="1">
      <alignment horizontal="center" vertical="center"/>
    </xf>
    <xf numFmtId="172" fontId="10" fillId="0" borderId="0" xfId="4" applyNumberFormat="1" applyFont="1" applyFill="1"/>
    <xf numFmtId="0" fontId="9" fillId="4" borderId="1" xfId="4" applyFont="1" applyFill="1" applyBorder="1" applyAlignment="1">
      <alignment horizontal="center" vertical="top" wrapText="1"/>
    </xf>
    <xf numFmtId="0" fontId="15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4" fillId="0" borderId="0" xfId="0" applyFont="1"/>
    <xf numFmtId="165" fontId="5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6" fillId="0" borderId="1" xfId="4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3" fontId="5" fillId="6" borderId="1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5" fillId="9" borderId="1" xfId="0" applyFont="1" applyFill="1" applyBorder="1"/>
    <xf numFmtId="0" fontId="10" fillId="9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3" fontId="5" fillId="9" borderId="1" xfId="0" applyNumberFormat="1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5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5" fontId="13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5" fillId="7" borderId="1" xfId="0" applyFont="1" applyFill="1" applyBorder="1"/>
    <xf numFmtId="0" fontId="10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/>
    </xf>
    <xf numFmtId="0" fontId="38" fillId="7" borderId="1" xfId="0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5" fillId="8" borderId="1" xfId="0" applyFont="1" applyFill="1" applyBorder="1"/>
    <xf numFmtId="0" fontId="10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3" fontId="5" fillId="8" borderId="1" xfId="0" applyNumberFormat="1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5" fillId="10" borderId="1" xfId="0" applyFont="1" applyFill="1" applyBorder="1"/>
    <xf numFmtId="0" fontId="10" fillId="1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center"/>
    </xf>
    <xf numFmtId="0" fontId="38" fillId="10" borderId="1" xfId="0" applyFont="1" applyFill="1" applyBorder="1" applyAlignment="1">
      <alignment horizontal="center"/>
    </xf>
    <xf numFmtId="3" fontId="5" fillId="10" borderId="1" xfId="0" applyNumberFormat="1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3" fontId="39" fillId="0" borderId="1" xfId="0" applyNumberFormat="1" applyFont="1" applyFill="1" applyBorder="1" applyAlignment="1">
      <alignment horizontal="center"/>
    </xf>
    <xf numFmtId="0" fontId="5" fillId="11" borderId="1" xfId="0" applyFont="1" applyFill="1" applyBorder="1"/>
    <xf numFmtId="0" fontId="10" fillId="11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center"/>
    </xf>
    <xf numFmtId="3" fontId="5" fillId="11" borderId="1" xfId="0" applyNumberFormat="1" applyFont="1" applyFill="1" applyBorder="1" applyAlignment="1">
      <alignment horizontal="center"/>
    </xf>
    <xf numFmtId="0" fontId="38" fillId="11" borderId="1" xfId="0" applyFont="1" applyFill="1" applyBorder="1" applyAlignment="1">
      <alignment horizontal="center"/>
    </xf>
    <xf numFmtId="0" fontId="23" fillId="11" borderId="1" xfId="0" applyFont="1" applyFill="1" applyBorder="1" applyAlignment="1">
      <alignment horizontal="center"/>
    </xf>
    <xf numFmtId="3" fontId="12" fillId="11" borderId="1" xfId="0" applyNumberFormat="1" applyFont="1" applyFill="1" applyBorder="1" applyAlignment="1">
      <alignment horizontal="right"/>
    </xf>
    <xf numFmtId="165" fontId="5" fillId="11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10" fillId="2" borderId="1" xfId="0" applyFont="1" applyFill="1" applyBorder="1"/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5" fillId="0" borderId="0" xfId="4" applyFont="1" applyBorder="1" applyAlignment="1">
      <alignment vertical="center"/>
    </xf>
    <xf numFmtId="167" fontId="23" fillId="0" borderId="0" xfId="4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vertical="top"/>
    </xf>
    <xf numFmtId="0" fontId="15" fillId="0" borderId="0" xfId="4" applyFont="1" applyBorder="1" applyAlignment="1">
      <alignment horizontal="center" vertical="center"/>
    </xf>
    <xf numFmtId="0" fontId="9" fillId="0" borderId="1" xfId="6" applyFont="1" applyFill="1" applyBorder="1" applyAlignment="1">
      <alignment vertical="top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horizontal="left" vertical="top" wrapText="1"/>
    </xf>
    <xf numFmtId="0" fontId="9" fillId="0" borderId="1" xfId="4" applyNumberFormat="1" applyFont="1" applyFill="1" applyBorder="1" applyAlignment="1">
      <alignment horizontal="center" vertical="top" wrapText="1"/>
    </xf>
    <xf numFmtId="0" fontId="10" fillId="0" borderId="0" xfId="4" applyFont="1" applyFill="1" applyAlignment="1">
      <alignment vertical="top"/>
    </xf>
    <xf numFmtId="168" fontId="10" fillId="2" borderId="1" xfId="4" applyNumberFormat="1" applyFont="1" applyFill="1" applyBorder="1" applyAlignment="1">
      <alignment horizontal="center"/>
    </xf>
    <xf numFmtId="169" fontId="10" fillId="2" borderId="1" xfId="4" applyNumberFormat="1" applyFont="1" applyFill="1" applyBorder="1" applyAlignment="1">
      <alignment horizontal="center" vertical="center"/>
    </xf>
    <xf numFmtId="169" fontId="10" fillId="2" borderId="1" xfId="8" applyNumberFormat="1" applyFont="1" applyFill="1" applyBorder="1"/>
    <xf numFmtId="169" fontId="10" fillId="2" borderId="1" xfId="8" applyNumberFormat="1" applyFont="1" applyFill="1" applyBorder="1" applyAlignment="1">
      <alignment horizontal="center"/>
    </xf>
    <xf numFmtId="167" fontId="10" fillId="2" borderId="1" xfId="8" applyNumberFormat="1" applyFont="1" applyFill="1" applyBorder="1" applyAlignment="1">
      <alignment horizontal="center"/>
    </xf>
    <xf numFmtId="170" fontId="16" fillId="2" borderId="1" xfId="8" applyNumberFormat="1" applyFont="1" applyFill="1" applyBorder="1" applyAlignment="1">
      <alignment horizontal="center"/>
    </xf>
    <xf numFmtId="170" fontId="17" fillId="2" borderId="1" xfId="8" applyNumberFormat="1" applyFont="1" applyFill="1" applyBorder="1" applyAlignment="1">
      <alignment horizontal="center"/>
    </xf>
    <xf numFmtId="171" fontId="10" fillId="2" borderId="1" xfId="8" applyNumberFormat="1" applyFont="1" applyFill="1" applyBorder="1" applyAlignment="1">
      <alignment horizontal="center"/>
    </xf>
    <xf numFmtId="173" fontId="10" fillId="2" borderId="1" xfId="8" applyNumberFormat="1" applyFont="1" applyFill="1" applyBorder="1" applyAlignment="1">
      <alignment horizontal="center"/>
    </xf>
    <xf numFmtId="172" fontId="10" fillId="2" borderId="1" xfId="8" applyNumberFormat="1" applyFont="1" applyFill="1" applyBorder="1" applyAlignment="1">
      <alignment horizontal="center"/>
    </xf>
    <xf numFmtId="0" fontId="10" fillId="3" borderId="1" xfId="4" applyFont="1" applyFill="1" applyBorder="1"/>
    <xf numFmtId="0" fontId="10" fillId="3" borderId="1" xfId="4" applyFont="1" applyFill="1" applyBorder="1" applyAlignment="1">
      <alignment horizontal="center"/>
    </xf>
    <xf numFmtId="168" fontId="10" fillId="3" borderId="1" xfId="4" applyNumberFormat="1" applyFont="1" applyFill="1" applyBorder="1" applyAlignment="1">
      <alignment horizontal="center"/>
    </xf>
    <xf numFmtId="169" fontId="10" fillId="3" borderId="1" xfId="4" applyNumberFormat="1" applyFont="1" applyFill="1" applyBorder="1" applyAlignment="1">
      <alignment horizontal="center" vertical="center"/>
    </xf>
    <xf numFmtId="169" fontId="10" fillId="3" borderId="1" xfId="8" applyNumberFormat="1" applyFont="1" applyFill="1" applyBorder="1"/>
    <xf numFmtId="169" fontId="10" fillId="3" borderId="1" xfId="8" applyNumberFormat="1" applyFont="1" applyFill="1" applyBorder="1" applyAlignment="1">
      <alignment horizontal="center"/>
    </xf>
    <xf numFmtId="167" fontId="10" fillId="3" borderId="1" xfId="8" applyNumberFormat="1" applyFont="1" applyFill="1" applyBorder="1" applyAlignment="1">
      <alignment horizontal="center"/>
    </xf>
    <xf numFmtId="170" fontId="16" fillId="3" borderId="1" xfId="8" applyNumberFormat="1" applyFont="1" applyFill="1" applyBorder="1" applyAlignment="1">
      <alignment horizontal="center"/>
    </xf>
    <xf numFmtId="167" fontId="16" fillId="3" borderId="1" xfId="8" applyNumberFormat="1" applyFont="1" applyFill="1" applyBorder="1" applyAlignment="1">
      <alignment horizontal="center"/>
    </xf>
    <xf numFmtId="170" fontId="17" fillId="3" borderId="1" xfId="8" applyNumberFormat="1" applyFont="1" applyFill="1" applyBorder="1" applyAlignment="1">
      <alignment horizontal="center"/>
    </xf>
    <xf numFmtId="171" fontId="10" fillId="3" borderId="1" xfId="8" applyNumberFormat="1" applyFont="1" applyFill="1" applyBorder="1" applyAlignment="1">
      <alignment horizontal="center"/>
    </xf>
    <xf numFmtId="173" fontId="10" fillId="3" borderId="1" xfId="8" applyNumberFormat="1" applyFont="1" applyFill="1" applyBorder="1" applyAlignment="1">
      <alignment horizontal="center"/>
    </xf>
    <xf numFmtId="172" fontId="10" fillId="3" borderId="1" xfId="8" applyNumberFormat="1" applyFont="1" applyFill="1" applyBorder="1" applyAlignment="1">
      <alignment horizontal="center"/>
    </xf>
    <xf numFmtId="165" fontId="40" fillId="0" borderId="0" xfId="4" applyNumberFormat="1" applyFont="1" applyFill="1" applyAlignment="1">
      <alignment horizontal="center" vertical="center"/>
    </xf>
    <xf numFmtId="4" fontId="40" fillId="0" borderId="0" xfId="4" applyNumberFormat="1" applyFont="1" applyFill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20" fillId="0" borderId="11" xfId="4" applyFont="1" applyBorder="1" applyAlignment="1">
      <alignment vertical="center"/>
    </xf>
    <xf numFmtId="0" fontId="20" fillId="0" borderId="7" xfId="4" applyFont="1" applyBorder="1" applyAlignment="1">
      <alignment vertical="center"/>
    </xf>
    <xf numFmtId="0" fontId="15" fillId="0" borderId="4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0" fontId="15" fillId="0" borderId="4" xfId="4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42" fillId="0" borderId="0" xfId="4" applyFont="1" applyFill="1" applyBorder="1" applyAlignment="1">
      <alignment horizontal="center" vertical="center"/>
    </xf>
    <xf numFmtId="0" fontId="14" fillId="0" borderId="6" xfId="4" applyFont="1" applyBorder="1" applyAlignment="1">
      <alignment vertical="center"/>
    </xf>
    <xf numFmtId="165" fontId="26" fillId="0" borderId="0" xfId="4" applyNumberFormat="1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" fontId="15" fillId="0" borderId="0" xfId="4" applyNumberFormat="1" applyFont="1" applyFill="1" applyAlignment="1">
      <alignment horizontal="left" vertical="center"/>
    </xf>
    <xf numFmtId="0" fontId="7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0" fontId="41" fillId="0" borderId="1" xfId="4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3" fontId="12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3" fontId="12" fillId="8" borderId="1" xfId="0" applyNumberFormat="1" applyFont="1" applyFill="1" applyBorder="1" applyAlignment="1">
      <alignment horizontal="right" vertical="center"/>
    </xf>
    <xf numFmtId="165" fontId="5" fillId="8" borderId="1" xfId="0" applyNumberFormat="1" applyFont="1" applyFill="1" applyBorder="1" applyAlignment="1">
      <alignment horizontal="right" vertical="center"/>
    </xf>
    <xf numFmtId="3" fontId="12" fillId="10" borderId="1" xfId="0" applyNumberFormat="1" applyFont="1" applyFill="1" applyBorder="1" applyAlignment="1">
      <alignment horizontal="right" vertical="center"/>
    </xf>
    <xf numFmtId="165" fontId="5" fillId="10" borderId="1" xfId="0" applyNumberFormat="1" applyFont="1" applyFill="1" applyBorder="1" applyAlignment="1">
      <alignment horizontal="right" vertical="center"/>
    </xf>
    <xf numFmtId="165" fontId="13" fillId="5" borderId="12" xfId="0" applyNumberFormat="1" applyFont="1" applyFill="1" applyBorder="1" applyAlignment="1">
      <alignment horizontal="right" vertical="center"/>
    </xf>
    <xf numFmtId="165" fontId="13" fillId="5" borderId="13" xfId="0" applyNumberFormat="1" applyFont="1" applyFill="1" applyBorder="1" applyAlignment="1">
      <alignment horizontal="right" vertical="center"/>
    </xf>
    <xf numFmtId="165" fontId="13" fillId="5" borderId="2" xfId="0" applyNumberFormat="1" applyFont="1" applyFill="1" applyBorder="1" applyAlignment="1">
      <alignment horizontal="right" vertical="center"/>
    </xf>
    <xf numFmtId="165" fontId="5" fillId="5" borderId="12" xfId="0" applyNumberFormat="1" applyFont="1" applyFill="1" applyBorder="1" applyAlignment="1">
      <alignment horizontal="right" vertical="center"/>
    </xf>
    <xf numFmtId="165" fontId="5" fillId="5" borderId="13" xfId="0" applyNumberFormat="1" applyFont="1" applyFill="1" applyBorder="1" applyAlignment="1">
      <alignment horizontal="right" vertical="center"/>
    </xf>
    <xf numFmtId="165" fontId="5" fillId="5" borderId="2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165" fontId="5" fillId="7" borderId="1" xfId="0" applyNumberFormat="1" applyFont="1" applyFill="1" applyBorder="1" applyAlignment="1">
      <alignment horizontal="right" vertical="center"/>
    </xf>
    <xf numFmtId="13" fontId="13" fillId="6" borderId="12" xfId="0" applyNumberFormat="1" applyFont="1" applyFill="1" applyBorder="1" applyAlignment="1">
      <alignment horizontal="right" vertical="center"/>
    </xf>
    <xf numFmtId="13" fontId="13" fillId="6" borderId="2" xfId="0" applyNumberFormat="1" applyFont="1" applyFill="1" applyBorder="1" applyAlignment="1">
      <alignment horizontal="right" vertical="center"/>
    </xf>
    <xf numFmtId="165" fontId="5" fillId="6" borderId="12" xfId="0" applyNumberFormat="1" applyFont="1" applyFill="1" applyBorder="1" applyAlignment="1">
      <alignment horizontal="right" vertical="center"/>
    </xf>
    <xf numFmtId="165" fontId="5" fillId="6" borderId="2" xfId="0" applyNumberFormat="1" applyFont="1" applyFill="1" applyBorder="1" applyAlignment="1">
      <alignment horizontal="right" vertical="center"/>
    </xf>
    <xf numFmtId="165" fontId="13" fillId="9" borderId="12" xfId="0" applyNumberFormat="1" applyFont="1" applyFill="1" applyBorder="1" applyAlignment="1">
      <alignment horizontal="right" vertical="center"/>
    </xf>
    <xf numFmtId="165" fontId="13" fillId="9" borderId="13" xfId="0" applyNumberFormat="1" applyFont="1" applyFill="1" applyBorder="1" applyAlignment="1">
      <alignment horizontal="right" vertical="center"/>
    </xf>
    <xf numFmtId="165" fontId="13" fillId="9" borderId="2" xfId="0" applyNumberFormat="1" applyFont="1" applyFill="1" applyBorder="1" applyAlignment="1">
      <alignment horizontal="right" vertical="center"/>
    </xf>
    <xf numFmtId="165" fontId="5" fillId="9" borderId="12" xfId="0" applyNumberFormat="1" applyFont="1" applyFill="1" applyBorder="1" applyAlignment="1">
      <alignment horizontal="right" vertical="center"/>
    </xf>
    <xf numFmtId="165" fontId="5" fillId="9" borderId="13" xfId="0" applyNumberFormat="1" applyFont="1" applyFill="1" applyBorder="1" applyAlignment="1">
      <alignment horizontal="right" vertical="center"/>
    </xf>
    <xf numFmtId="165" fontId="5" fillId="9" borderId="2" xfId="0" applyNumberFormat="1" applyFont="1" applyFill="1" applyBorder="1" applyAlignment="1">
      <alignment horizontal="right" vertical="center"/>
    </xf>
  </cellXfs>
  <cellStyles count="10">
    <cellStyle name="Millares 2" xfId="3"/>
    <cellStyle name="Millares 2 2" xfId="8"/>
    <cellStyle name="Normal" xfId="0" builtinId="0"/>
    <cellStyle name="Normal 2" xfId="4"/>
    <cellStyle name="Normal 2 2" xfId="6"/>
    <cellStyle name="Normal 3" xfId="2"/>
    <cellStyle name="Normal 3 2" xfId="5"/>
    <cellStyle name="Porcentaje" xfId="1" builtinId="5"/>
    <cellStyle name="Porcentaje 2" xfId="7"/>
    <cellStyle name="Porcentaje 2 2" xfId="9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15"/>
  <sheetViews>
    <sheetView tabSelected="1" zoomScale="90" zoomScaleNormal="90" workbookViewId="0">
      <selection activeCell="J18" sqref="J18"/>
    </sheetView>
  </sheetViews>
  <sheetFormatPr baseColWidth="10" defaultRowHeight="15" x14ac:dyDescent="0.25"/>
  <cols>
    <col min="2" max="2" width="9.42578125" bestFit="1" customWidth="1"/>
    <col min="3" max="3" width="24.7109375" bestFit="1" customWidth="1"/>
    <col min="4" max="4" width="11.42578125" style="2"/>
    <col min="5" max="5" width="14.85546875" style="2" bestFit="1" customWidth="1"/>
    <col min="6" max="6" width="11.42578125" style="2"/>
    <col min="7" max="7" width="7.7109375" style="2" customWidth="1"/>
    <col min="8" max="8" width="12" style="2" customWidth="1"/>
    <col min="9" max="9" width="11" style="2" customWidth="1"/>
    <col min="10" max="10" width="11.85546875" style="2" customWidth="1"/>
    <col min="11" max="11" width="10.42578125" style="2" customWidth="1"/>
    <col min="12" max="12" width="11.42578125" style="2"/>
    <col min="13" max="13" width="12.85546875" style="2" customWidth="1"/>
    <col min="14" max="14" width="1" style="2" customWidth="1"/>
    <col min="15" max="15" width="11.42578125" style="2"/>
    <col min="16" max="16" width="1" style="2" customWidth="1"/>
    <col min="17" max="17" width="11.140625" style="2" customWidth="1"/>
    <col min="18" max="18" width="14.42578125" style="2" bestFit="1" customWidth="1"/>
    <col min="19" max="19" width="10.140625" style="2" customWidth="1"/>
    <col min="20" max="20" width="11.42578125" style="2"/>
    <col min="21" max="21" width="1" style="6" customWidth="1"/>
    <col min="22" max="22" width="10.42578125" style="6" bestFit="1" customWidth="1"/>
    <col min="23" max="23" width="11.42578125" style="2"/>
    <col min="24" max="24" width="5.7109375" style="2" bestFit="1" customWidth="1"/>
    <col min="25" max="25" width="1" style="2" customWidth="1"/>
    <col min="26" max="27" width="11.42578125" style="2"/>
    <col min="28" max="29" width="13.7109375" style="2" bestFit="1" customWidth="1"/>
    <col min="30" max="30" width="1" style="2" customWidth="1"/>
    <col min="31" max="31" width="10.140625" style="2" bestFit="1" customWidth="1"/>
    <col min="32" max="32" width="12.28515625" style="2" bestFit="1" customWidth="1"/>
    <col min="33" max="44" width="11.42578125" style="2"/>
  </cols>
  <sheetData>
    <row r="1" spans="1:22" s="2" customFormat="1" ht="18.75" x14ac:dyDescent="0.3">
      <c r="A1" s="7" t="s">
        <v>153</v>
      </c>
      <c r="B1" s="7"/>
      <c r="C1"/>
      <c r="U1" s="6"/>
      <c r="V1" s="6"/>
    </row>
    <row r="2" spans="1:22" s="2" customFormat="1" x14ac:dyDescent="0.25">
      <c r="A2" s="1" t="s">
        <v>82</v>
      </c>
      <c r="B2" s="1"/>
      <c r="C2"/>
      <c r="U2" s="6"/>
      <c r="V2" s="6"/>
    </row>
    <row r="3" spans="1:22" s="2" customFormat="1" x14ac:dyDescent="0.25">
      <c r="A3" s="8"/>
      <c r="B3" s="8"/>
      <c r="C3"/>
      <c r="U3" s="6"/>
      <c r="V3" s="6"/>
    </row>
    <row r="4" spans="1:22" s="2" customFormat="1" x14ac:dyDescent="0.25">
      <c r="A4" s="8"/>
      <c r="B4" s="8"/>
      <c r="C4"/>
      <c r="U4" s="6"/>
      <c r="V4" s="6"/>
    </row>
    <row r="5" spans="1:22" s="2" customFormat="1" x14ac:dyDescent="0.25">
      <c r="A5" s="1" t="s">
        <v>152</v>
      </c>
      <c r="B5" s="1"/>
      <c r="C5"/>
      <c r="U5" s="6"/>
      <c r="V5" s="6"/>
    </row>
    <row r="6" spans="1:22" s="2" customFormat="1" ht="15" customHeight="1" x14ac:dyDescent="0.25">
      <c r="A6"/>
      <c r="B6"/>
      <c r="C6"/>
      <c r="E6" s="175" t="s">
        <v>188</v>
      </c>
      <c r="F6" s="176"/>
      <c r="G6" s="177"/>
      <c r="U6" s="6"/>
      <c r="V6" s="6"/>
    </row>
    <row r="7" spans="1:22" s="2" customFormat="1" ht="15" customHeight="1" x14ac:dyDescent="0.25">
      <c r="A7"/>
      <c r="B7"/>
      <c r="C7"/>
      <c r="E7" s="178"/>
      <c r="F7" s="179"/>
      <c r="G7" s="180"/>
      <c r="U7" s="6"/>
      <c r="V7" s="6"/>
    </row>
    <row r="8" spans="1:22" s="2" customFormat="1" ht="34.5" customHeight="1" x14ac:dyDescent="0.2">
      <c r="A8" s="181" t="s">
        <v>68</v>
      </c>
      <c r="B8" s="181" t="s">
        <v>180</v>
      </c>
      <c r="C8" s="182" t="s">
        <v>0</v>
      </c>
      <c r="D8" s="183" t="s">
        <v>149</v>
      </c>
      <c r="E8" s="184" t="s">
        <v>154</v>
      </c>
      <c r="F8" s="184" t="s">
        <v>155</v>
      </c>
      <c r="G8" s="184" t="s">
        <v>150</v>
      </c>
      <c r="U8" s="6"/>
      <c r="V8" s="6"/>
    </row>
    <row r="9" spans="1:22" s="2" customFormat="1" ht="34.5" customHeight="1" x14ac:dyDescent="0.2">
      <c r="A9" s="181"/>
      <c r="B9" s="181"/>
      <c r="C9" s="182"/>
      <c r="D9" s="183"/>
      <c r="E9" s="185"/>
      <c r="F9" s="185"/>
      <c r="G9" s="185"/>
      <c r="U9" s="6"/>
      <c r="V9" s="6"/>
    </row>
    <row r="10" spans="1:22" s="2" customFormat="1" x14ac:dyDescent="0.25">
      <c r="A10" s="5" t="s">
        <v>64</v>
      </c>
      <c r="B10" s="123" t="str">
        <f>VLOOKUP(A10,'Categoria 2016'!$A$43:$J$47,10,0)</f>
        <v>II</v>
      </c>
      <c r="C10" s="38" t="s">
        <v>63</v>
      </c>
      <c r="D10" s="9">
        <f>VLOOKUP($A10,'DATOS Indicadores (DESEMPEÑO)'!$BF$8:$BI$12,4,0)</f>
        <v>900000</v>
      </c>
      <c r="E10" s="10" t="str">
        <f>+A10</f>
        <v>UDP</v>
      </c>
      <c r="F10" s="3">
        <f>+D10</f>
        <v>900000</v>
      </c>
      <c r="G10" s="11">
        <f>+F10/$F$15</f>
        <v>0.33333333333333331</v>
      </c>
      <c r="U10" s="6"/>
      <c r="V10" s="6"/>
    </row>
    <row r="11" spans="1:22" s="2" customFormat="1" x14ac:dyDescent="0.25">
      <c r="A11" s="5" t="s">
        <v>58</v>
      </c>
      <c r="B11" s="123" t="str">
        <f>VLOOKUP(A11,'Categoria 2016'!$A$43:$J$47,10,0)</f>
        <v>III</v>
      </c>
      <c r="C11" s="38" t="s">
        <v>57</v>
      </c>
      <c r="D11" s="9">
        <f>VLOOKUP($A11,'DATOS Indicadores (DESEMPEÑO)'!$BF$8:$BI$12,4,0)</f>
        <v>528038</v>
      </c>
      <c r="E11" s="10" t="str">
        <f>+A11</f>
        <v>UAU</v>
      </c>
      <c r="F11" s="3">
        <f>+D11</f>
        <v>528038</v>
      </c>
      <c r="G11" s="11">
        <f>+F11/$F$15</f>
        <v>0.19556962962962962</v>
      </c>
      <c r="U11" s="6"/>
      <c r="V11" s="6"/>
    </row>
    <row r="12" spans="1:22" s="2" customFormat="1" x14ac:dyDescent="0.25">
      <c r="A12" s="5" t="s">
        <v>55</v>
      </c>
      <c r="B12" s="123" t="str">
        <f>VLOOKUP(A12,'Categoria 2016'!$A$43:$J$47,10,0)</f>
        <v>III</v>
      </c>
      <c r="C12" s="38" t="s">
        <v>54</v>
      </c>
      <c r="D12" s="9">
        <f>VLOOKUP($A12,'DATOS Indicadores (DESEMPEÑO)'!$BF$8:$BI$12,4,0)</f>
        <v>462973</v>
      </c>
      <c r="E12" s="10" t="str">
        <f>+A12</f>
        <v>UAH</v>
      </c>
      <c r="F12" s="3">
        <f>+D12</f>
        <v>462973</v>
      </c>
      <c r="G12" s="11">
        <f>+F12/$F$15</f>
        <v>0.17147148148148147</v>
      </c>
      <c r="U12" s="6"/>
      <c r="V12" s="6"/>
    </row>
    <row r="13" spans="1:22" s="2" customFormat="1" x14ac:dyDescent="0.25">
      <c r="A13" s="5" t="s">
        <v>67</v>
      </c>
      <c r="B13" s="123" t="str">
        <f>VLOOKUP(A13,'Categoria 2016'!$A$43:$J$47,10,0)</f>
        <v>III</v>
      </c>
      <c r="C13" s="38" t="s">
        <v>66</v>
      </c>
      <c r="D13" s="9">
        <f>VLOOKUP($A13,'DATOS Indicadores (DESEMPEÑO)'!$BF$8:$BI$12,4,0)</f>
        <v>424070</v>
      </c>
      <c r="E13" s="10" t="str">
        <f>+A13</f>
        <v>UFT</v>
      </c>
      <c r="F13" s="3">
        <f>+D13</f>
        <v>424070</v>
      </c>
      <c r="G13" s="11">
        <f>+F13/$F$15</f>
        <v>0.15706296296296296</v>
      </c>
      <c r="U13" s="6"/>
      <c r="V13" s="6"/>
    </row>
    <row r="14" spans="1:22" s="2" customFormat="1" x14ac:dyDescent="0.25">
      <c r="A14" s="5" t="s">
        <v>61</v>
      </c>
      <c r="B14" s="123" t="str">
        <f>VLOOKUP(A14,'Categoria 2016'!$A$43:$J$47,10,0)</f>
        <v>III</v>
      </c>
      <c r="C14" s="38" t="s">
        <v>60</v>
      </c>
      <c r="D14" s="9">
        <f>VLOOKUP($A14,'DATOS Indicadores (DESEMPEÑO)'!$BF$8:$BI$12,4,0)</f>
        <v>384919</v>
      </c>
      <c r="E14" s="10" t="str">
        <f>+A14</f>
        <v>UCS</v>
      </c>
      <c r="F14" s="3">
        <f>+D14</f>
        <v>384919</v>
      </c>
      <c r="G14" s="11">
        <f>+F14/$F$15</f>
        <v>0.1425625925925926</v>
      </c>
      <c r="U14" s="6"/>
      <c r="V14" s="6"/>
    </row>
    <row r="15" spans="1:22" s="2" customFormat="1" x14ac:dyDescent="0.25">
      <c r="A15" s="5" t="s">
        <v>151</v>
      </c>
      <c r="B15" s="5"/>
      <c r="C15" s="4"/>
      <c r="D15" s="9">
        <f>SUM(D10:D14)</f>
        <v>2700000</v>
      </c>
      <c r="E15" s="40" t="s">
        <v>151</v>
      </c>
      <c r="F15" s="3">
        <f>SUM(F10:F14)</f>
        <v>2700000</v>
      </c>
      <c r="G15" s="12"/>
      <c r="U15" s="6"/>
      <c r="V15" s="6"/>
    </row>
  </sheetData>
  <mergeCells count="8">
    <mergeCell ref="E6:G7"/>
    <mergeCell ref="A8:A9"/>
    <mergeCell ref="C8:C9"/>
    <mergeCell ref="D8:D9"/>
    <mergeCell ref="E8:E9"/>
    <mergeCell ref="F8:F9"/>
    <mergeCell ref="G8:G9"/>
    <mergeCell ref="B8:B9"/>
  </mergeCells>
  <pageMargins left="0.31496062992125984" right="0.31496062992125984" top="0.55118110236220474" bottom="0.55118110236220474" header="0.31496062992125984" footer="0.31496062992125984"/>
  <pageSetup paperSize="14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"/>
  <sheetViews>
    <sheetView showGridLines="0" zoomScaleNormal="100" workbookViewId="0">
      <selection activeCell="L23" sqref="L23"/>
    </sheetView>
  </sheetViews>
  <sheetFormatPr baseColWidth="10" defaultColWidth="11.42578125" defaultRowHeight="11.25" x14ac:dyDescent="0.2"/>
  <cols>
    <col min="1" max="1" width="28.42578125" style="13" bestFit="1" customWidth="1"/>
    <col min="2" max="2" width="33.7109375" style="13" hidden="1" customWidth="1"/>
    <col min="3" max="3" width="4" style="13" customWidth="1"/>
    <col min="4" max="4" width="7.140625" style="13" customWidth="1"/>
    <col min="5" max="5" width="7" style="13" customWidth="1"/>
    <col min="6" max="6" width="9.7109375" style="13" bestFit="1" customWidth="1"/>
    <col min="7" max="7" width="3.5703125" style="13" customWidth="1"/>
    <col min="8" max="8" width="8.7109375" style="13" customWidth="1"/>
    <col min="9" max="10" width="6.5703125" style="14" customWidth="1"/>
    <col min="11" max="13" width="10" style="13" customWidth="1"/>
    <col min="14" max="15" width="9.7109375" style="13" customWidth="1"/>
    <col min="16" max="16" width="10.140625" style="13" customWidth="1"/>
    <col min="17" max="19" width="7.5703125" style="13" customWidth="1"/>
    <col min="20" max="22" width="7.140625" style="13" customWidth="1"/>
    <col min="23" max="23" width="9" style="13" customWidth="1"/>
    <col min="24" max="25" width="11.28515625" style="13" customWidth="1"/>
    <col min="26" max="26" width="12.85546875" style="13" customWidth="1"/>
    <col min="27" max="27" width="11.28515625" style="13" customWidth="1"/>
    <col min="28" max="28" width="9.5703125" style="13" bestFit="1" customWidth="1"/>
    <col min="29" max="29" width="8.7109375" style="13" bestFit="1" customWidth="1"/>
    <col min="30" max="31" width="8.7109375" style="13" customWidth="1"/>
    <col min="32" max="32" width="12.7109375" style="15" customWidth="1"/>
    <col min="33" max="33" width="12.7109375" style="16" customWidth="1"/>
    <col min="34" max="34" width="12.7109375" style="15" customWidth="1"/>
    <col min="35" max="35" width="12.7109375" style="16" customWidth="1"/>
    <col min="36" max="54" width="12.7109375" style="15" customWidth="1"/>
    <col min="55" max="55" width="12.7109375" style="17" customWidth="1"/>
    <col min="56" max="56" width="15.85546875" style="15" customWidth="1"/>
    <col min="57" max="57" width="11.7109375" style="15" hidden="1" customWidth="1"/>
    <col min="58" max="58" width="7.42578125" style="15" bestFit="1" customWidth="1"/>
    <col min="59" max="59" width="14.7109375" style="15" hidden="1" customWidth="1"/>
    <col min="60" max="60" width="14.7109375" style="15" bestFit="1" customWidth="1"/>
    <col min="61" max="61" width="11.140625" style="15" bestFit="1" customWidth="1"/>
    <col min="62" max="16384" width="11.42578125" style="13"/>
  </cols>
  <sheetData>
    <row r="1" spans="1:61" ht="15.75" x14ac:dyDescent="0.2">
      <c r="AF1" s="186"/>
      <c r="AG1" s="186"/>
      <c r="BD1" s="159">
        <f>+'Categoria 2016'!M41</f>
        <v>2700000</v>
      </c>
      <c r="BH1" s="174">
        <f>SUM(BH4:BH5)</f>
        <v>2700000</v>
      </c>
      <c r="BI1" s="45"/>
    </row>
    <row r="2" spans="1:61" s="21" customFormat="1" ht="19.5" x14ac:dyDescent="0.2">
      <c r="A2" s="173" t="s">
        <v>51</v>
      </c>
      <c r="B2" s="164"/>
      <c r="C2" s="164"/>
      <c r="D2" s="164"/>
      <c r="E2" s="164"/>
      <c r="F2" s="164"/>
      <c r="G2" s="164"/>
      <c r="H2" s="165"/>
      <c r="I2" s="189" t="s">
        <v>92</v>
      </c>
      <c r="J2" s="189"/>
      <c r="K2" s="189" t="s">
        <v>93</v>
      </c>
      <c r="L2" s="189"/>
      <c r="M2" s="189"/>
      <c r="N2" s="190" t="s">
        <v>94</v>
      </c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24"/>
      <c r="AE2" s="24"/>
      <c r="AF2" s="22"/>
      <c r="AG2" s="19" t="s">
        <v>90</v>
      </c>
      <c r="AH2" s="18"/>
      <c r="AI2" s="19" t="s">
        <v>90</v>
      </c>
      <c r="AJ2" s="18"/>
      <c r="AK2" s="19" t="s">
        <v>90</v>
      </c>
      <c r="AL2" s="18"/>
      <c r="AM2" s="19" t="s">
        <v>90</v>
      </c>
      <c r="AN2" s="18"/>
      <c r="AO2" s="19" t="s">
        <v>90</v>
      </c>
      <c r="AP2" s="18"/>
      <c r="AQ2" s="19" t="s">
        <v>90</v>
      </c>
      <c r="AR2" s="18"/>
      <c r="AS2" s="19" t="s">
        <v>90</v>
      </c>
      <c r="AT2" s="18"/>
      <c r="AU2" s="19" t="s">
        <v>90</v>
      </c>
      <c r="AV2" s="18"/>
      <c r="AW2" s="19" t="s">
        <v>90</v>
      </c>
      <c r="AX2" s="18"/>
      <c r="AY2" s="18"/>
      <c r="AZ2" s="19" t="s">
        <v>90</v>
      </c>
      <c r="BA2" s="18"/>
      <c r="BB2" s="19" t="s">
        <v>90</v>
      </c>
      <c r="BC2" s="20" t="s">
        <v>91</v>
      </c>
      <c r="BD2" s="159"/>
      <c r="BE2" s="26"/>
      <c r="BF2" s="26"/>
      <c r="BG2" s="24"/>
      <c r="BH2" s="44"/>
      <c r="BI2" s="26"/>
    </row>
    <row r="3" spans="1:61" s="27" customFormat="1" ht="50.25" customHeight="1" x14ac:dyDescent="0.25">
      <c r="A3" s="166"/>
      <c r="B3" s="124"/>
      <c r="C3" s="124"/>
      <c r="D3" s="124"/>
      <c r="E3" s="124"/>
      <c r="F3" s="124"/>
      <c r="G3" s="124"/>
      <c r="H3" s="167"/>
      <c r="I3" s="188" t="s">
        <v>95</v>
      </c>
      <c r="J3" s="188"/>
      <c r="K3" s="187" t="s">
        <v>96</v>
      </c>
      <c r="L3" s="187"/>
      <c r="M3" s="187"/>
      <c r="N3" s="188" t="s">
        <v>97</v>
      </c>
      <c r="O3" s="188"/>
      <c r="P3" s="188" t="s">
        <v>98</v>
      </c>
      <c r="Q3" s="188"/>
      <c r="R3" s="188"/>
      <c r="S3" s="188"/>
      <c r="T3" s="191" t="s">
        <v>99</v>
      </c>
      <c r="U3" s="192"/>
      <c r="V3" s="192"/>
      <c r="W3" s="193"/>
      <c r="X3" s="188" t="s">
        <v>100</v>
      </c>
      <c r="Y3" s="188"/>
      <c r="Z3" s="187" t="s">
        <v>184</v>
      </c>
      <c r="AA3" s="187"/>
      <c r="AB3" s="188" t="s">
        <v>101</v>
      </c>
      <c r="AC3" s="188"/>
      <c r="AD3" s="29"/>
      <c r="AE3" s="29"/>
      <c r="AF3" s="28"/>
      <c r="AG3" s="23"/>
      <c r="AH3" s="29"/>
      <c r="AI3" s="23"/>
      <c r="AJ3" s="29"/>
      <c r="AK3" s="23"/>
      <c r="AL3" s="29"/>
      <c r="AM3" s="23"/>
      <c r="AN3" s="29"/>
      <c r="AO3" s="23"/>
      <c r="AP3" s="29"/>
      <c r="AQ3" s="23"/>
      <c r="AR3" s="29"/>
      <c r="AS3" s="23"/>
      <c r="AT3" s="29"/>
      <c r="AU3" s="23"/>
      <c r="AV3" s="29"/>
      <c r="AW3" s="23"/>
      <c r="AX3" s="29"/>
      <c r="AY3" s="29"/>
      <c r="AZ3" s="23"/>
      <c r="BA3" s="29"/>
      <c r="BB3" s="23"/>
      <c r="BC3" s="25"/>
      <c r="BD3" s="160"/>
      <c r="BE3" s="26"/>
      <c r="BF3" s="26"/>
      <c r="BG3" s="29"/>
      <c r="BH3" s="44"/>
      <c r="BI3" s="26"/>
    </row>
    <row r="4" spans="1:61" s="27" customFormat="1" ht="17.25" x14ac:dyDescent="0.25">
      <c r="A4" s="168"/>
      <c r="B4" s="128"/>
      <c r="C4" s="128"/>
      <c r="D4" s="128"/>
      <c r="E4" s="128"/>
      <c r="F4" s="128"/>
      <c r="G4" s="128"/>
      <c r="H4" s="169"/>
      <c r="I4" s="188"/>
      <c r="J4" s="188"/>
      <c r="K4" s="187"/>
      <c r="L4" s="187"/>
      <c r="M4" s="187"/>
      <c r="N4" s="188"/>
      <c r="O4" s="188"/>
      <c r="P4" s="188"/>
      <c r="Q4" s="188"/>
      <c r="R4" s="188"/>
      <c r="S4" s="188"/>
      <c r="T4" s="194"/>
      <c r="U4" s="195"/>
      <c r="V4" s="195"/>
      <c r="W4" s="196"/>
      <c r="X4" s="188"/>
      <c r="Y4" s="188"/>
      <c r="Z4" s="187"/>
      <c r="AA4" s="187"/>
      <c r="AB4" s="188"/>
      <c r="AC4" s="188"/>
      <c r="AD4" s="126"/>
      <c r="AE4" s="126"/>
      <c r="AF4" s="172" t="s">
        <v>102</v>
      </c>
      <c r="AG4" s="125">
        <f>MAX(AF8)</f>
        <v>1.9075251558738193</v>
      </c>
      <c r="AH4" s="29"/>
      <c r="AI4" s="23">
        <f>MAX(AH8)</f>
        <v>0.25357605470980688</v>
      </c>
      <c r="AJ4" s="29"/>
      <c r="AK4" s="23">
        <f>MAX(AJ8)</f>
        <v>0.71968536289817153</v>
      </c>
      <c r="AL4" s="29"/>
      <c r="AM4" s="23">
        <f>MAX(AL8)</f>
        <v>0.33859353454879737</v>
      </c>
      <c r="AN4" s="29"/>
      <c r="AO4" s="23">
        <f>MAX(AN8)</f>
        <v>1.3352740854663299</v>
      </c>
      <c r="AP4" s="29"/>
      <c r="AQ4" s="23">
        <f>MAX(AP8)</f>
        <v>2.8760631834750909</v>
      </c>
      <c r="AR4" s="29"/>
      <c r="AS4" s="23">
        <f>MAX(AR8)</f>
        <v>0.39039887045534771</v>
      </c>
      <c r="AT4" s="29"/>
      <c r="AU4" s="23">
        <f>MAX(AT8)</f>
        <v>0.83919597989949746</v>
      </c>
      <c r="AV4" s="29"/>
      <c r="AW4" s="23">
        <f>MAX(AV8)</f>
        <v>0.69783889980353631</v>
      </c>
      <c r="AX4" s="29"/>
      <c r="AY4" s="29"/>
      <c r="AZ4" s="23">
        <f>MAX(AY8)</f>
        <v>0</v>
      </c>
      <c r="BA4" s="29"/>
      <c r="BB4" s="23">
        <f>MAX(BA8)</f>
        <v>0</v>
      </c>
      <c r="BC4" s="25">
        <f>SUM(BC8)</f>
        <v>0.9</v>
      </c>
      <c r="BD4" s="159">
        <f>+BD1*0.333333333333333</f>
        <v>899999.99999999907</v>
      </c>
      <c r="BE4" s="26">
        <f>SUM(BD4:BD5)</f>
        <v>2700000</v>
      </c>
      <c r="BF4" s="26"/>
      <c r="BG4" s="29"/>
      <c r="BH4" s="44">
        <f>ROUND(BD4,0)</f>
        <v>900000</v>
      </c>
      <c r="BI4" s="26">
        <f>SUM(BH4:BH5)</f>
        <v>2700000</v>
      </c>
    </row>
    <row r="5" spans="1:61" s="27" customFormat="1" ht="17.25" x14ac:dyDescent="0.25">
      <c r="A5" s="170"/>
      <c r="B5" s="30"/>
      <c r="C5" s="30"/>
      <c r="D5" s="30"/>
      <c r="E5" s="30"/>
      <c r="F5" s="30"/>
      <c r="G5" s="30"/>
      <c r="H5" s="171"/>
      <c r="I5" s="188"/>
      <c r="J5" s="188"/>
      <c r="K5" s="187"/>
      <c r="L5" s="187"/>
      <c r="M5" s="187"/>
      <c r="N5" s="188"/>
      <c r="O5" s="188"/>
      <c r="P5" s="188"/>
      <c r="Q5" s="188"/>
      <c r="R5" s="188"/>
      <c r="S5" s="188"/>
      <c r="T5" s="197"/>
      <c r="U5" s="198"/>
      <c r="V5" s="198"/>
      <c r="W5" s="199"/>
      <c r="X5" s="188"/>
      <c r="Y5" s="188"/>
      <c r="Z5" s="187"/>
      <c r="AA5" s="187"/>
      <c r="AB5" s="188"/>
      <c r="AC5" s="188"/>
      <c r="AD5" s="126"/>
      <c r="AE5" s="126"/>
      <c r="AF5" s="172" t="s">
        <v>103</v>
      </c>
      <c r="AG5" s="125">
        <f>MAX(AF9:AF12)</f>
        <v>2.1847389558232932</v>
      </c>
      <c r="AH5" s="29"/>
      <c r="AI5" s="23">
        <f>MAX(AH9:AH12)</f>
        <v>0.39596241222635514</v>
      </c>
      <c r="AJ5" s="29"/>
      <c r="AK5" s="23">
        <f>MAX(AJ9:AJ12)</f>
        <v>0.77276951672862948</v>
      </c>
      <c r="AL5" s="29"/>
      <c r="AM5" s="23">
        <f>MAX(AL9:AL12)</f>
        <v>0.31805039239983718</v>
      </c>
      <c r="AN5" s="29"/>
      <c r="AO5" s="23">
        <f>MAX(AN9:AN12)</f>
        <v>2.4867943394995984</v>
      </c>
      <c r="AP5" s="29"/>
      <c r="AQ5" s="23">
        <f>MAX(AP9:AP12)</f>
        <v>1.359375</v>
      </c>
      <c r="AR5" s="29"/>
      <c r="AS5" s="23">
        <f>MAX(AR9:AR12)</f>
        <v>0.69373988127361041</v>
      </c>
      <c r="AT5" s="29"/>
      <c r="AU5" s="23">
        <f>MAX(AT9:AT12)</f>
        <v>0.81681415929203538</v>
      </c>
      <c r="AV5" s="29"/>
      <c r="AW5" s="23">
        <f>MAX(AV9:AV12)</f>
        <v>0.70311493018259941</v>
      </c>
      <c r="AX5" s="29"/>
      <c r="AY5" s="29"/>
      <c r="AZ5" s="23">
        <f>MAX(AY9:AY12)</f>
        <v>0</v>
      </c>
      <c r="BA5" s="29"/>
      <c r="BB5" s="23">
        <f>MAX(BA9:BA12)</f>
        <v>0</v>
      </c>
      <c r="BC5" s="25">
        <f>SUM(BC9:BC12)</f>
        <v>2.6382713852959014</v>
      </c>
      <c r="BD5" s="159">
        <f>+BD1*0.666666666666667</f>
        <v>1800000.0000000007</v>
      </c>
      <c r="BE5" s="29"/>
      <c r="BF5" s="29"/>
      <c r="BG5" s="29"/>
      <c r="BH5" s="44">
        <f>ROUND(BD5,0)</f>
        <v>1800000</v>
      </c>
      <c r="BI5" s="29"/>
    </row>
    <row r="6" spans="1:61" s="27" customFormat="1" ht="12" customHeight="1" x14ac:dyDescent="0.25">
      <c r="A6" s="30"/>
      <c r="B6" s="30"/>
      <c r="C6" s="30"/>
      <c r="D6" s="30"/>
      <c r="E6" s="30"/>
      <c r="F6" s="30"/>
      <c r="G6" s="30"/>
      <c r="H6" s="30"/>
      <c r="I6" s="161" t="s">
        <v>143</v>
      </c>
      <c r="J6" s="161" t="s">
        <v>182</v>
      </c>
      <c r="K6" s="162" t="s">
        <v>83</v>
      </c>
      <c r="L6" s="162" t="s">
        <v>84</v>
      </c>
      <c r="M6" s="162" t="s">
        <v>84</v>
      </c>
      <c r="N6" s="161" t="s">
        <v>71</v>
      </c>
      <c r="O6" s="161" t="s">
        <v>71</v>
      </c>
      <c r="P6" s="161" t="s">
        <v>181</v>
      </c>
      <c r="Q6" s="161" t="s">
        <v>85</v>
      </c>
      <c r="R6" s="161" t="s">
        <v>73</v>
      </c>
      <c r="S6" s="161" t="s">
        <v>73</v>
      </c>
      <c r="T6" s="161"/>
      <c r="U6" s="161"/>
      <c r="V6" s="161" t="s">
        <v>86</v>
      </c>
      <c r="W6" s="161" t="s">
        <v>86</v>
      </c>
      <c r="X6" s="163" t="s">
        <v>87</v>
      </c>
      <c r="Y6" s="163" t="s">
        <v>87</v>
      </c>
      <c r="Z6" s="161" t="s">
        <v>88</v>
      </c>
      <c r="AA6" s="161" t="s">
        <v>88</v>
      </c>
      <c r="AB6" s="161" t="s">
        <v>89</v>
      </c>
      <c r="AC6" s="161" t="s">
        <v>89</v>
      </c>
      <c r="AD6" s="29"/>
      <c r="AE6" s="29"/>
      <c r="AF6" s="29"/>
      <c r="AG6" s="31"/>
      <c r="AH6" s="29"/>
      <c r="AI6" s="31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32"/>
      <c r="BD6" s="43"/>
      <c r="BE6" s="29"/>
      <c r="BF6" s="29"/>
      <c r="BG6" s="43"/>
      <c r="BH6" s="43"/>
      <c r="BI6" s="29"/>
    </row>
    <row r="7" spans="1:61" s="135" customFormat="1" ht="58.5" customHeight="1" x14ac:dyDescent="0.25">
      <c r="A7" s="129" t="s">
        <v>104</v>
      </c>
      <c r="B7" s="127" t="s">
        <v>105</v>
      </c>
      <c r="C7" s="127" t="s">
        <v>106</v>
      </c>
      <c r="D7" s="127" t="s">
        <v>107</v>
      </c>
      <c r="E7" s="33" t="s">
        <v>185</v>
      </c>
      <c r="F7" s="127" t="s">
        <v>109</v>
      </c>
      <c r="G7" s="127" t="s">
        <v>110</v>
      </c>
      <c r="H7" s="127" t="s">
        <v>111</v>
      </c>
      <c r="I7" s="33" t="s">
        <v>112</v>
      </c>
      <c r="J7" s="33" t="s">
        <v>113</v>
      </c>
      <c r="K7" s="33" t="s">
        <v>114</v>
      </c>
      <c r="L7" s="33" t="s">
        <v>115</v>
      </c>
      <c r="M7" s="33" t="s">
        <v>116</v>
      </c>
      <c r="N7" s="130" t="s">
        <v>117</v>
      </c>
      <c r="O7" s="130" t="s">
        <v>118</v>
      </c>
      <c r="P7" s="131" t="s">
        <v>119</v>
      </c>
      <c r="Q7" s="130" t="s">
        <v>120</v>
      </c>
      <c r="R7" s="130" t="s">
        <v>121</v>
      </c>
      <c r="S7" s="130" t="s">
        <v>122</v>
      </c>
      <c r="T7" s="132" t="s">
        <v>186</v>
      </c>
      <c r="U7" s="132" t="s">
        <v>187</v>
      </c>
      <c r="V7" s="132" t="s">
        <v>123</v>
      </c>
      <c r="W7" s="132" t="s">
        <v>124</v>
      </c>
      <c r="X7" s="133" t="s">
        <v>125</v>
      </c>
      <c r="Y7" s="134" t="s">
        <v>126</v>
      </c>
      <c r="Z7" s="133" t="s">
        <v>127</v>
      </c>
      <c r="AA7" s="133" t="s">
        <v>128</v>
      </c>
      <c r="AB7" s="133" t="s">
        <v>129</v>
      </c>
      <c r="AC7" s="133" t="s">
        <v>130</v>
      </c>
      <c r="AD7" s="127" t="s">
        <v>107</v>
      </c>
      <c r="AE7" s="33" t="s">
        <v>108</v>
      </c>
      <c r="AF7" s="33" t="s">
        <v>71</v>
      </c>
      <c r="AG7" s="34" t="s">
        <v>131</v>
      </c>
      <c r="AH7" s="33" t="s">
        <v>72</v>
      </c>
      <c r="AI7" s="34" t="s">
        <v>132</v>
      </c>
      <c r="AJ7" s="33" t="s">
        <v>73</v>
      </c>
      <c r="AK7" s="34" t="s">
        <v>133</v>
      </c>
      <c r="AL7" s="33" t="s">
        <v>74</v>
      </c>
      <c r="AM7" s="34" t="s">
        <v>134</v>
      </c>
      <c r="AN7" s="33" t="s">
        <v>135</v>
      </c>
      <c r="AO7" s="34" t="s">
        <v>136</v>
      </c>
      <c r="AP7" s="33" t="s">
        <v>84</v>
      </c>
      <c r="AQ7" s="34" t="s">
        <v>137</v>
      </c>
      <c r="AR7" s="33" t="s">
        <v>87</v>
      </c>
      <c r="AS7" s="34" t="s">
        <v>138</v>
      </c>
      <c r="AT7" s="33" t="s">
        <v>88</v>
      </c>
      <c r="AU7" s="34" t="s">
        <v>139</v>
      </c>
      <c r="AV7" s="33" t="s">
        <v>89</v>
      </c>
      <c r="AW7" s="34" t="s">
        <v>140</v>
      </c>
      <c r="AX7" s="33" t="s">
        <v>86</v>
      </c>
      <c r="AY7" s="33" t="s">
        <v>141</v>
      </c>
      <c r="AZ7" s="34" t="s">
        <v>142</v>
      </c>
      <c r="BA7" s="33" t="s">
        <v>143</v>
      </c>
      <c r="BB7" s="34" t="s">
        <v>144</v>
      </c>
      <c r="BC7" s="35" t="s">
        <v>145</v>
      </c>
      <c r="BD7" s="46" t="s">
        <v>146</v>
      </c>
      <c r="BE7" s="33" t="s">
        <v>147</v>
      </c>
      <c r="BF7" s="33" t="s">
        <v>52</v>
      </c>
      <c r="BG7" s="33" t="s">
        <v>148</v>
      </c>
      <c r="BH7" s="33" t="s">
        <v>147</v>
      </c>
      <c r="BI7" s="46" t="s">
        <v>148</v>
      </c>
    </row>
    <row r="8" spans="1:61" s="15" customFormat="1" ht="11.25" customHeight="1" x14ac:dyDescent="0.2">
      <c r="A8" s="36" t="s">
        <v>62</v>
      </c>
      <c r="B8" s="36" t="s">
        <v>63</v>
      </c>
      <c r="C8" s="36">
        <v>3</v>
      </c>
      <c r="D8" s="36" t="s">
        <v>64</v>
      </c>
      <c r="E8" s="37" t="s">
        <v>78</v>
      </c>
      <c r="F8" s="36" t="s">
        <v>75</v>
      </c>
      <c r="G8" s="36" t="s">
        <v>77</v>
      </c>
      <c r="H8" s="36" t="s">
        <v>76</v>
      </c>
      <c r="I8" s="37"/>
      <c r="J8" s="37"/>
      <c r="K8" s="37">
        <v>221</v>
      </c>
      <c r="L8" s="37">
        <v>823</v>
      </c>
      <c r="M8" s="37">
        <v>2367</v>
      </c>
      <c r="N8" s="37">
        <v>309</v>
      </c>
      <c r="O8" s="37">
        <v>16199</v>
      </c>
      <c r="P8" s="136">
        <v>652.69999999999982</v>
      </c>
      <c r="Q8" s="136">
        <v>165.5090909090909</v>
      </c>
      <c r="R8" s="136">
        <v>248.54545454545462</v>
      </c>
      <c r="S8" s="136">
        <v>55.684090909090926</v>
      </c>
      <c r="T8" s="37"/>
      <c r="U8" s="37"/>
      <c r="V8" s="37"/>
      <c r="W8" s="37"/>
      <c r="X8" s="137">
        <v>2833</v>
      </c>
      <c r="Y8" s="137">
        <v>1106</v>
      </c>
      <c r="Z8" s="137">
        <v>2786</v>
      </c>
      <c r="AA8" s="137">
        <v>2338</v>
      </c>
      <c r="AB8" s="138">
        <v>2545</v>
      </c>
      <c r="AC8" s="138">
        <v>1776</v>
      </c>
      <c r="AD8" s="138" t="str">
        <f t="shared" ref="AD8:AE12" si="0">+D8</f>
        <v>UDP</v>
      </c>
      <c r="AE8" s="139" t="str">
        <f t="shared" si="0"/>
        <v>II</v>
      </c>
      <c r="AF8" s="140">
        <f t="shared" ref="AF8:AF12" si="1">N8/(O8/100)</f>
        <v>1.9075251558738193</v>
      </c>
      <c r="AG8" s="141">
        <f>AF8/AG4</f>
        <v>1</v>
      </c>
      <c r="AH8" s="140">
        <f t="shared" ref="AH8:AH12" si="2">Q8/P8</f>
        <v>0.25357605470980688</v>
      </c>
      <c r="AI8" s="141">
        <f>AH8/AI4</f>
        <v>1</v>
      </c>
      <c r="AJ8" s="140">
        <f t="shared" ref="AJ8:AJ12" si="3">(Q8+R8+S8)/P8</f>
        <v>0.71968536289817153</v>
      </c>
      <c r="AK8" s="141">
        <f>AJ8/AK4</f>
        <v>1</v>
      </c>
      <c r="AL8" s="140">
        <f t="shared" ref="AL8:AL12" si="4">K8/P8</f>
        <v>0.33859353454879737</v>
      </c>
      <c r="AM8" s="141">
        <f>AL8/AM4</f>
        <v>1</v>
      </c>
      <c r="AN8" s="140">
        <f t="shared" ref="AN8:AN12" si="5">K8/Q8</f>
        <v>1.3352740854663299</v>
      </c>
      <c r="AO8" s="141">
        <f>AN8/AO4</f>
        <v>1</v>
      </c>
      <c r="AP8" s="140">
        <f t="shared" ref="AP8:AP12" si="6">M8/L8</f>
        <v>2.8760631834750909</v>
      </c>
      <c r="AQ8" s="141">
        <f>AP8/AQ4</f>
        <v>1</v>
      </c>
      <c r="AR8" s="140">
        <f t="shared" ref="AR8:AR12" si="7">Y8/X8</f>
        <v>0.39039887045534771</v>
      </c>
      <c r="AS8" s="141">
        <f>AR8/AS4</f>
        <v>1</v>
      </c>
      <c r="AT8" s="140">
        <f t="shared" ref="AT8:AT12" si="8">AA8/Z8</f>
        <v>0.83919597989949746</v>
      </c>
      <c r="AU8" s="141">
        <f>AT8/AU4</f>
        <v>1</v>
      </c>
      <c r="AV8" s="140">
        <f t="shared" ref="AV8:AV12" si="9">AC8/AB8</f>
        <v>0.69783889980353631</v>
      </c>
      <c r="AW8" s="141">
        <f>AV8/AW4</f>
        <v>1</v>
      </c>
      <c r="AX8" s="140" t="e">
        <f t="shared" ref="AX8:AX12" si="10">W8/V8</f>
        <v>#DIV/0!</v>
      </c>
      <c r="AY8" s="140"/>
      <c r="AZ8" s="141"/>
      <c r="BA8" s="140">
        <f t="shared" ref="BA8:BA12" si="11">(I8+J8)*1000/P8</f>
        <v>0</v>
      </c>
      <c r="BB8" s="141">
        <v>0</v>
      </c>
      <c r="BC8" s="142">
        <f>AVERAGE(AG8,AI8,AK8,AM8,AO8,AQ8,AS8,AU8,AW8,AZ8,BB8)</f>
        <v>0.9</v>
      </c>
      <c r="BD8" s="142">
        <f>BC8/BC4</f>
        <v>1</v>
      </c>
      <c r="BE8" s="143">
        <f>BD8*BD4</f>
        <v>899999.99999999907</v>
      </c>
      <c r="BF8" s="139" t="str">
        <f t="shared" ref="BF8:BF12" si="12">+AD8</f>
        <v>UDP</v>
      </c>
      <c r="BG8" s="143">
        <f t="shared" ref="BG8" si="13">ROUND(BE8,0)</f>
        <v>900000</v>
      </c>
      <c r="BH8" s="144">
        <f>BD8*$BH$4</f>
        <v>900000</v>
      </c>
      <c r="BI8" s="145">
        <f t="shared" ref="BI8:BI12" si="14">ROUND(BH8,0)</f>
        <v>900000</v>
      </c>
    </row>
    <row r="9" spans="1:61" s="15" customFormat="1" ht="11.25" customHeight="1" x14ac:dyDescent="0.2">
      <c r="A9" s="146" t="s">
        <v>53</v>
      </c>
      <c r="B9" s="146" t="s">
        <v>54</v>
      </c>
      <c r="C9" s="146">
        <v>69</v>
      </c>
      <c r="D9" s="146" t="s">
        <v>55</v>
      </c>
      <c r="E9" s="147" t="s">
        <v>79</v>
      </c>
      <c r="F9" s="146" t="s">
        <v>75</v>
      </c>
      <c r="G9" s="146" t="s">
        <v>77</v>
      </c>
      <c r="H9" s="146" t="s">
        <v>76</v>
      </c>
      <c r="I9" s="147"/>
      <c r="J9" s="147"/>
      <c r="K9" s="147">
        <v>70</v>
      </c>
      <c r="L9" s="147">
        <v>243</v>
      </c>
      <c r="M9" s="147">
        <v>176</v>
      </c>
      <c r="N9" s="147">
        <v>136</v>
      </c>
      <c r="O9" s="147">
        <v>6225</v>
      </c>
      <c r="P9" s="148">
        <v>220.09090909090745</v>
      </c>
      <c r="Q9" s="148">
        <v>87.147727272727153</v>
      </c>
      <c r="R9" s="148">
        <v>82.79545454545449</v>
      </c>
      <c r="S9" s="148">
        <v>0.13636363636363635</v>
      </c>
      <c r="T9" s="147"/>
      <c r="U9" s="147">
        <v>5</v>
      </c>
      <c r="V9" s="147">
        <v>3</v>
      </c>
      <c r="W9" s="147">
        <v>0</v>
      </c>
      <c r="X9" s="149">
        <v>1268</v>
      </c>
      <c r="Y9" s="149">
        <v>697</v>
      </c>
      <c r="Z9" s="149">
        <v>1234</v>
      </c>
      <c r="AA9" s="149">
        <v>955</v>
      </c>
      <c r="AB9" s="150">
        <v>884</v>
      </c>
      <c r="AC9" s="150">
        <v>540</v>
      </c>
      <c r="AD9" s="150" t="str">
        <f t="shared" si="0"/>
        <v>UAH</v>
      </c>
      <c r="AE9" s="151" t="str">
        <f t="shared" si="0"/>
        <v>III</v>
      </c>
      <c r="AF9" s="152">
        <f t="shared" si="1"/>
        <v>2.1847389558232932</v>
      </c>
      <c r="AG9" s="153">
        <f>AF9/AG$5</f>
        <v>1</v>
      </c>
      <c r="AH9" s="152">
        <f t="shared" si="2"/>
        <v>0.39596241222635514</v>
      </c>
      <c r="AI9" s="153">
        <f>AH9/AI$5</f>
        <v>1</v>
      </c>
      <c r="AJ9" s="152">
        <f t="shared" si="3"/>
        <v>0.77276951672862948</v>
      </c>
      <c r="AK9" s="153">
        <f>AJ9/AK$5</f>
        <v>1</v>
      </c>
      <c r="AL9" s="152">
        <f t="shared" si="4"/>
        <v>0.31805039239983718</v>
      </c>
      <c r="AM9" s="153">
        <f>AL9/AM$5</f>
        <v>1</v>
      </c>
      <c r="AN9" s="152">
        <f t="shared" si="5"/>
        <v>0.80323379840918097</v>
      </c>
      <c r="AO9" s="153">
        <f>AN9/AO$5</f>
        <v>0.32299968905784565</v>
      </c>
      <c r="AP9" s="152">
        <f t="shared" si="6"/>
        <v>0.72427983539094654</v>
      </c>
      <c r="AQ9" s="153">
        <f>AP9/AQ$5</f>
        <v>0.53280355706920202</v>
      </c>
      <c r="AR9" s="152">
        <f t="shared" si="7"/>
        <v>0.54968454258675081</v>
      </c>
      <c r="AS9" s="153">
        <f>AR9/AS$5</f>
        <v>0.7923496362607928</v>
      </c>
      <c r="AT9" s="152">
        <f t="shared" si="8"/>
        <v>0.77390599675850891</v>
      </c>
      <c r="AU9" s="153">
        <f>AT9/AU$5</f>
        <v>0.94746888010521679</v>
      </c>
      <c r="AV9" s="152">
        <f t="shared" si="9"/>
        <v>0.61085972850678738</v>
      </c>
      <c r="AW9" s="153">
        <f>AV9/AW$5</f>
        <v>0.86879072294503368</v>
      </c>
      <c r="AX9" s="152">
        <f t="shared" si="10"/>
        <v>0</v>
      </c>
      <c r="AY9" s="152">
        <f>W9/V9</f>
        <v>0</v>
      </c>
      <c r="AZ9" s="154">
        <v>0</v>
      </c>
      <c r="BA9" s="152">
        <f t="shared" si="11"/>
        <v>0</v>
      </c>
      <c r="BB9" s="153">
        <v>0</v>
      </c>
      <c r="BC9" s="155">
        <f t="shared" ref="BC9:BC12" si="15">AVERAGE(AG9,AI9,AK9,AM9,AO9,AQ9,AS9,AU9,AW9,AZ9,BB9)</f>
        <v>0.67858295322164464</v>
      </c>
      <c r="BD9" s="155">
        <f>BC9/BC$5</f>
        <v>0.25720741126316565</v>
      </c>
      <c r="BE9" s="156">
        <f>+BD9*BD$5</f>
        <v>462973.34027369833</v>
      </c>
      <c r="BF9" s="151" t="str">
        <f t="shared" si="12"/>
        <v>UAH</v>
      </c>
      <c r="BG9" s="156">
        <f t="shared" ref="BG9:BG12" si="16">ROUND(BE9,0)</f>
        <v>462973</v>
      </c>
      <c r="BH9" s="157">
        <f>BD9*$BH$5</f>
        <v>462973.34027369815</v>
      </c>
      <c r="BI9" s="158">
        <f t="shared" si="14"/>
        <v>462973</v>
      </c>
    </row>
    <row r="10" spans="1:61" s="15" customFormat="1" ht="11.25" customHeight="1" x14ac:dyDescent="0.2">
      <c r="A10" s="146" t="s">
        <v>59</v>
      </c>
      <c r="B10" s="146" t="s">
        <v>60</v>
      </c>
      <c r="C10" s="146">
        <v>42</v>
      </c>
      <c r="D10" s="146" t="s">
        <v>61</v>
      </c>
      <c r="E10" s="147" t="s">
        <v>79</v>
      </c>
      <c r="F10" s="146" t="s">
        <v>75</v>
      </c>
      <c r="G10" s="146" t="s">
        <v>77</v>
      </c>
      <c r="H10" s="146" t="s">
        <v>76</v>
      </c>
      <c r="I10" s="147"/>
      <c r="J10" s="147"/>
      <c r="K10" s="147">
        <v>9</v>
      </c>
      <c r="L10" s="147">
        <v>60</v>
      </c>
      <c r="M10" s="147">
        <v>46</v>
      </c>
      <c r="N10" s="147">
        <v>107</v>
      </c>
      <c r="O10" s="147">
        <v>5211</v>
      </c>
      <c r="P10" s="148">
        <v>212.23863636363748</v>
      </c>
      <c r="Q10" s="148">
        <v>33.579545454545453</v>
      </c>
      <c r="R10" s="148">
        <v>110.76136363636363</v>
      </c>
      <c r="S10" s="148">
        <v>0</v>
      </c>
      <c r="T10" s="147"/>
      <c r="U10" s="147"/>
      <c r="V10" s="147"/>
      <c r="W10" s="147"/>
      <c r="X10" s="149">
        <v>1059</v>
      </c>
      <c r="Y10" s="149">
        <v>582</v>
      </c>
      <c r="Z10" s="149">
        <v>912</v>
      </c>
      <c r="AA10" s="149">
        <v>721</v>
      </c>
      <c r="AB10" s="150">
        <v>1125</v>
      </c>
      <c r="AC10" s="150">
        <v>678</v>
      </c>
      <c r="AD10" s="150" t="str">
        <f t="shared" si="0"/>
        <v>UCS</v>
      </c>
      <c r="AE10" s="151" t="str">
        <f t="shared" si="0"/>
        <v>III</v>
      </c>
      <c r="AF10" s="152">
        <f t="shared" si="1"/>
        <v>2.0533486854730376</v>
      </c>
      <c r="AG10" s="153">
        <f t="shared" ref="AG10:AG12" si="17">AF10/AG$5</f>
        <v>0.93985996816688666</v>
      </c>
      <c r="AH10" s="152">
        <f t="shared" si="2"/>
        <v>0.15821598757830402</v>
      </c>
      <c r="AI10" s="153">
        <f t="shared" ref="AI10:AI12" si="18">AH10/AI$5</f>
        <v>0.3995732491089547</v>
      </c>
      <c r="AJ10" s="152">
        <f t="shared" si="3"/>
        <v>0.68008780853455753</v>
      </c>
      <c r="AK10" s="153">
        <f t="shared" ref="AK10:AK12" si="19">AJ10/AK$5</f>
        <v>0.88006552252937964</v>
      </c>
      <c r="AL10" s="152">
        <f t="shared" si="4"/>
        <v>4.2405097178347478E-2</v>
      </c>
      <c r="AM10" s="153">
        <f t="shared" ref="AM10:AM11" si="20">AL10/AM$5</f>
        <v>0.13332823411529671</v>
      </c>
      <c r="AN10" s="152">
        <f t="shared" si="5"/>
        <v>0.26802030456852793</v>
      </c>
      <c r="AO10" s="153">
        <f t="shared" ref="AO10:AO12" si="21">AN10/AO$5</f>
        <v>0.10777743069113625</v>
      </c>
      <c r="AP10" s="152">
        <f t="shared" si="6"/>
        <v>0.76666666666666672</v>
      </c>
      <c r="AQ10" s="153">
        <f t="shared" ref="AQ10:AS12" si="22">AP10/AQ$5</f>
        <v>0.56398467432950194</v>
      </c>
      <c r="AR10" s="152">
        <f t="shared" si="7"/>
        <v>0.54957507082152979</v>
      </c>
      <c r="AS10" s="153">
        <f t="shared" si="22"/>
        <v>0.7921918368201436</v>
      </c>
      <c r="AT10" s="152">
        <f t="shared" si="8"/>
        <v>0.79057017543859653</v>
      </c>
      <c r="AU10" s="153">
        <f t="shared" ref="AU10:AW12" si="23">AT10/AU$5</f>
        <v>0.96787031229210629</v>
      </c>
      <c r="AV10" s="152">
        <f t="shared" si="9"/>
        <v>0.60266666666666668</v>
      </c>
      <c r="AW10" s="153">
        <f t="shared" si="23"/>
        <v>0.8571382014461757</v>
      </c>
      <c r="AX10" s="152" t="e">
        <f t="shared" si="10"/>
        <v>#DIV/0!</v>
      </c>
      <c r="AY10" s="152"/>
      <c r="AZ10" s="153"/>
      <c r="BA10" s="152">
        <f t="shared" si="11"/>
        <v>0</v>
      </c>
      <c r="BB10" s="153">
        <v>0</v>
      </c>
      <c r="BC10" s="155">
        <f t="shared" si="15"/>
        <v>0.56417894294995818</v>
      </c>
      <c r="BD10" s="155">
        <f t="shared" ref="BD10:BD12" si="24">BC10/BC$5</f>
        <v>0.21384416557536268</v>
      </c>
      <c r="BE10" s="156">
        <f t="shared" ref="BE10:BE12" si="25">+BD10*BD$5</f>
        <v>384919.49803565297</v>
      </c>
      <c r="BF10" s="151" t="str">
        <f t="shared" si="12"/>
        <v>UCS</v>
      </c>
      <c r="BG10" s="156">
        <f t="shared" si="16"/>
        <v>384919</v>
      </c>
      <c r="BH10" s="157">
        <f>BD10*$BH$5</f>
        <v>384919.4980356528</v>
      </c>
      <c r="BI10" s="158">
        <f t="shared" si="14"/>
        <v>384919</v>
      </c>
    </row>
    <row r="11" spans="1:61" s="15" customFormat="1" ht="11.25" customHeight="1" x14ac:dyDescent="0.2">
      <c r="A11" s="146" t="s">
        <v>56</v>
      </c>
      <c r="B11" s="146" t="s">
        <v>57</v>
      </c>
      <c r="C11" s="146">
        <v>31</v>
      </c>
      <c r="D11" s="146" t="s">
        <v>58</v>
      </c>
      <c r="E11" s="147" t="s">
        <v>79</v>
      </c>
      <c r="F11" s="146" t="s">
        <v>75</v>
      </c>
      <c r="G11" s="146" t="s">
        <v>77</v>
      </c>
      <c r="H11" s="146" t="s">
        <v>76</v>
      </c>
      <c r="I11" s="147"/>
      <c r="J11" s="147"/>
      <c r="K11" s="147">
        <v>225</v>
      </c>
      <c r="L11" s="147">
        <v>401</v>
      </c>
      <c r="M11" s="147">
        <v>527</v>
      </c>
      <c r="N11" s="147">
        <v>443</v>
      </c>
      <c r="O11" s="147">
        <v>20539</v>
      </c>
      <c r="P11" s="148">
        <v>807.93181818181813</v>
      </c>
      <c r="Q11" s="148">
        <v>118.40909090909086</v>
      </c>
      <c r="R11" s="148">
        <v>358.9090909090915</v>
      </c>
      <c r="S11" s="148">
        <v>22.295454545454547</v>
      </c>
      <c r="T11" s="147"/>
      <c r="U11" s="147"/>
      <c r="V11" s="147"/>
      <c r="W11" s="147"/>
      <c r="X11" s="149">
        <v>3706</v>
      </c>
      <c r="Y11" s="149">
        <v>2571</v>
      </c>
      <c r="Z11" s="149">
        <v>3945</v>
      </c>
      <c r="AA11" s="149">
        <v>3143</v>
      </c>
      <c r="AB11" s="150">
        <v>4655</v>
      </c>
      <c r="AC11" s="150">
        <v>3273</v>
      </c>
      <c r="AD11" s="150" t="str">
        <f t="shared" si="0"/>
        <v>UAU</v>
      </c>
      <c r="AE11" s="151" t="str">
        <f t="shared" si="0"/>
        <v>III</v>
      </c>
      <c r="AF11" s="152">
        <f t="shared" si="1"/>
        <v>2.1568722917376699</v>
      </c>
      <c r="AG11" s="153">
        <f t="shared" si="17"/>
        <v>0.98724485412257312</v>
      </c>
      <c r="AH11" s="152">
        <f t="shared" si="2"/>
        <v>0.1465582716813412</v>
      </c>
      <c r="AI11" s="153">
        <f t="shared" si="18"/>
        <v>0.37013177805766062</v>
      </c>
      <c r="AJ11" s="152">
        <f t="shared" si="3"/>
        <v>0.61838588989845078</v>
      </c>
      <c r="AK11" s="153">
        <f t="shared" si="19"/>
        <v>0.80022034579762935</v>
      </c>
      <c r="AL11" s="152">
        <f t="shared" si="4"/>
        <v>0.27848884638105154</v>
      </c>
      <c r="AM11" s="153">
        <f t="shared" si="20"/>
        <v>0.87561233388119564</v>
      </c>
      <c r="AN11" s="152">
        <f t="shared" si="5"/>
        <v>1.9001919385796553</v>
      </c>
      <c r="AO11" s="153">
        <f t="shared" si="21"/>
        <v>0.76411302229440436</v>
      </c>
      <c r="AP11" s="152">
        <f t="shared" si="6"/>
        <v>1.314214463840399</v>
      </c>
      <c r="AQ11" s="153">
        <f t="shared" si="22"/>
        <v>0.96677845615845437</v>
      </c>
      <c r="AR11" s="152">
        <f t="shared" si="7"/>
        <v>0.69373988127361041</v>
      </c>
      <c r="AS11" s="153">
        <f t="shared" si="22"/>
        <v>1</v>
      </c>
      <c r="AT11" s="152">
        <f t="shared" si="8"/>
        <v>0.79670468948035489</v>
      </c>
      <c r="AU11" s="153">
        <f t="shared" si="23"/>
        <v>0.97538060575601415</v>
      </c>
      <c r="AV11" s="152">
        <f t="shared" si="9"/>
        <v>0.70311493018259941</v>
      </c>
      <c r="AW11" s="153">
        <f t="shared" si="23"/>
        <v>1</v>
      </c>
      <c r="AX11" s="152" t="e">
        <f t="shared" si="10"/>
        <v>#DIV/0!</v>
      </c>
      <c r="AY11" s="152"/>
      <c r="AZ11" s="153"/>
      <c r="BA11" s="152">
        <f t="shared" si="11"/>
        <v>0</v>
      </c>
      <c r="BB11" s="153">
        <v>0</v>
      </c>
      <c r="BC11" s="155">
        <f t="shared" si="15"/>
        <v>0.77394813960679321</v>
      </c>
      <c r="BD11" s="155">
        <f t="shared" si="24"/>
        <v>0.29335425609370708</v>
      </c>
      <c r="BE11" s="156">
        <f t="shared" si="25"/>
        <v>528037.66096867295</v>
      </c>
      <c r="BF11" s="151" t="str">
        <f t="shared" si="12"/>
        <v>UAU</v>
      </c>
      <c r="BG11" s="156">
        <f t="shared" si="16"/>
        <v>528038</v>
      </c>
      <c r="BH11" s="157">
        <f>BD11*$BH$5</f>
        <v>528037.66096867272</v>
      </c>
      <c r="BI11" s="158">
        <f t="shared" si="14"/>
        <v>528038</v>
      </c>
    </row>
    <row r="12" spans="1:61" s="15" customFormat="1" ht="11.25" customHeight="1" x14ac:dyDescent="0.2">
      <c r="A12" s="146" t="s">
        <v>65</v>
      </c>
      <c r="B12" s="146" t="s">
        <v>66</v>
      </c>
      <c r="C12" s="146">
        <v>2</v>
      </c>
      <c r="D12" s="146" t="s">
        <v>67</v>
      </c>
      <c r="E12" s="147" t="s">
        <v>79</v>
      </c>
      <c r="F12" s="146" t="s">
        <v>75</v>
      </c>
      <c r="G12" s="146" t="s">
        <v>77</v>
      </c>
      <c r="H12" s="146" t="s">
        <v>76</v>
      </c>
      <c r="I12" s="147"/>
      <c r="J12" s="147"/>
      <c r="K12" s="147">
        <v>52</v>
      </c>
      <c r="L12" s="147">
        <v>128</v>
      </c>
      <c r="M12" s="147">
        <v>174</v>
      </c>
      <c r="N12" s="147">
        <v>60</v>
      </c>
      <c r="O12" s="147">
        <v>6195</v>
      </c>
      <c r="P12" s="148">
        <v>290.13499999999976</v>
      </c>
      <c r="Q12" s="148">
        <v>20.910454545454542</v>
      </c>
      <c r="R12" s="148">
        <v>82.394090909091176</v>
      </c>
      <c r="S12" s="148">
        <v>49.337045454545468</v>
      </c>
      <c r="T12" s="147"/>
      <c r="U12" s="147"/>
      <c r="V12" s="147"/>
      <c r="W12" s="147"/>
      <c r="X12" s="149">
        <v>1175</v>
      </c>
      <c r="Y12" s="149">
        <v>362</v>
      </c>
      <c r="Z12" s="149">
        <v>1130</v>
      </c>
      <c r="AA12" s="149">
        <v>923</v>
      </c>
      <c r="AB12" s="150">
        <v>850</v>
      </c>
      <c r="AC12" s="150">
        <v>539</v>
      </c>
      <c r="AD12" s="150" t="str">
        <f t="shared" si="0"/>
        <v>UFT</v>
      </c>
      <c r="AE12" s="151" t="str">
        <f t="shared" si="0"/>
        <v>III</v>
      </c>
      <c r="AF12" s="152">
        <f t="shared" si="1"/>
        <v>0.96852300242130751</v>
      </c>
      <c r="AG12" s="153">
        <f t="shared" si="17"/>
        <v>0.44331291838769404</v>
      </c>
      <c r="AH12" s="152">
        <f t="shared" si="2"/>
        <v>7.2071465164335768E-2</v>
      </c>
      <c r="AI12" s="153">
        <f t="shared" si="18"/>
        <v>0.18201592610546966</v>
      </c>
      <c r="AJ12" s="152">
        <f t="shared" si="3"/>
        <v>0.52610540234405123</v>
      </c>
      <c r="AK12" s="153">
        <f t="shared" si="19"/>
        <v>0.68080506665327178</v>
      </c>
      <c r="AL12" s="152">
        <f t="shared" si="4"/>
        <v>0.17922691161011267</v>
      </c>
      <c r="AM12" s="153">
        <f>AL12/AM$5</f>
        <v>0.5635173415689344</v>
      </c>
      <c r="AN12" s="152">
        <f t="shared" si="5"/>
        <v>2.4867943394995984</v>
      </c>
      <c r="AO12" s="153">
        <f t="shared" si="21"/>
        <v>1</v>
      </c>
      <c r="AP12" s="152">
        <f t="shared" si="6"/>
        <v>1.359375</v>
      </c>
      <c r="AQ12" s="153">
        <f t="shared" si="22"/>
        <v>1</v>
      </c>
      <c r="AR12" s="152">
        <f t="shared" si="7"/>
        <v>0.3080851063829787</v>
      </c>
      <c r="AS12" s="153">
        <f t="shared" si="22"/>
        <v>0.44409311717437533</v>
      </c>
      <c r="AT12" s="152">
        <f t="shared" si="8"/>
        <v>0.81681415929203538</v>
      </c>
      <c r="AU12" s="153">
        <f t="shared" si="23"/>
        <v>1</v>
      </c>
      <c r="AV12" s="152">
        <f t="shared" si="9"/>
        <v>0.63411764705882356</v>
      </c>
      <c r="AW12" s="153">
        <f t="shared" si="23"/>
        <v>0.90186912528531116</v>
      </c>
      <c r="AX12" s="152" t="e">
        <f t="shared" si="10"/>
        <v>#DIV/0!</v>
      </c>
      <c r="AY12" s="152"/>
      <c r="AZ12" s="153"/>
      <c r="BA12" s="152">
        <f t="shared" si="11"/>
        <v>0</v>
      </c>
      <c r="BB12" s="153">
        <v>0</v>
      </c>
      <c r="BC12" s="155">
        <f t="shared" si="15"/>
        <v>0.62156134951750563</v>
      </c>
      <c r="BD12" s="155">
        <f t="shared" si="24"/>
        <v>0.2355941670677647</v>
      </c>
      <c r="BE12" s="156">
        <f t="shared" si="25"/>
        <v>424069.50072197663</v>
      </c>
      <c r="BF12" s="151" t="str">
        <f t="shared" si="12"/>
        <v>UFT</v>
      </c>
      <c r="BG12" s="156">
        <f t="shared" si="16"/>
        <v>424070</v>
      </c>
      <c r="BH12" s="157">
        <f>BD12*$BH$5</f>
        <v>424069.50072197645</v>
      </c>
      <c r="BI12" s="158">
        <f t="shared" si="14"/>
        <v>424070</v>
      </c>
    </row>
  </sheetData>
  <autoFilter ref="A7:BI12"/>
  <mergeCells count="12">
    <mergeCell ref="I2:J2"/>
    <mergeCell ref="N2:AC2"/>
    <mergeCell ref="K2:M2"/>
    <mergeCell ref="I3:J5"/>
    <mergeCell ref="K3:M5"/>
    <mergeCell ref="N3:O5"/>
    <mergeCell ref="T3:W5"/>
    <mergeCell ref="AF1:AG1"/>
    <mergeCell ref="Z3:AA5"/>
    <mergeCell ref="P3:S5"/>
    <mergeCell ref="X3:Y5"/>
    <mergeCell ref="AB3:AC5"/>
  </mergeCells>
  <pageMargins left="0.31496062992125984" right="0.31496062992125984" top="0.35433070866141736" bottom="0.35433070866141736" header="0.31496062992125984" footer="0.31496062992125984"/>
  <pageSetup paperSize="14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25" workbookViewId="0">
      <selection activeCell="J41" sqref="J41"/>
    </sheetView>
  </sheetViews>
  <sheetFormatPr baseColWidth="10" defaultRowHeight="12.75" x14ac:dyDescent="0.2"/>
  <cols>
    <col min="1" max="1" width="6.85546875" style="2" customWidth="1"/>
    <col min="2" max="2" width="7.140625" style="2" bestFit="1" customWidth="1"/>
    <col min="3" max="3" width="20.42578125" style="2" bestFit="1" customWidth="1"/>
    <col min="4" max="4" width="7.28515625" style="2" customWidth="1"/>
    <col min="5" max="5" width="9" style="2" customWidth="1"/>
    <col min="6" max="6" width="8.5703125" style="2" customWidth="1"/>
    <col min="7" max="7" width="9" style="2" customWidth="1"/>
    <col min="8" max="8" width="10.5703125" style="2" customWidth="1"/>
    <col min="9" max="9" width="10.28515625" style="2" customWidth="1"/>
    <col min="10" max="10" width="8.7109375" style="2" customWidth="1"/>
    <col min="11" max="11" width="8" style="39" customWidth="1"/>
    <col min="12" max="12" width="5" style="48" customWidth="1"/>
    <col min="13" max="13" width="11.7109375" style="49" customWidth="1"/>
    <col min="14" max="16384" width="11.42578125" style="2"/>
  </cols>
  <sheetData>
    <row r="1" spans="1:13" ht="15.75" x14ac:dyDescent="0.25">
      <c r="A1" s="47" t="s">
        <v>157</v>
      </c>
    </row>
    <row r="2" spans="1:13" ht="15.75" x14ac:dyDescent="0.25">
      <c r="A2" s="50" t="s">
        <v>82</v>
      </c>
    </row>
    <row r="3" spans="1:13" x14ac:dyDescent="0.2">
      <c r="A3" s="2" t="s">
        <v>183</v>
      </c>
    </row>
    <row r="5" spans="1:13" x14ac:dyDescent="0.2">
      <c r="B5" s="39"/>
      <c r="C5" s="39"/>
      <c r="D5" s="39"/>
      <c r="E5" s="39"/>
    </row>
    <row r="6" spans="1:13" ht="30" customHeight="1" x14ac:dyDescent="0.2">
      <c r="C6" s="39"/>
      <c r="D6" s="200" t="s">
        <v>158</v>
      </c>
      <c r="E6" s="200"/>
      <c r="F6" s="200"/>
      <c r="G6" s="200"/>
      <c r="M6" s="51">
        <v>32005202</v>
      </c>
    </row>
    <row r="7" spans="1:13" s="58" customFormat="1" ht="63.75" x14ac:dyDescent="0.25">
      <c r="A7" s="52" t="s">
        <v>68</v>
      </c>
      <c r="B7" s="41" t="s">
        <v>69</v>
      </c>
      <c r="C7" s="41" t="s">
        <v>81</v>
      </c>
      <c r="D7" s="41" t="s">
        <v>156</v>
      </c>
      <c r="E7" s="42" t="s">
        <v>159</v>
      </c>
      <c r="F7" s="42" t="s">
        <v>160</v>
      </c>
      <c r="G7" s="53" t="s">
        <v>161</v>
      </c>
      <c r="H7" s="33" t="s">
        <v>114</v>
      </c>
      <c r="I7" s="54" t="s">
        <v>162</v>
      </c>
      <c r="J7" s="55" t="s">
        <v>163</v>
      </c>
      <c r="K7" s="56" t="s">
        <v>164</v>
      </c>
      <c r="L7" s="57" t="s">
        <v>165</v>
      </c>
      <c r="M7" s="56" t="s">
        <v>166</v>
      </c>
    </row>
    <row r="8" spans="1:13" ht="15" customHeight="1" x14ac:dyDescent="0.2">
      <c r="A8" s="59" t="s">
        <v>1</v>
      </c>
      <c r="B8" s="59" t="s">
        <v>167</v>
      </c>
      <c r="C8" s="60" t="s">
        <v>2</v>
      </c>
      <c r="D8" s="61">
        <v>30</v>
      </c>
      <c r="E8" s="61">
        <v>3</v>
      </c>
      <c r="F8" s="61">
        <v>33</v>
      </c>
      <c r="G8" s="62" t="s">
        <v>80</v>
      </c>
      <c r="H8" s="63">
        <v>2160</v>
      </c>
      <c r="I8" s="62" t="str">
        <f t="shared" ref="I8:I23" si="0">IF(H8&gt;299,"I",IF(H8&gt;100,"II","III"))</f>
        <v>I</v>
      </c>
      <c r="J8" s="64" t="s">
        <v>80</v>
      </c>
      <c r="K8" s="61">
        <v>3</v>
      </c>
      <c r="L8" s="215" t="s">
        <v>168</v>
      </c>
      <c r="M8" s="217">
        <f>$M$6*SUM(K8:K9)/$K$24</f>
        <v>7385815.846153846</v>
      </c>
    </row>
    <row r="9" spans="1:13" x14ac:dyDescent="0.2">
      <c r="A9" s="59" t="s">
        <v>11</v>
      </c>
      <c r="B9" s="59" t="s">
        <v>167</v>
      </c>
      <c r="C9" s="60" t="s">
        <v>12</v>
      </c>
      <c r="D9" s="61">
        <v>11</v>
      </c>
      <c r="E9" s="61">
        <v>1</v>
      </c>
      <c r="F9" s="61">
        <v>12</v>
      </c>
      <c r="G9" s="62" t="s">
        <v>80</v>
      </c>
      <c r="H9" s="63">
        <v>462</v>
      </c>
      <c r="I9" s="62" t="str">
        <f t="shared" si="0"/>
        <v>I</v>
      </c>
      <c r="J9" s="64" t="s">
        <v>80</v>
      </c>
      <c r="K9" s="61">
        <v>3</v>
      </c>
      <c r="L9" s="216"/>
      <c r="M9" s="218"/>
    </row>
    <row r="10" spans="1:13" ht="15" customHeight="1" x14ac:dyDescent="0.2">
      <c r="A10" s="65" t="s">
        <v>29</v>
      </c>
      <c r="B10" s="65" t="s">
        <v>167</v>
      </c>
      <c r="C10" s="66" t="s">
        <v>30</v>
      </c>
      <c r="D10" s="67">
        <v>4</v>
      </c>
      <c r="E10" s="67">
        <v>0</v>
      </c>
      <c r="F10" s="67">
        <v>4</v>
      </c>
      <c r="G10" s="68" t="s">
        <v>78</v>
      </c>
      <c r="H10" s="69">
        <v>265</v>
      </c>
      <c r="I10" s="68" t="str">
        <f t="shared" si="0"/>
        <v>II</v>
      </c>
      <c r="J10" s="70" t="s">
        <v>78</v>
      </c>
      <c r="K10" s="67">
        <v>2</v>
      </c>
      <c r="L10" s="219" t="s">
        <v>169</v>
      </c>
      <c r="M10" s="222">
        <f>$M$6*SUM(K10:K15)/$K$24</f>
        <v>14771631.692307692</v>
      </c>
    </row>
    <row r="11" spans="1:13" x14ac:dyDescent="0.2">
      <c r="A11" s="65" t="s">
        <v>25</v>
      </c>
      <c r="B11" s="65" t="s">
        <v>167</v>
      </c>
      <c r="C11" s="66" t="s">
        <v>26</v>
      </c>
      <c r="D11" s="67">
        <v>4</v>
      </c>
      <c r="E11" s="67">
        <v>0</v>
      </c>
      <c r="F11" s="67">
        <v>4</v>
      </c>
      <c r="G11" s="68" t="s">
        <v>78</v>
      </c>
      <c r="H11" s="69">
        <v>343</v>
      </c>
      <c r="I11" s="68" t="str">
        <f t="shared" si="0"/>
        <v>I</v>
      </c>
      <c r="J11" s="70" t="s">
        <v>78</v>
      </c>
      <c r="K11" s="67">
        <v>2</v>
      </c>
      <c r="L11" s="220"/>
      <c r="M11" s="223"/>
    </row>
    <row r="12" spans="1:13" x14ac:dyDescent="0.2">
      <c r="A12" s="65" t="s">
        <v>33</v>
      </c>
      <c r="B12" s="65" t="s">
        <v>167</v>
      </c>
      <c r="C12" s="66" t="s">
        <v>34</v>
      </c>
      <c r="D12" s="67">
        <v>0</v>
      </c>
      <c r="E12" s="67">
        <v>1</v>
      </c>
      <c r="F12" s="67">
        <v>1</v>
      </c>
      <c r="G12" s="68" t="s">
        <v>78</v>
      </c>
      <c r="H12" s="69">
        <v>182</v>
      </c>
      <c r="I12" s="68" t="str">
        <f t="shared" si="0"/>
        <v>II</v>
      </c>
      <c r="J12" s="70" t="s">
        <v>78</v>
      </c>
      <c r="K12" s="67">
        <v>2</v>
      </c>
      <c r="L12" s="220"/>
      <c r="M12" s="223"/>
    </row>
    <row r="13" spans="1:13" x14ac:dyDescent="0.2">
      <c r="A13" s="65" t="s">
        <v>23</v>
      </c>
      <c r="B13" s="65" t="s">
        <v>167</v>
      </c>
      <c r="C13" s="66" t="s">
        <v>24</v>
      </c>
      <c r="D13" s="67">
        <v>2</v>
      </c>
      <c r="E13" s="67">
        <v>0</v>
      </c>
      <c r="F13" s="67">
        <v>2</v>
      </c>
      <c r="G13" s="68" t="s">
        <v>78</v>
      </c>
      <c r="H13" s="69">
        <v>142</v>
      </c>
      <c r="I13" s="68" t="str">
        <f t="shared" si="0"/>
        <v>II</v>
      </c>
      <c r="J13" s="70" t="s">
        <v>78</v>
      </c>
      <c r="K13" s="67">
        <v>2</v>
      </c>
      <c r="L13" s="220"/>
      <c r="M13" s="223"/>
    </row>
    <row r="14" spans="1:13" x14ac:dyDescent="0.2">
      <c r="A14" s="65" t="s">
        <v>17</v>
      </c>
      <c r="B14" s="65" t="s">
        <v>167</v>
      </c>
      <c r="C14" s="66" t="s">
        <v>18</v>
      </c>
      <c r="D14" s="67">
        <v>4</v>
      </c>
      <c r="E14" s="67">
        <v>0</v>
      </c>
      <c r="F14" s="67">
        <v>4</v>
      </c>
      <c r="G14" s="68" t="s">
        <v>78</v>
      </c>
      <c r="H14" s="69">
        <v>287</v>
      </c>
      <c r="I14" s="68" t="str">
        <f t="shared" si="0"/>
        <v>II</v>
      </c>
      <c r="J14" s="70" t="s">
        <v>78</v>
      </c>
      <c r="K14" s="67">
        <v>2</v>
      </c>
      <c r="L14" s="220"/>
      <c r="M14" s="223"/>
    </row>
    <row r="15" spans="1:13" x14ac:dyDescent="0.2">
      <c r="A15" s="65" t="s">
        <v>19</v>
      </c>
      <c r="B15" s="65" t="s">
        <v>167</v>
      </c>
      <c r="C15" s="66" t="s">
        <v>20</v>
      </c>
      <c r="D15" s="67">
        <v>1</v>
      </c>
      <c r="E15" s="67">
        <v>0</v>
      </c>
      <c r="F15" s="67">
        <v>1</v>
      </c>
      <c r="G15" s="68" t="s">
        <v>78</v>
      </c>
      <c r="H15" s="69">
        <v>121</v>
      </c>
      <c r="I15" s="68" t="str">
        <f t="shared" si="0"/>
        <v>II</v>
      </c>
      <c r="J15" s="70" t="s">
        <v>78</v>
      </c>
      <c r="K15" s="67">
        <v>2</v>
      </c>
      <c r="L15" s="221"/>
      <c r="M15" s="224"/>
    </row>
    <row r="16" spans="1:13" ht="15" customHeight="1" x14ac:dyDescent="0.2">
      <c r="A16" s="71" t="s">
        <v>21</v>
      </c>
      <c r="B16" s="71" t="s">
        <v>167</v>
      </c>
      <c r="C16" s="72" t="s">
        <v>22</v>
      </c>
      <c r="D16" s="73">
        <v>1</v>
      </c>
      <c r="E16" s="73">
        <v>1</v>
      </c>
      <c r="F16" s="73">
        <v>2</v>
      </c>
      <c r="G16" s="74" t="s">
        <v>78</v>
      </c>
      <c r="H16" s="75">
        <v>96</v>
      </c>
      <c r="I16" s="74" t="str">
        <f t="shared" si="0"/>
        <v>III</v>
      </c>
      <c r="J16" s="76" t="s">
        <v>79</v>
      </c>
      <c r="K16" s="73">
        <v>1</v>
      </c>
      <c r="L16" s="207" t="s">
        <v>170</v>
      </c>
      <c r="M16" s="210">
        <f>$M$6*SUM(K16:K23)/$K$24</f>
        <v>9847754.461538462</v>
      </c>
    </row>
    <row r="17" spans="1:13" x14ac:dyDescent="0.2">
      <c r="A17" s="71" t="s">
        <v>37</v>
      </c>
      <c r="B17" s="71" t="s">
        <v>167</v>
      </c>
      <c r="C17" s="72" t="s">
        <v>38</v>
      </c>
      <c r="D17" s="73"/>
      <c r="E17" s="73"/>
      <c r="F17" s="73">
        <v>0</v>
      </c>
      <c r="G17" s="74" t="s">
        <v>79</v>
      </c>
      <c r="H17" s="75">
        <v>21</v>
      </c>
      <c r="I17" s="74" t="str">
        <f t="shared" si="0"/>
        <v>III</v>
      </c>
      <c r="J17" s="76" t="s">
        <v>79</v>
      </c>
      <c r="K17" s="73">
        <v>1</v>
      </c>
      <c r="L17" s="208"/>
      <c r="M17" s="211"/>
    </row>
    <row r="18" spans="1:13" x14ac:dyDescent="0.2">
      <c r="A18" s="71" t="s">
        <v>39</v>
      </c>
      <c r="B18" s="71" t="s">
        <v>167</v>
      </c>
      <c r="C18" s="72" t="s">
        <v>40</v>
      </c>
      <c r="D18" s="73"/>
      <c r="E18" s="73"/>
      <c r="F18" s="73">
        <v>0</v>
      </c>
      <c r="G18" s="74" t="s">
        <v>79</v>
      </c>
      <c r="H18" s="75">
        <v>54</v>
      </c>
      <c r="I18" s="74" t="str">
        <f t="shared" si="0"/>
        <v>III</v>
      </c>
      <c r="J18" s="76" t="s">
        <v>79</v>
      </c>
      <c r="K18" s="73">
        <v>1</v>
      </c>
      <c r="L18" s="208"/>
      <c r="M18" s="211"/>
    </row>
    <row r="19" spans="1:13" x14ac:dyDescent="0.2">
      <c r="A19" s="71" t="s">
        <v>43</v>
      </c>
      <c r="B19" s="71" t="s">
        <v>167</v>
      </c>
      <c r="C19" s="72" t="s">
        <v>44</v>
      </c>
      <c r="D19" s="73"/>
      <c r="E19" s="73"/>
      <c r="F19" s="73">
        <v>0</v>
      </c>
      <c r="G19" s="74" t="s">
        <v>79</v>
      </c>
      <c r="H19" s="75">
        <v>50</v>
      </c>
      <c r="I19" s="74" t="str">
        <f t="shared" si="0"/>
        <v>III</v>
      </c>
      <c r="J19" s="76" t="s">
        <v>79</v>
      </c>
      <c r="K19" s="73">
        <v>1</v>
      </c>
      <c r="L19" s="208"/>
      <c r="M19" s="211"/>
    </row>
    <row r="20" spans="1:13" x14ac:dyDescent="0.2">
      <c r="A20" s="71" t="s">
        <v>27</v>
      </c>
      <c r="B20" s="71" t="s">
        <v>167</v>
      </c>
      <c r="C20" s="72" t="s">
        <v>28</v>
      </c>
      <c r="D20" s="73"/>
      <c r="E20" s="73"/>
      <c r="F20" s="73">
        <v>0</v>
      </c>
      <c r="G20" s="74" t="s">
        <v>79</v>
      </c>
      <c r="H20" s="75">
        <v>52</v>
      </c>
      <c r="I20" s="74" t="str">
        <f t="shared" si="0"/>
        <v>III</v>
      </c>
      <c r="J20" s="76" t="s">
        <v>79</v>
      </c>
      <c r="K20" s="73">
        <v>1</v>
      </c>
      <c r="L20" s="208"/>
      <c r="M20" s="211"/>
    </row>
    <row r="21" spans="1:13" x14ac:dyDescent="0.2">
      <c r="A21" s="71" t="s">
        <v>41</v>
      </c>
      <c r="B21" s="71" t="s">
        <v>167</v>
      </c>
      <c r="C21" s="72" t="s">
        <v>42</v>
      </c>
      <c r="D21" s="73"/>
      <c r="E21" s="73"/>
      <c r="F21" s="73">
        <v>0</v>
      </c>
      <c r="G21" s="74" t="s">
        <v>79</v>
      </c>
      <c r="H21" s="75">
        <v>9</v>
      </c>
      <c r="I21" s="74" t="str">
        <f t="shared" si="0"/>
        <v>III</v>
      </c>
      <c r="J21" s="76" t="s">
        <v>79</v>
      </c>
      <c r="K21" s="73">
        <v>1</v>
      </c>
      <c r="L21" s="208"/>
      <c r="M21" s="211"/>
    </row>
    <row r="22" spans="1:13" x14ac:dyDescent="0.2">
      <c r="A22" s="71" t="s">
        <v>35</v>
      </c>
      <c r="B22" s="71" t="s">
        <v>167</v>
      </c>
      <c r="C22" s="72" t="s">
        <v>36</v>
      </c>
      <c r="D22" s="73"/>
      <c r="E22" s="73"/>
      <c r="F22" s="73">
        <v>0</v>
      </c>
      <c r="G22" s="74" t="s">
        <v>79</v>
      </c>
      <c r="H22" s="75">
        <v>48</v>
      </c>
      <c r="I22" s="74" t="str">
        <f t="shared" si="0"/>
        <v>III</v>
      </c>
      <c r="J22" s="76" t="s">
        <v>79</v>
      </c>
      <c r="K22" s="73">
        <v>1</v>
      </c>
      <c r="L22" s="208"/>
      <c r="M22" s="211"/>
    </row>
    <row r="23" spans="1:13" x14ac:dyDescent="0.2">
      <c r="A23" s="71" t="s">
        <v>31</v>
      </c>
      <c r="B23" s="71" t="s">
        <v>167</v>
      </c>
      <c r="C23" s="72" t="s">
        <v>32</v>
      </c>
      <c r="D23" s="73"/>
      <c r="E23" s="73"/>
      <c r="F23" s="73">
        <v>0</v>
      </c>
      <c r="G23" s="74" t="s">
        <v>79</v>
      </c>
      <c r="H23" s="75">
        <v>25</v>
      </c>
      <c r="I23" s="74" t="str">
        <f t="shared" si="0"/>
        <v>III</v>
      </c>
      <c r="J23" s="76" t="s">
        <v>79</v>
      </c>
      <c r="K23" s="73">
        <v>1</v>
      </c>
      <c r="L23" s="209"/>
      <c r="M23" s="212"/>
    </row>
    <row r="24" spans="1:13" x14ac:dyDescent="0.2">
      <c r="A24" s="77" t="s">
        <v>70</v>
      </c>
      <c r="B24" s="77"/>
      <c r="C24" s="78"/>
      <c r="D24" s="79">
        <f>SUM(D8:D23)</f>
        <v>57</v>
      </c>
      <c r="E24" s="79">
        <f t="shared" ref="E24:H24" si="1">SUM(E8:E23)</f>
        <v>6</v>
      </c>
      <c r="F24" s="79">
        <f t="shared" si="1"/>
        <v>63</v>
      </c>
      <c r="G24" s="79"/>
      <c r="H24" s="80">
        <f t="shared" si="1"/>
        <v>4317</v>
      </c>
      <c r="I24" s="81"/>
      <c r="J24" s="82"/>
      <c r="K24" s="82">
        <f>SUM(K8:K23)</f>
        <v>26</v>
      </c>
      <c r="L24" s="83"/>
      <c r="M24" s="84">
        <f>SUM(M8:M23)</f>
        <v>32005202</v>
      </c>
    </row>
    <row r="25" spans="1:13" x14ac:dyDescent="0.2">
      <c r="D25" s="39"/>
      <c r="E25" s="39"/>
    </row>
    <row r="26" spans="1:13" x14ac:dyDescent="0.2">
      <c r="D26" s="39"/>
      <c r="E26" s="39"/>
    </row>
    <row r="27" spans="1:13" ht="30" customHeight="1" x14ac:dyDescent="0.2">
      <c r="D27" s="200" t="s">
        <v>158</v>
      </c>
      <c r="E27" s="200"/>
      <c r="F27" s="200"/>
      <c r="G27" s="200"/>
      <c r="M27" s="51">
        <v>17722280</v>
      </c>
    </row>
    <row r="28" spans="1:13" ht="63.75" x14ac:dyDescent="0.2">
      <c r="A28" s="52" t="s">
        <v>68</v>
      </c>
      <c r="B28" s="41" t="s">
        <v>69</v>
      </c>
      <c r="C28" s="41" t="s">
        <v>81</v>
      </c>
      <c r="D28" s="41" t="s">
        <v>156</v>
      </c>
      <c r="E28" s="42" t="s">
        <v>159</v>
      </c>
      <c r="F28" s="42" t="s">
        <v>160</v>
      </c>
      <c r="G28" s="53" t="s">
        <v>161</v>
      </c>
      <c r="H28" s="33" t="s">
        <v>114</v>
      </c>
      <c r="I28" s="54" t="s">
        <v>162</v>
      </c>
      <c r="J28" s="55" t="s">
        <v>163</v>
      </c>
      <c r="K28" s="56" t="s">
        <v>164</v>
      </c>
      <c r="L28" s="57" t="s">
        <v>165</v>
      </c>
      <c r="M28" s="56" t="s">
        <v>166</v>
      </c>
    </row>
    <row r="29" spans="1:13" x14ac:dyDescent="0.2">
      <c r="A29" s="85" t="s">
        <v>3</v>
      </c>
      <c r="B29" s="85" t="s">
        <v>171</v>
      </c>
      <c r="C29" s="86" t="s">
        <v>4</v>
      </c>
      <c r="D29" s="87">
        <v>32</v>
      </c>
      <c r="E29" s="87">
        <v>1</v>
      </c>
      <c r="F29" s="87">
        <v>33</v>
      </c>
      <c r="G29" s="88" t="s">
        <v>80</v>
      </c>
      <c r="H29" s="89">
        <v>1824</v>
      </c>
      <c r="I29" s="88" t="str">
        <f>IF(H29&gt;299,"I",IF(H29&gt;100,"II","III"))</f>
        <v>I</v>
      </c>
      <c r="J29" s="90" t="s">
        <v>80</v>
      </c>
      <c r="K29" s="87">
        <v>3</v>
      </c>
      <c r="L29" s="213" t="s">
        <v>172</v>
      </c>
      <c r="M29" s="214">
        <f>$M$27*SUM(K29:K30)/$K$38</f>
        <v>6254922.3529411769</v>
      </c>
    </row>
    <row r="30" spans="1:13" x14ac:dyDescent="0.2">
      <c r="A30" s="85" t="s">
        <v>5</v>
      </c>
      <c r="B30" s="85" t="s">
        <v>171</v>
      </c>
      <c r="C30" s="86" t="s">
        <v>6</v>
      </c>
      <c r="D30" s="87">
        <v>22</v>
      </c>
      <c r="E30" s="87">
        <v>0</v>
      </c>
      <c r="F30" s="87">
        <v>22</v>
      </c>
      <c r="G30" s="88" t="s">
        <v>80</v>
      </c>
      <c r="H30" s="89">
        <v>870</v>
      </c>
      <c r="I30" s="88" t="str">
        <f t="shared" ref="I30:I37" si="2">IF(H30&gt;299,"I",IF(H30&gt;100,"II","III"))</f>
        <v>I</v>
      </c>
      <c r="J30" s="90" t="s">
        <v>80</v>
      </c>
      <c r="K30" s="87">
        <v>3</v>
      </c>
      <c r="L30" s="213"/>
      <c r="M30" s="214"/>
    </row>
    <row r="31" spans="1:13" x14ac:dyDescent="0.2">
      <c r="A31" s="91" t="s">
        <v>9</v>
      </c>
      <c r="B31" s="91" t="s">
        <v>171</v>
      </c>
      <c r="C31" s="92" t="s">
        <v>10</v>
      </c>
      <c r="D31" s="93">
        <v>2</v>
      </c>
      <c r="E31" s="93">
        <v>2</v>
      </c>
      <c r="F31" s="93">
        <v>4</v>
      </c>
      <c r="G31" s="94" t="s">
        <v>78</v>
      </c>
      <c r="H31" s="95">
        <v>399</v>
      </c>
      <c r="I31" s="94" t="str">
        <f t="shared" si="2"/>
        <v>I</v>
      </c>
      <c r="J31" s="96" t="s">
        <v>78</v>
      </c>
      <c r="K31" s="93">
        <v>2</v>
      </c>
      <c r="L31" s="203" t="s">
        <v>173</v>
      </c>
      <c r="M31" s="204">
        <f>$M$27*SUM(K31:K34)/$K$38</f>
        <v>8339896.4705882352</v>
      </c>
    </row>
    <row r="32" spans="1:13" x14ac:dyDescent="0.2">
      <c r="A32" s="91" t="s">
        <v>7</v>
      </c>
      <c r="B32" s="91" t="s">
        <v>171</v>
      </c>
      <c r="C32" s="92" t="s">
        <v>8</v>
      </c>
      <c r="D32" s="93">
        <v>6</v>
      </c>
      <c r="E32" s="93">
        <v>3</v>
      </c>
      <c r="F32" s="93">
        <v>9</v>
      </c>
      <c r="G32" s="94" t="s">
        <v>78</v>
      </c>
      <c r="H32" s="95">
        <v>402</v>
      </c>
      <c r="I32" s="94" t="str">
        <f t="shared" si="2"/>
        <v>I</v>
      </c>
      <c r="J32" s="96" t="s">
        <v>78</v>
      </c>
      <c r="K32" s="93">
        <v>2</v>
      </c>
      <c r="L32" s="203"/>
      <c r="M32" s="204"/>
    </row>
    <row r="33" spans="1:13" x14ac:dyDescent="0.2">
      <c r="A33" s="91" t="s">
        <v>13</v>
      </c>
      <c r="B33" s="91" t="s">
        <v>171</v>
      </c>
      <c r="C33" s="92" t="s">
        <v>14</v>
      </c>
      <c r="D33" s="93">
        <v>8</v>
      </c>
      <c r="E33" s="93">
        <v>0</v>
      </c>
      <c r="F33" s="93">
        <v>8</v>
      </c>
      <c r="G33" s="94" t="s">
        <v>78</v>
      </c>
      <c r="H33" s="95">
        <v>403</v>
      </c>
      <c r="I33" s="94" t="str">
        <f t="shared" si="2"/>
        <v>I</v>
      </c>
      <c r="J33" s="96" t="s">
        <v>78</v>
      </c>
      <c r="K33" s="93">
        <v>2</v>
      </c>
      <c r="L33" s="203"/>
      <c r="M33" s="204"/>
    </row>
    <row r="34" spans="1:13" x14ac:dyDescent="0.2">
      <c r="A34" s="91" t="s">
        <v>15</v>
      </c>
      <c r="B34" s="91" t="s">
        <v>171</v>
      </c>
      <c r="C34" s="92" t="s">
        <v>16</v>
      </c>
      <c r="D34" s="93">
        <v>2</v>
      </c>
      <c r="E34" s="93">
        <v>3</v>
      </c>
      <c r="F34" s="93">
        <v>5</v>
      </c>
      <c r="G34" s="94" t="s">
        <v>78</v>
      </c>
      <c r="H34" s="95">
        <v>271</v>
      </c>
      <c r="I34" s="94" t="str">
        <f t="shared" si="2"/>
        <v>II</v>
      </c>
      <c r="J34" s="96" t="s">
        <v>78</v>
      </c>
      <c r="K34" s="93">
        <v>2</v>
      </c>
      <c r="L34" s="203"/>
      <c r="M34" s="204"/>
    </row>
    <row r="35" spans="1:13" x14ac:dyDescent="0.2">
      <c r="A35" s="97" t="s">
        <v>47</v>
      </c>
      <c r="B35" s="97" t="s">
        <v>171</v>
      </c>
      <c r="C35" s="98" t="s">
        <v>48</v>
      </c>
      <c r="D35" s="99">
        <v>1</v>
      </c>
      <c r="E35" s="99">
        <v>0</v>
      </c>
      <c r="F35" s="99">
        <v>1</v>
      </c>
      <c r="G35" s="100" t="s">
        <v>78</v>
      </c>
      <c r="H35" s="101">
        <v>80</v>
      </c>
      <c r="I35" s="100" t="str">
        <f t="shared" si="2"/>
        <v>III</v>
      </c>
      <c r="J35" s="102" t="s">
        <v>79</v>
      </c>
      <c r="K35" s="99">
        <v>1</v>
      </c>
      <c r="L35" s="205" t="s">
        <v>174</v>
      </c>
      <c r="M35" s="206">
        <f>$M$27*SUM(K35:K37)/$K$38</f>
        <v>3127461.1764705884</v>
      </c>
    </row>
    <row r="36" spans="1:13" x14ac:dyDescent="0.2">
      <c r="A36" s="97" t="s">
        <v>45</v>
      </c>
      <c r="B36" s="97" t="s">
        <v>171</v>
      </c>
      <c r="C36" s="98" t="s">
        <v>46</v>
      </c>
      <c r="D36" s="99"/>
      <c r="E36" s="99"/>
      <c r="F36" s="99">
        <v>0</v>
      </c>
      <c r="G36" s="100" t="s">
        <v>79</v>
      </c>
      <c r="H36" s="101">
        <v>56</v>
      </c>
      <c r="I36" s="100" t="str">
        <f t="shared" si="2"/>
        <v>III</v>
      </c>
      <c r="J36" s="102" t="s">
        <v>79</v>
      </c>
      <c r="K36" s="99">
        <v>1</v>
      </c>
      <c r="L36" s="205"/>
      <c r="M36" s="206"/>
    </row>
    <row r="37" spans="1:13" x14ac:dyDescent="0.2">
      <c r="A37" s="97" t="s">
        <v>49</v>
      </c>
      <c r="B37" s="97" t="s">
        <v>171</v>
      </c>
      <c r="C37" s="98" t="s">
        <v>50</v>
      </c>
      <c r="D37" s="99"/>
      <c r="E37" s="99"/>
      <c r="F37" s="99">
        <v>0</v>
      </c>
      <c r="G37" s="100" t="s">
        <v>79</v>
      </c>
      <c r="H37" s="101">
        <v>51</v>
      </c>
      <c r="I37" s="100" t="str">
        <f t="shared" si="2"/>
        <v>III</v>
      </c>
      <c r="J37" s="102" t="s">
        <v>79</v>
      </c>
      <c r="K37" s="99">
        <v>1</v>
      </c>
      <c r="L37" s="205"/>
      <c r="M37" s="206"/>
    </row>
    <row r="38" spans="1:13" x14ac:dyDescent="0.2">
      <c r="A38" s="103" t="s">
        <v>175</v>
      </c>
      <c r="B38" s="103"/>
      <c r="C38" s="104"/>
      <c r="D38" s="105">
        <f>SUM(D29:D37)</f>
        <v>73</v>
      </c>
      <c r="E38" s="105">
        <f t="shared" ref="E38:H38" si="3">SUM(E29:E37)</f>
        <v>9</v>
      </c>
      <c r="F38" s="105">
        <f t="shared" si="3"/>
        <v>82</v>
      </c>
      <c r="G38" s="106"/>
      <c r="H38" s="80">
        <f t="shared" si="3"/>
        <v>4356</v>
      </c>
      <c r="I38" s="81"/>
      <c r="J38" s="81"/>
      <c r="K38" s="80">
        <f t="shared" ref="K38:M38" si="4">SUM(K29:K37)</f>
        <v>17</v>
      </c>
      <c r="L38" s="107"/>
      <c r="M38" s="80">
        <f t="shared" si="4"/>
        <v>17722280</v>
      </c>
    </row>
    <row r="39" spans="1:13" x14ac:dyDescent="0.2">
      <c r="D39" s="39"/>
      <c r="E39" s="39"/>
    </row>
    <row r="40" spans="1:13" x14ac:dyDescent="0.2">
      <c r="D40" s="39"/>
      <c r="E40" s="39"/>
    </row>
    <row r="41" spans="1:13" ht="30" customHeight="1" x14ac:dyDescent="0.2">
      <c r="D41" s="200" t="s">
        <v>158</v>
      </c>
      <c r="E41" s="200"/>
      <c r="F41" s="200"/>
      <c r="G41" s="200"/>
      <c r="M41" s="51">
        <v>2700000</v>
      </c>
    </row>
    <row r="42" spans="1:13" ht="63.75" x14ac:dyDescent="0.2">
      <c r="A42" s="52" t="s">
        <v>68</v>
      </c>
      <c r="B42" s="41" t="s">
        <v>69</v>
      </c>
      <c r="C42" s="41" t="s">
        <v>81</v>
      </c>
      <c r="D42" s="41" t="s">
        <v>156</v>
      </c>
      <c r="E42" s="42" t="s">
        <v>159</v>
      </c>
      <c r="F42" s="42" t="s">
        <v>160</v>
      </c>
      <c r="G42" s="42" t="s">
        <v>161</v>
      </c>
      <c r="H42" s="33" t="s">
        <v>114</v>
      </c>
      <c r="I42" s="54" t="s">
        <v>162</v>
      </c>
      <c r="J42" s="55" t="s">
        <v>163</v>
      </c>
      <c r="K42" s="56" t="s">
        <v>164</v>
      </c>
      <c r="L42" s="57" t="s">
        <v>165</v>
      </c>
      <c r="M42" s="56" t="s">
        <v>166</v>
      </c>
    </row>
    <row r="43" spans="1:13" x14ac:dyDescent="0.2">
      <c r="A43" s="108" t="s">
        <v>64</v>
      </c>
      <c r="B43" s="108" t="s">
        <v>176</v>
      </c>
      <c r="C43" s="109" t="s">
        <v>63</v>
      </c>
      <c r="D43" s="110">
        <v>1</v>
      </c>
      <c r="E43" s="110">
        <v>0</v>
      </c>
      <c r="F43" s="110">
        <v>1</v>
      </c>
      <c r="G43" s="110" t="s">
        <v>78</v>
      </c>
      <c r="H43" s="111">
        <v>221</v>
      </c>
      <c r="I43" s="112" t="str">
        <f>IF(H43&gt;299,"I",IF(H43&gt;100,"II","III"))</f>
        <v>II</v>
      </c>
      <c r="J43" s="113" t="s">
        <v>78</v>
      </c>
      <c r="K43" s="110">
        <v>2</v>
      </c>
      <c r="L43" s="114" t="s">
        <v>177</v>
      </c>
      <c r="M43" s="115">
        <f>$M$41*SUM(K43)/$K$48</f>
        <v>900000</v>
      </c>
    </row>
    <row r="44" spans="1:13" x14ac:dyDescent="0.2">
      <c r="A44" s="116" t="s">
        <v>55</v>
      </c>
      <c r="B44" s="116" t="s">
        <v>176</v>
      </c>
      <c r="C44" s="117" t="s">
        <v>54</v>
      </c>
      <c r="D44" s="118">
        <v>2</v>
      </c>
      <c r="E44" s="118">
        <v>0</v>
      </c>
      <c r="F44" s="118">
        <v>2</v>
      </c>
      <c r="G44" s="118" t="s">
        <v>78</v>
      </c>
      <c r="H44" s="119">
        <v>70</v>
      </c>
      <c r="I44" s="120" t="str">
        <f t="shared" ref="I44:I47" si="5">IF(H44&gt;299,"I",IF(H44&gt;100,"II","III"))</f>
        <v>III</v>
      </c>
      <c r="J44" s="121" t="s">
        <v>79</v>
      </c>
      <c r="K44" s="118">
        <v>1</v>
      </c>
      <c r="L44" s="201" t="s">
        <v>178</v>
      </c>
      <c r="M44" s="202">
        <f>$M$41*SUM(K44:K47)/$K$48</f>
        <v>1800000</v>
      </c>
    </row>
    <row r="45" spans="1:13" x14ac:dyDescent="0.2">
      <c r="A45" s="116" t="s">
        <v>58</v>
      </c>
      <c r="B45" s="116" t="s">
        <v>176</v>
      </c>
      <c r="C45" s="117" t="s">
        <v>57</v>
      </c>
      <c r="D45" s="118"/>
      <c r="E45" s="118"/>
      <c r="F45" s="118">
        <v>0</v>
      </c>
      <c r="G45" s="118" t="s">
        <v>79</v>
      </c>
      <c r="H45" s="119">
        <v>225</v>
      </c>
      <c r="I45" s="120" t="str">
        <f t="shared" si="5"/>
        <v>II</v>
      </c>
      <c r="J45" s="121" t="s">
        <v>79</v>
      </c>
      <c r="K45" s="118">
        <v>1</v>
      </c>
      <c r="L45" s="201"/>
      <c r="M45" s="202"/>
    </row>
    <row r="46" spans="1:13" x14ac:dyDescent="0.2">
      <c r="A46" s="116" t="s">
        <v>67</v>
      </c>
      <c r="B46" s="116" t="s">
        <v>176</v>
      </c>
      <c r="C46" s="117" t="s">
        <v>66</v>
      </c>
      <c r="D46" s="118"/>
      <c r="E46" s="118"/>
      <c r="F46" s="118">
        <v>0</v>
      </c>
      <c r="G46" s="118" t="s">
        <v>79</v>
      </c>
      <c r="H46" s="119">
        <v>52</v>
      </c>
      <c r="I46" s="120" t="str">
        <f t="shared" si="5"/>
        <v>III</v>
      </c>
      <c r="J46" s="121" t="s">
        <v>79</v>
      </c>
      <c r="K46" s="118">
        <v>1</v>
      </c>
      <c r="L46" s="201"/>
      <c r="M46" s="202"/>
    </row>
    <row r="47" spans="1:13" x14ac:dyDescent="0.2">
      <c r="A47" s="116" t="s">
        <v>61</v>
      </c>
      <c r="B47" s="116" t="s">
        <v>176</v>
      </c>
      <c r="C47" s="117" t="s">
        <v>60</v>
      </c>
      <c r="D47" s="118"/>
      <c r="E47" s="118"/>
      <c r="F47" s="118">
        <v>0</v>
      </c>
      <c r="G47" s="118" t="s">
        <v>79</v>
      </c>
      <c r="H47" s="119">
        <v>9</v>
      </c>
      <c r="I47" s="120" t="str">
        <f t="shared" si="5"/>
        <v>III</v>
      </c>
      <c r="J47" s="121" t="s">
        <v>79</v>
      </c>
      <c r="K47" s="118">
        <v>1</v>
      </c>
      <c r="L47" s="201"/>
      <c r="M47" s="202"/>
    </row>
    <row r="48" spans="1:13" x14ac:dyDescent="0.2">
      <c r="A48" s="12" t="s">
        <v>179</v>
      </c>
      <c r="B48" s="12"/>
      <c r="C48" s="12"/>
      <c r="D48" s="122">
        <f>SUM(D43:D47)</f>
        <v>3</v>
      </c>
      <c r="E48" s="122">
        <f t="shared" ref="E48:F48" si="6">SUM(E43:E47)</f>
        <v>0</v>
      </c>
      <c r="F48" s="122">
        <f t="shared" si="6"/>
        <v>3</v>
      </c>
      <c r="G48" s="122"/>
      <c r="H48" s="80">
        <f>SUM(H43:H47)</f>
        <v>577</v>
      </c>
      <c r="I48" s="80"/>
      <c r="J48" s="80"/>
      <c r="K48" s="80">
        <f t="shared" ref="K48:M48" si="7">SUM(K43:K47)</f>
        <v>6</v>
      </c>
      <c r="L48" s="107"/>
      <c r="M48" s="80">
        <f t="shared" si="7"/>
        <v>2700000</v>
      </c>
    </row>
    <row r="49" spans="2:5" x14ac:dyDescent="0.2">
      <c r="B49" s="39"/>
      <c r="C49" s="39"/>
      <c r="D49" s="39"/>
      <c r="E49" s="39"/>
    </row>
    <row r="50" spans="2:5" x14ac:dyDescent="0.2">
      <c r="B50" s="39"/>
      <c r="C50" s="39"/>
      <c r="D50" s="39"/>
      <c r="E50" s="39"/>
    </row>
    <row r="51" spans="2:5" x14ac:dyDescent="0.2">
      <c r="B51" s="39"/>
      <c r="C51" s="39"/>
      <c r="D51" s="39"/>
      <c r="E51" s="39"/>
    </row>
  </sheetData>
  <mergeCells count="17">
    <mergeCell ref="D6:G6"/>
    <mergeCell ref="L8:L9"/>
    <mergeCell ref="M8:M9"/>
    <mergeCell ref="L10:L15"/>
    <mergeCell ref="M10:M15"/>
    <mergeCell ref="L16:L23"/>
    <mergeCell ref="M16:M23"/>
    <mergeCell ref="D27:G27"/>
    <mergeCell ref="L29:L30"/>
    <mergeCell ref="M29:M30"/>
    <mergeCell ref="D41:G41"/>
    <mergeCell ref="L44:L47"/>
    <mergeCell ref="M44:M47"/>
    <mergeCell ref="L31:L34"/>
    <mergeCell ref="M31:M34"/>
    <mergeCell ref="L35:L37"/>
    <mergeCell ref="M35:M37"/>
  </mergeCells>
  <pageMargins left="0.11811023622047245" right="0.11811023622047245" top="0.35433070866141736" bottom="0.15748031496062992" header="0.31496062992125984" footer="0.31496062992125984"/>
  <pageSetup paperSize="14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Detalle FI 2016</vt:lpstr>
      <vt:lpstr>DATOS Indicadores (DESEMPEÑO)</vt:lpstr>
      <vt:lpstr>Categoria 2016</vt:lpstr>
      <vt:lpstr>'DATOS Indicadores (DESEMPEÑO)'!Títulos_a_imprimir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Roxana Acuña Molina</cp:lastModifiedBy>
  <cp:lastPrinted>2016-09-12T14:00:52Z</cp:lastPrinted>
  <dcterms:created xsi:type="dcterms:W3CDTF">2016-06-02T13:51:15Z</dcterms:created>
  <dcterms:modified xsi:type="dcterms:W3CDTF">2016-12-29T20:38:36Z</dcterms:modified>
</cp:coreProperties>
</file>