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UDAC 2008\CD Basal\AIUE_BD_FI (2019)\AIUE 2019\"/>
    </mc:Choice>
  </mc:AlternateContent>
  <xr:revisionPtr revIDLastSave="0" documentId="13_ncr:1_{214404F5-40C7-4979-A047-9E4230CBCD03}" xr6:coauthVersionLast="44" xr6:coauthVersionMax="44" xr10:uidLastSave="{00000000-0000-0000-0000-000000000000}"/>
  <bookViews>
    <workbookView xWindow="-24120" yWindow="-2175" windowWidth="24240" windowHeight="13140" tabRatio="839" xr2:uid="{00000000-000D-0000-FFFF-FFFF00000000}"/>
  </bookViews>
  <sheets>
    <sheet name="Montos AIUE 2019" sheetId="4" r:id="rId1"/>
    <sheet name="Montos AIUE 2019 Anticipo" sheetId="11" r:id="rId2"/>
    <sheet name="Categorías" sheetId="1" r:id="rId3"/>
    <sheet name="Valores" sheetId="2" r:id="rId4"/>
    <sheet name="Indicadores" sheetId="3" r:id="rId5"/>
    <sheet name="Publicaciones" sheetId="5" r:id="rId6"/>
    <sheet name="Acreditación" sheetId="6" r:id="rId7"/>
    <sheet name="Doctorado JC " sheetId="7" r:id="rId8"/>
    <sheet name="Programas Doct. Acreditados " sheetId="8" r:id="rId9"/>
    <sheet name="Académicos JC " sheetId="9" r:id="rId10"/>
    <sheet name="Matrícula Regular Pre " sheetId="1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9" hidden="1">'Académicos JC '!$A$2:$C$20</definedName>
    <definedName name="_xlnm._FilterDatabase" localSheetId="2" hidden="1">Categorías!$A$4:$AB$23</definedName>
    <definedName name="_xlnm._FilterDatabase" localSheetId="7" hidden="1">'Doctorado JC '!$A$2:$C$20</definedName>
    <definedName name="_xlnm._FilterDatabase" localSheetId="4" hidden="1">Indicadores!$A$1:$AI$20</definedName>
    <definedName name="_xlnm._FilterDatabase" localSheetId="0" hidden="1">'Montos AIUE 2019'!$A$4:$O$30</definedName>
    <definedName name="_xlnm._FilterDatabase" localSheetId="1" hidden="1">'Montos AIUE 2019 Anticipo'!$A$3:$D$25</definedName>
    <definedName name="_xlnm._FilterDatabase" localSheetId="3" hidden="1">Valores!$A$1:$Y$26</definedName>
    <definedName name="_xlnm.Print_Area" localSheetId="1">'Montos AIUE 2019 Anticipo'!$A$1:$L$31</definedName>
    <definedName name="_xlnm.Print_Titles" localSheetId="0">'Montos AIUE 2019'!$B:$B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5" i="4" l="1"/>
  <c r="X29" i="4"/>
  <c r="Y22" i="4" s="1"/>
  <c r="Y29" i="4" s="1"/>
  <c r="D34" i="4" l="1"/>
  <c r="B37" i="4" s="1"/>
  <c r="B30" i="11" l="1"/>
  <c r="B31" i="11" s="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6" i="11"/>
  <c r="I24" i="11" l="1"/>
  <c r="E4" i="2"/>
  <c r="C4" i="9" l="1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3" i="9"/>
  <c r="C4" i="7" l="1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3" i="7"/>
  <c r="A22" i="3" l="1"/>
  <c r="B22" i="3"/>
  <c r="C22" i="3"/>
  <c r="A21" i="3"/>
  <c r="B21" i="3"/>
  <c r="C21" i="3"/>
  <c r="I20" i="2" l="1"/>
  <c r="J20" i="2"/>
  <c r="K20" i="2"/>
  <c r="L20" i="2"/>
  <c r="M20" i="2"/>
  <c r="N20" i="2"/>
  <c r="O20" i="2"/>
  <c r="P20" i="2"/>
  <c r="M21" i="3" s="1"/>
  <c r="Q20" i="2"/>
  <c r="R20" i="2"/>
  <c r="S20" i="2"/>
  <c r="T20" i="2"/>
  <c r="W20" i="2"/>
  <c r="O21" i="3" s="1"/>
  <c r="Z21" i="3" s="1" a="1"/>
  <c r="Z21" i="3" s="1"/>
  <c r="X20" i="2"/>
  <c r="I21" i="2"/>
  <c r="J21" i="2"/>
  <c r="K21" i="2"/>
  <c r="L21" i="2"/>
  <c r="M21" i="2"/>
  <c r="N21" i="2"/>
  <c r="L22" i="3" s="1"/>
  <c r="O21" i="2"/>
  <c r="P21" i="2"/>
  <c r="Q21" i="2"/>
  <c r="R21" i="2"/>
  <c r="N22" i="3" s="1"/>
  <c r="S21" i="2"/>
  <c r="T21" i="2"/>
  <c r="W21" i="2"/>
  <c r="O22" i="3" s="1"/>
  <c r="Z22" i="3" s="1" a="1"/>
  <c r="Z22" i="3" s="1"/>
  <c r="X21" i="2"/>
  <c r="H20" i="2"/>
  <c r="H21" i="2"/>
  <c r="G20" i="2"/>
  <c r="G21" i="2"/>
  <c r="U22" i="2"/>
  <c r="V22" i="2"/>
  <c r="Y22" i="2"/>
  <c r="F20" i="2"/>
  <c r="F21" i="2"/>
  <c r="E20" i="2"/>
  <c r="E21" i="2"/>
  <c r="C20" i="2"/>
  <c r="C21" i="2"/>
  <c r="B20" i="2"/>
  <c r="B21" i="2"/>
  <c r="A20" i="2"/>
  <c r="A21" i="2"/>
  <c r="Z21" i="1"/>
  <c r="Z22" i="1"/>
  <c r="I23" i="1"/>
  <c r="J23" i="1"/>
  <c r="L23" i="1"/>
  <c r="D23" i="1"/>
  <c r="F21" i="1"/>
  <c r="G21" i="1"/>
  <c r="H21" i="1"/>
  <c r="K21" i="1"/>
  <c r="N21" i="1"/>
  <c r="O21" i="1"/>
  <c r="P21" i="1"/>
  <c r="Q21" i="1"/>
  <c r="R21" i="1"/>
  <c r="S21" i="1"/>
  <c r="T21" i="1"/>
  <c r="U21" i="1"/>
  <c r="F22" i="1"/>
  <c r="G22" i="1"/>
  <c r="H22" i="1"/>
  <c r="K22" i="1"/>
  <c r="N22" i="1"/>
  <c r="O22" i="1"/>
  <c r="P22" i="1"/>
  <c r="Q22" i="1"/>
  <c r="R22" i="1"/>
  <c r="S22" i="1"/>
  <c r="T22" i="1"/>
  <c r="U22" i="1"/>
  <c r="E21" i="1"/>
  <c r="E22" i="1"/>
  <c r="L21" i="3" l="1"/>
  <c r="M22" i="3"/>
  <c r="N21" i="3"/>
  <c r="X22" i="1"/>
  <c r="M21" i="1"/>
  <c r="H22" i="3"/>
  <c r="G22" i="3"/>
  <c r="P22" i="3"/>
  <c r="AA22" i="3" s="1" a="1"/>
  <c r="AA22" i="3" s="1"/>
  <c r="V22" i="1"/>
  <c r="M22" i="1"/>
  <c r="V21" i="1"/>
  <c r="W21" i="1" s="1"/>
  <c r="F22" i="3"/>
  <c r="X21" i="1"/>
  <c r="F21" i="3"/>
  <c r="G21" i="3"/>
  <c r="H21" i="3"/>
  <c r="P21" i="3"/>
  <c r="AA21" i="3" s="1" a="1"/>
  <c r="AA21" i="3" s="1"/>
  <c r="K22" i="3"/>
  <c r="J22" i="3"/>
  <c r="I22" i="3"/>
  <c r="K21" i="3"/>
  <c r="I21" i="3"/>
  <c r="J21" i="3"/>
  <c r="Y22" i="1"/>
  <c r="AA22" i="1" s="1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D9" i="8"/>
  <c r="C9" i="8"/>
  <c r="D8" i="8"/>
  <c r="C8" i="8"/>
  <c r="D7" i="8"/>
  <c r="C7" i="8"/>
  <c r="D6" i="8"/>
  <c r="C6" i="8"/>
  <c r="D5" i="8"/>
  <c r="C5" i="8"/>
  <c r="D4" i="8"/>
  <c r="C4" i="8"/>
  <c r="D3" i="8"/>
  <c r="C3" i="8"/>
  <c r="E20" i="6"/>
  <c r="H20" i="6" s="1"/>
  <c r="D20" i="6"/>
  <c r="G20" i="6" s="1"/>
  <c r="C20" i="6"/>
  <c r="F20" i="6" s="1"/>
  <c r="E19" i="6"/>
  <c r="H19" i="6" s="1"/>
  <c r="D19" i="6"/>
  <c r="G19" i="6" s="1"/>
  <c r="C19" i="6"/>
  <c r="F19" i="6" s="1"/>
  <c r="E18" i="6"/>
  <c r="H18" i="6" s="1"/>
  <c r="D18" i="6"/>
  <c r="G18" i="6" s="1"/>
  <c r="C18" i="6"/>
  <c r="F18" i="6" s="1"/>
  <c r="E17" i="6"/>
  <c r="H17" i="6" s="1"/>
  <c r="D17" i="6"/>
  <c r="G17" i="6" s="1"/>
  <c r="C17" i="6"/>
  <c r="F17" i="6" s="1"/>
  <c r="E16" i="6"/>
  <c r="H16" i="6" s="1"/>
  <c r="D16" i="6"/>
  <c r="G16" i="6" s="1"/>
  <c r="C16" i="6"/>
  <c r="F16" i="6" s="1"/>
  <c r="E15" i="6"/>
  <c r="H15" i="6" s="1"/>
  <c r="D15" i="6"/>
  <c r="G15" i="6" s="1"/>
  <c r="C15" i="6"/>
  <c r="F15" i="6" s="1"/>
  <c r="E14" i="6"/>
  <c r="H14" i="6" s="1"/>
  <c r="D14" i="6"/>
  <c r="G14" i="6" s="1"/>
  <c r="C14" i="6"/>
  <c r="F14" i="6" s="1"/>
  <c r="E13" i="6"/>
  <c r="H13" i="6" s="1"/>
  <c r="D13" i="6"/>
  <c r="G13" i="6" s="1"/>
  <c r="C13" i="6"/>
  <c r="F13" i="6" s="1"/>
  <c r="E12" i="6"/>
  <c r="H12" i="6" s="1"/>
  <c r="D12" i="6"/>
  <c r="G12" i="6" s="1"/>
  <c r="C12" i="6"/>
  <c r="F12" i="6" s="1"/>
  <c r="E11" i="6"/>
  <c r="H11" i="6" s="1"/>
  <c r="D11" i="6"/>
  <c r="G11" i="6" s="1"/>
  <c r="C11" i="6"/>
  <c r="F11" i="6" s="1"/>
  <c r="E10" i="6"/>
  <c r="H10" i="6" s="1"/>
  <c r="D10" i="6"/>
  <c r="G10" i="6" s="1"/>
  <c r="C10" i="6"/>
  <c r="F10" i="6" s="1"/>
  <c r="E9" i="6"/>
  <c r="H9" i="6" s="1"/>
  <c r="D9" i="6"/>
  <c r="G9" i="6" s="1"/>
  <c r="C9" i="6"/>
  <c r="F9" i="6" s="1"/>
  <c r="E8" i="6"/>
  <c r="H8" i="6" s="1"/>
  <c r="D8" i="6"/>
  <c r="G8" i="6" s="1"/>
  <c r="C8" i="6"/>
  <c r="F8" i="6" s="1"/>
  <c r="E7" i="6"/>
  <c r="H7" i="6" s="1"/>
  <c r="D7" i="6"/>
  <c r="G7" i="6" s="1"/>
  <c r="C7" i="6"/>
  <c r="F7" i="6" s="1"/>
  <c r="E6" i="6"/>
  <c r="H6" i="6" s="1"/>
  <c r="D6" i="6"/>
  <c r="G6" i="6" s="1"/>
  <c r="C6" i="6"/>
  <c r="F6" i="6" s="1"/>
  <c r="E5" i="6"/>
  <c r="H5" i="6" s="1"/>
  <c r="D5" i="6"/>
  <c r="G5" i="6" s="1"/>
  <c r="C5" i="6"/>
  <c r="F5" i="6" s="1"/>
  <c r="E4" i="6"/>
  <c r="H4" i="6" s="1"/>
  <c r="D4" i="6"/>
  <c r="G4" i="6" s="1"/>
  <c r="C4" i="6"/>
  <c r="F4" i="6" s="1"/>
  <c r="E3" i="6"/>
  <c r="D3" i="6"/>
  <c r="G3" i="6" s="1"/>
  <c r="C3" i="6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19" i="2"/>
  <c r="C20" i="3" s="1"/>
  <c r="C21" i="11" s="1"/>
  <c r="B19" i="2"/>
  <c r="E19" i="2" s="1"/>
  <c r="A19" i="2"/>
  <c r="A20" i="3" s="1"/>
  <c r="A26" i="4" s="1"/>
  <c r="C18" i="2"/>
  <c r="C19" i="3" s="1"/>
  <c r="C20" i="11" s="1"/>
  <c r="B18" i="2"/>
  <c r="E18" i="2" s="1"/>
  <c r="A18" i="2"/>
  <c r="A19" i="3" s="1"/>
  <c r="A20" i="11" s="1"/>
  <c r="C17" i="2"/>
  <c r="C18" i="3" s="1"/>
  <c r="C19" i="11" s="1"/>
  <c r="B17" i="2"/>
  <c r="E17" i="2" s="1"/>
  <c r="A17" i="2"/>
  <c r="A18" i="3" s="1"/>
  <c r="A19" i="11" s="1"/>
  <c r="C16" i="2"/>
  <c r="C17" i="3" s="1"/>
  <c r="C18" i="11" s="1"/>
  <c r="B16" i="2"/>
  <c r="X16" i="2" s="1"/>
  <c r="A16" i="2"/>
  <c r="A17" i="3" s="1"/>
  <c r="A18" i="11" s="1"/>
  <c r="C15" i="2"/>
  <c r="C16" i="3" s="1"/>
  <c r="C17" i="11" s="1"/>
  <c r="B15" i="2"/>
  <c r="R15" i="2" s="1"/>
  <c r="A15" i="2"/>
  <c r="A16" i="3" s="1"/>
  <c r="A17" i="11" s="1"/>
  <c r="C14" i="2"/>
  <c r="C15" i="3" s="1"/>
  <c r="C21" i="4" s="1"/>
  <c r="B14" i="2"/>
  <c r="Q14" i="2" s="1"/>
  <c r="A14" i="2"/>
  <c r="A15" i="3" s="1"/>
  <c r="A16" i="11" s="1"/>
  <c r="C13" i="2"/>
  <c r="C14" i="3" s="1"/>
  <c r="C15" i="11" s="1"/>
  <c r="B13" i="2"/>
  <c r="E13" i="2" s="1"/>
  <c r="A13" i="2"/>
  <c r="A14" i="3" s="1"/>
  <c r="A20" i="4" s="1"/>
  <c r="C12" i="2"/>
  <c r="C13" i="3" s="1"/>
  <c r="C19" i="4" s="1"/>
  <c r="B12" i="2"/>
  <c r="X12" i="2" s="1"/>
  <c r="A12" i="2"/>
  <c r="A13" i="3" s="1"/>
  <c r="A19" i="4" s="1"/>
  <c r="C11" i="2"/>
  <c r="C12" i="3" s="1"/>
  <c r="C13" i="11" s="1"/>
  <c r="B11" i="2"/>
  <c r="P11" i="2" s="1"/>
  <c r="A11" i="2"/>
  <c r="A12" i="3" s="1"/>
  <c r="A18" i="4" s="1"/>
  <c r="C10" i="2"/>
  <c r="C11" i="3" s="1"/>
  <c r="C12" i="11" s="1"/>
  <c r="B10" i="2"/>
  <c r="Q10" i="2" s="1"/>
  <c r="A10" i="2"/>
  <c r="A11" i="3" s="1"/>
  <c r="A12" i="11" s="1"/>
  <c r="C9" i="2"/>
  <c r="C10" i="3" s="1"/>
  <c r="C16" i="4" s="1"/>
  <c r="B9" i="2"/>
  <c r="E9" i="2" s="1"/>
  <c r="A9" i="2"/>
  <c r="A10" i="3" s="1"/>
  <c r="A16" i="4" s="1"/>
  <c r="C8" i="2"/>
  <c r="C9" i="3" s="1"/>
  <c r="C10" i="11" s="1"/>
  <c r="B8" i="2"/>
  <c r="W8" i="2" s="1"/>
  <c r="A8" i="2"/>
  <c r="A9" i="3" s="1"/>
  <c r="A10" i="11" s="1"/>
  <c r="C7" i="2"/>
  <c r="C8" i="3" s="1"/>
  <c r="C9" i="11" s="1"/>
  <c r="B7" i="2"/>
  <c r="X7" i="2" s="1"/>
  <c r="A7" i="2"/>
  <c r="A8" i="3" s="1"/>
  <c r="A9" i="11" s="1"/>
  <c r="C6" i="2"/>
  <c r="C7" i="3" s="1"/>
  <c r="C13" i="4" s="1"/>
  <c r="B6" i="2"/>
  <c r="W6" i="2" s="1"/>
  <c r="A6" i="2"/>
  <c r="A7" i="3" s="1"/>
  <c r="A8" i="11" s="1"/>
  <c r="C5" i="2"/>
  <c r="C6" i="3" s="1"/>
  <c r="C12" i="4" s="1"/>
  <c r="B5" i="2"/>
  <c r="X5" i="2" s="1"/>
  <c r="A5" i="2"/>
  <c r="A6" i="3" s="1"/>
  <c r="A7" i="11" s="1"/>
  <c r="C4" i="2"/>
  <c r="C5" i="3" s="1"/>
  <c r="C6" i="11" s="1"/>
  <c r="B4" i="2"/>
  <c r="Q4" i="2" s="1"/>
  <c r="A4" i="2"/>
  <c r="A5" i="3" s="1"/>
  <c r="A6" i="11" s="1"/>
  <c r="Z20" i="1"/>
  <c r="U20" i="1"/>
  <c r="T20" i="1"/>
  <c r="S20" i="1"/>
  <c r="R20" i="1"/>
  <c r="Q20" i="1"/>
  <c r="P20" i="1"/>
  <c r="O20" i="1"/>
  <c r="N20" i="1"/>
  <c r="K20" i="1"/>
  <c r="H20" i="1"/>
  <c r="G20" i="1"/>
  <c r="F20" i="1"/>
  <c r="E20" i="1"/>
  <c r="Z19" i="1"/>
  <c r="U19" i="1"/>
  <c r="T19" i="1"/>
  <c r="S19" i="1"/>
  <c r="R19" i="1"/>
  <c r="Q19" i="1"/>
  <c r="P19" i="1"/>
  <c r="O19" i="1"/>
  <c r="N19" i="1"/>
  <c r="K19" i="1"/>
  <c r="H19" i="1"/>
  <c r="G19" i="1"/>
  <c r="F19" i="1"/>
  <c r="E19" i="1"/>
  <c r="Z18" i="1"/>
  <c r="U18" i="1"/>
  <c r="T18" i="1"/>
  <c r="S18" i="1"/>
  <c r="R18" i="1"/>
  <c r="Q18" i="1"/>
  <c r="P18" i="1"/>
  <c r="O18" i="1"/>
  <c r="N18" i="1"/>
  <c r="K18" i="1"/>
  <c r="H18" i="1"/>
  <c r="G18" i="1"/>
  <c r="F18" i="1"/>
  <c r="E18" i="1"/>
  <c r="Z17" i="1"/>
  <c r="U17" i="1"/>
  <c r="T17" i="1"/>
  <c r="S17" i="1"/>
  <c r="R17" i="1"/>
  <c r="Q17" i="1"/>
  <c r="P17" i="1"/>
  <c r="O17" i="1"/>
  <c r="N17" i="1"/>
  <c r="K17" i="1"/>
  <c r="H17" i="1"/>
  <c r="G17" i="1"/>
  <c r="F17" i="1"/>
  <c r="E17" i="1"/>
  <c r="Z16" i="1"/>
  <c r="U16" i="1"/>
  <c r="T16" i="1"/>
  <c r="S16" i="1"/>
  <c r="R16" i="1"/>
  <c r="Q16" i="1"/>
  <c r="P16" i="1"/>
  <c r="O16" i="1"/>
  <c r="N16" i="1"/>
  <c r="K16" i="1"/>
  <c r="H16" i="1"/>
  <c r="G16" i="1"/>
  <c r="F16" i="1"/>
  <c r="E16" i="1"/>
  <c r="Z15" i="1"/>
  <c r="U15" i="1"/>
  <c r="T15" i="1"/>
  <c r="S15" i="1"/>
  <c r="R15" i="1"/>
  <c r="Q15" i="1"/>
  <c r="P15" i="1"/>
  <c r="O15" i="1"/>
  <c r="N15" i="1"/>
  <c r="K15" i="1"/>
  <c r="H15" i="1"/>
  <c r="G15" i="1"/>
  <c r="F15" i="1"/>
  <c r="E15" i="1"/>
  <c r="Z14" i="1"/>
  <c r="U14" i="1"/>
  <c r="T14" i="1"/>
  <c r="S14" i="1"/>
  <c r="R14" i="1"/>
  <c r="Q14" i="1"/>
  <c r="P14" i="1"/>
  <c r="O14" i="1"/>
  <c r="N14" i="1"/>
  <c r="K14" i="1"/>
  <c r="H14" i="1"/>
  <c r="G14" i="1"/>
  <c r="F14" i="1"/>
  <c r="E14" i="1"/>
  <c r="Z13" i="1"/>
  <c r="U13" i="1"/>
  <c r="T13" i="1"/>
  <c r="S13" i="1"/>
  <c r="R13" i="1"/>
  <c r="Q13" i="1"/>
  <c r="P13" i="1"/>
  <c r="O13" i="1"/>
  <c r="N13" i="1"/>
  <c r="K13" i="1"/>
  <c r="H13" i="1"/>
  <c r="G13" i="1"/>
  <c r="F13" i="1"/>
  <c r="E13" i="1"/>
  <c r="Z12" i="1"/>
  <c r="U12" i="1"/>
  <c r="T12" i="1"/>
  <c r="S12" i="1"/>
  <c r="R12" i="1"/>
  <c r="Q12" i="1"/>
  <c r="P12" i="1"/>
  <c r="O12" i="1"/>
  <c r="N12" i="1"/>
  <c r="K12" i="1"/>
  <c r="H12" i="1"/>
  <c r="G12" i="1"/>
  <c r="F12" i="1"/>
  <c r="E12" i="1"/>
  <c r="Z11" i="1"/>
  <c r="U11" i="1"/>
  <c r="T11" i="1"/>
  <c r="S11" i="1"/>
  <c r="R11" i="1"/>
  <c r="Q11" i="1"/>
  <c r="P11" i="1"/>
  <c r="O11" i="1"/>
  <c r="N11" i="1"/>
  <c r="K11" i="1"/>
  <c r="H11" i="1"/>
  <c r="G11" i="1"/>
  <c r="F11" i="1"/>
  <c r="E11" i="1"/>
  <c r="Z10" i="1"/>
  <c r="U10" i="1"/>
  <c r="T10" i="1"/>
  <c r="S10" i="1"/>
  <c r="R10" i="1"/>
  <c r="Q10" i="1"/>
  <c r="P10" i="1"/>
  <c r="O10" i="1"/>
  <c r="N10" i="1"/>
  <c r="K10" i="1"/>
  <c r="H10" i="1"/>
  <c r="G10" i="1"/>
  <c r="F10" i="1"/>
  <c r="E10" i="1"/>
  <c r="Z9" i="1"/>
  <c r="U9" i="1"/>
  <c r="T9" i="1"/>
  <c r="S9" i="1"/>
  <c r="R9" i="1"/>
  <c r="Q9" i="1"/>
  <c r="P9" i="1"/>
  <c r="O9" i="1"/>
  <c r="N9" i="1"/>
  <c r="K9" i="1"/>
  <c r="H9" i="1"/>
  <c r="G9" i="1"/>
  <c r="F9" i="1"/>
  <c r="E9" i="1"/>
  <c r="Z8" i="1"/>
  <c r="U8" i="1"/>
  <c r="T8" i="1"/>
  <c r="S8" i="1"/>
  <c r="R8" i="1"/>
  <c r="Q8" i="1"/>
  <c r="P8" i="1"/>
  <c r="O8" i="1"/>
  <c r="N8" i="1"/>
  <c r="K8" i="1"/>
  <c r="H8" i="1"/>
  <c r="G8" i="1"/>
  <c r="F8" i="1"/>
  <c r="E8" i="1"/>
  <c r="Z7" i="1"/>
  <c r="U7" i="1"/>
  <c r="T7" i="1"/>
  <c r="S7" i="1"/>
  <c r="R7" i="1"/>
  <c r="Q7" i="1"/>
  <c r="P7" i="1"/>
  <c r="O7" i="1"/>
  <c r="N7" i="1"/>
  <c r="K7" i="1"/>
  <c r="H7" i="1"/>
  <c r="G7" i="1"/>
  <c r="F7" i="1"/>
  <c r="E7" i="1"/>
  <c r="Z6" i="1"/>
  <c r="U6" i="1"/>
  <c r="T6" i="1"/>
  <c r="S6" i="1"/>
  <c r="R6" i="1"/>
  <c r="Q6" i="1"/>
  <c r="P6" i="1"/>
  <c r="O6" i="1"/>
  <c r="N6" i="1"/>
  <c r="K6" i="1"/>
  <c r="H6" i="1"/>
  <c r="G6" i="1"/>
  <c r="F6" i="1"/>
  <c r="E6" i="1"/>
  <c r="Z5" i="1"/>
  <c r="U5" i="1"/>
  <c r="T5" i="1"/>
  <c r="S5" i="1"/>
  <c r="R5" i="1"/>
  <c r="Q5" i="1"/>
  <c r="P5" i="1"/>
  <c r="O5" i="1"/>
  <c r="N5" i="1"/>
  <c r="K5" i="1"/>
  <c r="H5" i="1"/>
  <c r="G5" i="1"/>
  <c r="F5" i="1"/>
  <c r="E5" i="1"/>
  <c r="Q29" i="4"/>
  <c r="H29" i="4"/>
  <c r="G34" i="4" s="1"/>
  <c r="G29" i="4"/>
  <c r="F34" i="4" s="1"/>
  <c r="E29" i="4"/>
  <c r="AB28" i="4"/>
  <c r="R28" i="4"/>
  <c r="S28" i="4" s="1"/>
  <c r="F28" i="4"/>
  <c r="AB27" i="4"/>
  <c r="R27" i="4"/>
  <c r="S27" i="4" s="1"/>
  <c r="F27" i="4"/>
  <c r="F26" i="4"/>
  <c r="F25" i="4"/>
  <c r="F24" i="4"/>
  <c r="F23" i="4"/>
  <c r="F22" i="4"/>
  <c r="A22" i="4"/>
  <c r="F21" i="4"/>
  <c r="F20" i="4"/>
  <c r="F19" i="4"/>
  <c r="F18" i="4"/>
  <c r="F17" i="4"/>
  <c r="F16" i="4"/>
  <c r="F15" i="4"/>
  <c r="F14" i="4"/>
  <c r="F13" i="4"/>
  <c r="F12" i="4"/>
  <c r="F11" i="4"/>
  <c r="B24" i="6" l="1"/>
  <c r="H23" i="1"/>
  <c r="P23" i="1"/>
  <c r="T23" i="1"/>
  <c r="W22" i="1"/>
  <c r="G23" i="1"/>
  <c r="O23" i="1"/>
  <c r="S23" i="1"/>
  <c r="D21" i="2"/>
  <c r="D22" i="3" s="1"/>
  <c r="E22" i="3" s="1"/>
  <c r="AB22" i="1"/>
  <c r="E23" i="1"/>
  <c r="K23" i="1"/>
  <c r="Q23" i="1"/>
  <c r="U23" i="1"/>
  <c r="F23" i="1"/>
  <c r="N23" i="1"/>
  <c r="R23" i="1"/>
  <c r="Y21" i="1"/>
  <c r="AA21" i="1" s="1"/>
  <c r="Z23" i="1"/>
  <c r="H9" i="2"/>
  <c r="J9" i="2"/>
  <c r="K11" i="2"/>
  <c r="W9" i="2"/>
  <c r="O10" i="3" s="1"/>
  <c r="Z10" i="3" s="1" a="1"/>
  <c r="Z10" i="3" s="1"/>
  <c r="B24" i="10"/>
  <c r="B24" i="8"/>
  <c r="B24" i="9"/>
  <c r="B24" i="7"/>
  <c r="R9" i="2"/>
  <c r="G11" i="2"/>
  <c r="M18" i="2"/>
  <c r="E5" i="8"/>
  <c r="O14" i="2"/>
  <c r="E9" i="8"/>
  <c r="C21" i="6"/>
  <c r="I7" i="6"/>
  <c r="E8" i="8"/>
  <c r="E12" i="8"/>
  <c r="E16" i="8"/>
  <c r="E20" i="8"/>
  <c r="F29" i="4"/>
  <c r="E34" i="4" s="1"/>
  <c r="C14" i="11"/>
  <c r="C23" i="4"/>
  <c r="A13" i="11"/>
  <c r="A13" i="4"/>
  <c r="A17" i="4"/>
  <c r="C20" i="4"/>
  <c r="M13" i="2"/>
  <c r="P13" i="2"/>
  <c r="R11" i="2"/>
  <c r="F13" i="2"/>
  <c r="W13" i="2"/>
  <c r="J17" i="2"/>
  <c r="Q8" i="2"/>
  <c r="A25" i="4"/>
  <c r="A14" i="11"/>
  <c r="S8" i="2"/>
  <c r="I6" i="2"/>
  <c r="F8" i="2"/>
  <c r="M4" i="2"/>
  <c r="O6" i="2"/>
  <c r="I8" i="2"/>
  <c r="P9" i="2"/>
  <c r="X11" i="2"/>
  <c r="H13" i="2"/>
  <c r="X13" i="2"/>
  <c r="I14" i="2"/>
  <c r="W17" i="2"/>
  <c r="O18" i="3" s="1"/>
  <c r="Z18" i="3" s="1" a="1"/>
  <c r="Z18" i="3" s="1"/>
  <c r="I18" i="2"/>
  <c r="C7" i="11"/>
  <c r="T10" i="2"/>
  <c r="M17" i="2"/>
  <c r="P10" i="2"/>
  <c r="M11" i="3" s="1"/>
  <c r="W4" i="2"/>
  <c r="T6" i="2"/>
  <c r="O7" i="3" s="1"/>
  <c r="I10" i="2"/>
  <c r="J13" i="2"/>
  <c r="Q13" i="2"/>
  <c r="O15" i="2"/>
  <c r="I16" i="2"/>
  <c r="P17" i="2"/>
  <c r="Q18" i="2"/>
  <c r="C16" i="11"/>
  <c r="A21" i="11"/>
  <c r="C15" i="4"/>
  <c r="A24" i="4"/>
  <c r="I4" i="2"/>
  <c r="N8" i="2"/>
  <c r="M9" i="2"/>
  <c r="L10" i="2"/>
  <c r="O11" i="2"/>
  <c r="L13" i="2"/>
  <c r="R13" i="2"/>
  <c r="N16" i="2"/>
  <c r="H17" i="2"/>
  <c r="R17" i="2"/>
  <c r="W18" i="2"/>
  <c r="H19" i="2"/>
  <c r="A11" i="4"/>
  <c r="C11" i="11"/>
  <c r="L5" i="2"/>
  <c r="W5" i="2"/>
  <c r="G6" i="2"/>
  <c r="Q6" i="2"/>
  <c r="O7" i="2"/>
  <c r="K8" i="2"/>
  <c r="X8" i="2"/>
  <c r="F9" i="2"/>
  <c r="L9" i="2"/>
  <c r="K10" i="3" s="1"/>
  <c r="Q9" i="2"/>
  <c r="X9" i="2"/>
  <c r="G10" i="2"/>
  <c r="O10" i="2"/>
  <c r="W10" i="2"/>
  <c r="F11" i="2"/>
  <c r="L11" i="2"/>
  <c r="T11" i="2"/>
  <c r="K12" i="2"/>
  <c r="S12" i="2"/>
  <c r="I13" i="2"/>
  <c r="N13" i="2"/>
  <c r="T13" i="2"/>
  <c r="T14" i="2"/>
  <c r="J15" i="2"/>
  <c r="S16" i="2"/>
  <c r="F17" i="2"/>
  <c r="F18" i="3" s="1"/>
  <c r="L17" i="2"/>
  <c r="Q17" i="2"/>
  <c r="X17" i="2"/>
  <c r="H18" i="2"/>
  <c r="P18" i="2"/>
  <c r="L19" i="2"/>
  <c r="L7" i="2"/>
  <c r="J12" i="2"/>
  <c r="Q12" i="2"/>
  <c r="F5" i="2"/>
  <c r="N5" i="2"/>
  <c r="G7" i="2"/>
  <c r="R7" i="2"/>
  <c r="F12" i="2"/>
  <c r="N12" i="2"/>
  <c r="W12" i="2"/>
  <c r="P19" i="2"/>
  <c r="J5" i="2"/>
  <c r="R5" i="2"/>
  <c r="C25" i="4"/>
  <c r="H5" i="2"/>
  <c r="P5" i="2"/>
  <c r="L6" i="2"/>
  <c r="J7" i="2"/>
  <c r="T7" i="2"/>
  <c r="I9" i="2"/>
  <c r="N9" i="2"/>
  <c r="T9" i="2"/>
  <c r="K10" i="2"/>
  <c r="J11" i="2"/>
  <c r="I12" i="2"/>
  <c r="O12" i="2"/>
  <c r="T15" i="2"/>
  <c r="I17" i="2"/>
  <c r="N17" i="2"/>
  <c r="T17" i="2"/>
  <c r="L18" i="2"/>
  <c r="T18" i="2"/>
  <c r="T19" i="2"/>
  <c r="C17" i="4"/>
  <c r="A21" i="4"/>
  <c r="A23" i="4"/>
  <c r="C24" i="4"/>
  <c r="C8" i="11"/>
  <c r="A15" i="4"/>
  <c r="C11" i="4"/>
  <c r="A14" i="4"/>
  <c r="F4" i="2"/>
  <c r="J4" i="2"/>
  <c r="N4" i="2"/>
  <c r="R4" i="2"/>
  <c r="X4" i="2"/>
  <c r="I5" i="2"/>
  <c r="M5" i="2"/>
  <c r="Q5" i="2"/>
  <c r="K6" i="2"/>
  <c r="P6" i="2"/>
  <c r="F7" i="2"/>
  <c r="K7" i="2"/>
  <c r="P7" i="2"/>
  <c r="J8" i="2"/>
  <c r="O8" i="2"/>
  <c r="E10" i="2"/>
  <c r="B11" i="3"/>
  <c r="B17" i="4" s="1"/>
  <c r="AB17" i="4" s="1"/>
  <c r="X10" i="2"/>
  <c r="R10" i="2"/>
  <c r="N10" i="2"/>
  <c r="J10" i="2"/>
  <c r="F10" i="2"/>
  <c r="H10" i="2"/>
  <c r="M10" i="2"/>
  <c r="S10" i="2"/>
  <c r="E11" i="2"/>
  <c r="B12" i="3"/>
  <c r="B18" i="4" s="1"/>
  <c r="AB18" i="4" s="1"/>
  <c r="W11" i="2"/>
  <c r="Q11" i="2"/>
  <c r="M12" i="3" s="1"/>
  <c r="M11" i="2"/>
  <c r="I11" i="2"/>
  <c r="H11" i="2"/>
  <c r="N11" i="2"/>
  <c r="S11" i="2"/>
  <c r="E12" i="2"/>
  <c r="B13" i="3"/>
  <c r="B19" i="4" s="1"/>
  <c r="R19" i="4" s="1"/>
  <c r="S19" i="4" s="1"/>
  <c r="T12" i="2"/>
  <c r="P12" i="2"/>
  <c r="L12" i="2"/>
  <c r="H12" i="2"/>
  <c r="G12" i="2"/>
  <c r="M12" i="2"/>
  <c r="R12" i="2"/>
  <c r="K14" i="2"/>
  <c r="P14" i="2"/>
  <c r="W14" i="2"/>
  <c r="O15" i="3" s="1"/>
  <c r="F15" i="2"/>
  <c r="K15" i="2"/>
  <c r="P15" i="2"/>
  <c r="X15" i="2"/>
  <c r="J16" i="2"/>
  <c r="O16" i="2"/>
  <c r="W16" i="2"/>
  <c r="B5" i="3"/>
  <c r="O4" i="2"/>
  <c r="G14" i="2"/>
  <c r="L14" i="2"/>
  <c r="G15" i="2"/>
  <c r="L15" i="2"/>
  <c r="F16" i="2"/>
  <c r="K16" i="2"/>
  <c r="Q16" i="2"/>
  <c r="G4" i="2"/>
  <c r="K4" i="2"/>
  <c r="S4" i="2"/>
  <c r="H4" i="2"/>
  <c r="L4" i="2"/>
  <c r="P4" i="2"/>
  <c r="M5" i="3" s="1"/>
  <c r="T4" i="2"/>
  <c r="E5" i="2"/>
  <c r="B6" i="3"/>
  <c r="B12" i="4" s="1"/>
  <c r="AB12" i="4" s="1"/>
  <c r="S5" i="2"/>
  <c r="G5" i="2"/>
  <c r="K5" i="2"/>
  <c r="O5" i="2"/>
  <c r="T5" i="2"/>
  <c r="E6" i="2"/>
  <c r="B7" i="3"/>
  <c r="B13" i="4" s="1"/>
  <c r="R13" i="4" s="1"/>
  <c r="S13" i="4" s="1"/>
  <c r="X6" i="2"/>
  <c r="R6" i="2"/>
  <c r="N6" i="2"/>
  <c r="J6" i="2"/>
  <c r="F6" i="2"/>
  <c r="H6" i="2"/>
  <c r="M6" i="2"/>
  <c r="S6" i="2"/>
  <c r="E7" i="2"/>
  <c r="B8" i="3"/>
  <c r="B14" i="4" s="1"/>
  <c r="AB14" i="4" s="1"/>
  <c r="W7" i="2"/>
  <c r="O8" i="3" s="1"/>
  <c r="Q7" i="2"/>
  <c r="M7" i="2"/>
  <c r="I7" i="2"/>
  <c r="H7" i="2"/>
  <c r="N7" i="2"/>
  <c r="S7" i="2"/>
  <c r="E8" i="2"/>
  <c r="B9" i="3"/>
  <c r="B15" i="4" s="1"/>
  <c r="R15" i="4" s="1"/>
  <c r="S15" i="4" s="1"/>
  <c r="T8" i="2"/>
  <c r="P8" i="2"/>
  <c r="L8" i="2"/>
  <c r="H8" i="2"/>
  <c r="P9" i="3" s="1"/>
  <c r="G8" i="2"/>
  <c r="M8" i="2"/>
  <c r="R8" i="2"/>
  <c r="E14" i="2"/>
  <c r="B15" i="3"/>
  <c r="B21" i="4" s="1"/>
  <c r="R21" i="4" s="1"/>
  <c r="S21" i="4" s="1"/>
  <c r="X14" i="2"/>
  <c r="R14" i="2"/>
  <c r="N14" i="2"/>
  <c r="J14" i="2"/>
  <c r="F14" i="2"/>
  <c r="H14" i="2"/>
  <c r="M14" i="2"/>
  <c r="S14" i="2"/>
  <c r="E15" i="2"/>
  <c r="B16" i="3"/>
  <c r="B22" i="4" s="1"/>
  <c r="R22" i="4" s="1"/>
  <c r="S22" i="4" s="1"/>
  <c r="W15" i="2"/>
  <c r="O16" i="3" s="1"/>
  <c r="Z16" i="3" s="1" a="1"/>
  <c r="Z16" i="3" s="1"/>
  <c r="Q15" i="2"/>
  <c r="M15" i="2"/>
  <c r="I15" i="2"/>
  <c r="H15" i="2"/>
  <c r="N15" i="2"/>
  <c r="S15" i="2"/>
  <c r="E16" i="2"/>
  <c r="B17" i="3"/>
  <c r="B23" i="4" s="1"/>
  <c r="AB23" i="4" s="1"/>
  <c r="T16" i="2"/>
  <c r="P16" i="2"/>
  <c r="L16" i="2"/>
  <c r="H16" i="2"/>
  <c r="P17" i="3" s="1"/>
  <c r="G16" i="2"/>
  <c r="M16" i="2"/>
  <c r="R16" i="2"/>
  <c r="G9" i="2"/>
  <c r="K9" i="2"/>
  <c r="O9" i="2"/>
  <c r="S9" i="2"/>
  <c r="G13" i="2"/>
  <c r="K13" i="2"/>
  <c r="O13" i="2"/>
  <c r="S13" i="2"/>
  <c r="G17" i="2"/>
  <c r="K17" i="2"/>
  <c r="O17" i="2"/>
  <c r="S17" i="2"/>
  <c r="F18" i="2"/>
  <c r="J18" i="2"/>
  <c r="N18" i="2"/>
  <c r="R18" i="2"/>
  <c r="X18" i="2"/>
  <c r="I19" i="2"/>
  <c r="M19" i="2"/>
  <c r="Q19" i="2"/>
  <c r="W19" i="2"/>
  <c r="B19" i="3"/>
  <c r="B25" i="4" s="1"/>
  <c r="AB25" i="4" s="1"/>
  <c r="G18" i="2"/>
  <c r="K18" i="2"/>
  <c r="O18" i="2"/>
  <c r="S18" i="2"/>
  <c r="F19" i="2"/>
  <c r="J19" i="2"/>
  <c r="N19" i="2"/>
  <c r="R19" i="2"/>
  <c r="X19" i="2"/>
  <c r="B10" i="3"/>
  <c r="B16" i="4" s="1"/>
  <c r="R16" i="4" s="1"/>
  <c r="S16" i="4" s="1"/>
  <c r="B14" i="3"/>
  <c r="B20" i="4" s="1"/>
  <c r="AB20" i="4" s="1"/>
  <c r="B18" i="3"/>
  <c r="B24" i="4" s="1"/>
  <c r="AB24" i="4" s="1"/>
  <c r="G19" i="2"/>
  <c r="K19" i="2"/>
  <c r="O19" i="2"/>
  <c r="S19" i="2"/>
  <c r="B20" i="3"/>
  <c r="B26" i="4" s="1"/>
  <c r="AB26" i="4" s="1"/>
  <c r="M6" i="1"/>
  <c r="M8" i="1"/>
  <c r="X8" i="1"/>
  <c r="X12" i="1"/>
  <c r="X16" i="1"/>
  <c r="X20" i="1"/>
  <c r="E7" i="8"/>
  <c r="F3" i="6"/>
  <c r="F21" i="6" s="1"/>
  <c r="E11" i="8"/>
  <c r="E13" i="8"/>
  <c r="E15" i="8"/>
  <c r="E17" i="8"/>
  <c r="E19" i="8"/>
  <c r="E4" i="8"/>
  <c r="V6" i="1"/>
  <c r="V8" i="1"/>
  <c r="M10" i="1"/>
  <c r="V10" i="1"/>
  <c r="M12" i="1"/>
  <c r="V12" i="1"/>
  <c r="M14" i="1"/>
  <c r="V14" i="1"/>
  <c r="M16" i="1"/>
  <c r="V16" i="1"/>
  <c r="M18" i="1"/>
  <c r="V18" i="1"/>
  <c r="M20" i="1"/>
  <c r="V20" i="1"/>
  <c r="O13" i="3"/>
  <c r="Z13" i="3" s="1" a="1"/>
  <c r="Z13" i="3" s="1"/>
  <c r="A12" i="4"/>
  <c r="C14" i="4"/>
  <c r="C22" i="4"/>
  <c r="A11" i="11"/>
  <c r="A15" i="11"/>
  <c r="C18" i="4"/>
  <c r="C26" i="4"/>
  <c r="M7" i="1"/>
  <c r="M15" i="1"/>
  <c r="I11" i="6"/>
  <c r="I19" i="6"/>
  <c r="M11" i="1"/>
  <c r="X19" i="1"/>
  <c r="M5" i="1"/>
  <c r="V7" i="1"/>
  <c r="M9" i="1"/>
  <c r="V9" i="1"/>
  <c r="V11" i="1"/>
  <c r="M13" i="1"/>
  <c r="V13" i="1"/>
  <c r="V15" i="1"/>
  <c r="M17" i="1"/>
  <c r="V17" i="1"/>
  <c r="V19" i="1"/>
  <c r="I10" i="6"/>
  <c r="I18" i="6"/>
  <c r="X7" i="1"/>
  <c r="X11" i="1"/>
  <c r="X15" i="1"/>
  <c r="M19" i="1"/>
  <c r="X6" i="1"/>
  <c r="X9" i="1"/>
  <c r="X10" i="1"/>
  <c r="X13" i="1"/>
  <c r="X14" i="1"/>
  <c r="X17" i="1"/>
  <c r="X18" i="1"/>
  <c r="I4" i="6"/>
  <c r="I5" i="6"/>
  <c r="I12" i="6"/>
  <c r="I13" i="6"/>
  <c r="I15" i="6"/>
  <c r="I20" i="6"/>
  <c r="V5" i="1"/>
  <c r="X5" i="1"/>
  <c r="M15" i="3"/>
  <c r="K19" i="3"/>
  <c r="G21" i="6"/>
  <c r="C21" i="5"/>
  <c r="D7" i="5" s="1"/>
  <c r="H3" i="6"/>
  <c r="H21" i="6" s="1"/>
  <c r="E21" i="6"/>
  <c r="I6" i="6"/>
  <c r="I8" i="6"/>
  <c r="I9" i="6"/>
  <c r="C21" i="8"/>
  <c r="E3" i="8"/>
  <c r="D21" i="8"/>
  <c r="C21" i="9"/>
  <c r="D7" i="9" s="1"/>
  <c r="C21" i="10"/>
  <c r="D13" i="10" s="1"/>
  <c r="I14" i="6"/>
  <c r="I16" i="6"/>
  <c r="I17" i="6"/>
  <c r="C21" i="7"/>
  <c r="D15" i="7" s="1"/>
  <c r="E6" i="8"/>
  <c r="E10" i="8"/>
  <c r="E14" i="8"/>
  <c r="E18" i="8"/>
  <c r="D21" i="6"/>
  <c r="R17" i="4" l="1"/>
  <c r="S17" i="4" s="1"/>
  <c r="B24" i="5"/>
  <c r="E7" i="5" s="1"/>
  <c r="I15" i="4" s="1"/>
  <c r="E13" i="10"/>
  <c r="N21" i="4" s="1"/>
  <c r="E7" i="9"/>
  <c r="M15" i="4" s="1"/>
  <c r="R14" i="4"/>
  <c r="S14" i="4" s="1"/>
  <c r="R23" i="4"/>
  <c r="S23" i="4" s="1"/>
  <c r="E15" i="7"/>
  <c r="K23" i="4" s="1"/>
  <c r="I7" i="3"/>
  <c r="G12" i="3"/>
  <c r="K11" i="3"/>
  <c r="Q22" i="2"/>
  <c r="M14" i="3"/>
  <c r="L15" i="3"/>
  <c r="M8" i="3"/>
  <c r="K12" i="3"/>
  <c r="M19" i="3"/>
  <c r="J12" i="3"/>
  <c r="X23" i="1"/>
  <c r="Y18" i="1"/>
  <c r="AA18" i="1" s="1"/>
  <c r="D17" i="2" s="1"/>
  <c r="D18" i="3" s="1"/>
  <c r="Y20" i="1"/>
  <c r="AA20" i="1" s="1"/>
  <c r="AB20" i="1" s="1"/>
  <c r="M23" i="1"/>
  <c r="K6" i="3"/>
  <c r="I8" i="3"/>
  <c r="L7" i="3"/>
  <c r="T22" i="2"/>
  <c r="F5" i="3"/>
  <c r="E22" i="2"/>
  <c r="P10" i="3"/>
  <c r="AA10" i="3" s="1" a="1"/>
  <c r="AA10" i="3" s="1"/>
  <c r="G7" i="3"/>
  <c r="L12" i="3"/>
  <c r="AB21" i="1"/>
  <c r="D20" i="2"/>
  <c r="D21" i="3" s="1"/>
  <c r="E21" i="3" s="1"/>
  <c r="V23" i="1"/>
  <c r="D6" i="9"/>
  <c r="E6" i="9" s="1"/>
  <c r="M14" i="4" s="1"/>
  <c r="L22" i="2"/>
  <c r="K5" i="3"/>
  <c r="M22" i="2"/>
  <c r="I6" i="3"/>
  <c r="K18" i="3"/>
  <c r="K22" i="2"/>
  <c r="P18" i="3"/>
  <c r="X22" i="2"/>
  <c r="S22" i="2"/>
  <c r="P22" i="2"/>
  <c r="F22" i="2"/>
  <c r="W22" i="2"/>
  <c r="J22" i="2"/>
  <c r="I22" i="2"/>
  <c r="G22" i="2"/>
  <c r="O22" i="2"/>
  <c r="R22" i="2"/>
  <c r="G9" i="3"/>
  <c r="I5" i="3"/>
  <c r="H22" i="2"/>
  <c r="G16" i="3"/>
  <c r="N13" i="3"/>
  <c r="L5" i="3"/>
  <c r="N22" i="2"/>
  <c r="O14" i="3"/>
  <c r="P16" i="3"/>
  <c r="M7" i="3"/>
  <c r="L13" i="3"/>
  <c r="W11" i="1"/>
  <c r="Y8" i="1"/>
  <c r="AA8" i="1" s="1"/>
  <c r="D7" i="2" s="1"/>
  <c r="D8" i="3" s="1"/>
  <c r="I12" i="3"/>
  <c r="J9" i="3"/>
  <c r="R24" i="4"/>
  <c r="S24" i="4" s="1"/>
  <c r="W15" i="1"/>
  <c r="J11" i="3"/>
  <c r="W7" i="1"/>
  <c r="Y19" i="1"/>
  <c r="AA19" i="1" s="1"/>
  <c r="D16" i="10"/>
  <c r="E16" i="10" s="1"/>
  <c r="N24" i="4" s="1"/>
  <c r="W19" i="1"/>
  <c r="Y14" i="1"/>
  <c r="AA14" i="1" s="1"/>
  <c r="D13" i="2" s="1"/>
  <c r="D14" i="3" s="1"/>
  <c r="Y10" i="1"/>
  <c r="AA10" i="1" s="1"/>
  <c r="AB10" i="1" s="1"/>
  <c r="D20" i="10"/>
  <c r="E20" i="10" s="1"/>
  <c r="N28" i="4" s="1"/>
  <c r="D8" i="10"/>
  <c r="E8" i="10" s="1"/>
  <c r="N16" i="4" s="1"/>
  <c r="D19" i="9"/>
  <c r="E19" i="9" s="1"/>
  <c r="M27" i="4" s="1"/>
  <c r="D4" i="10"/>
  <c r="E4" i="10" s="1"/>
  <c r="N12" i="4" s="1"/>
  <c r="D15" i="5"/>
  <c r="E15" i="5" s="1"/>
  <c r="I23" i="4" s="1"/>
  <c r="K16" i="3"/>
  <c r="I10" i="3"/>
  <c r="K7" i="3"/>
  <c r="J6" i="3"/>
  <c r="J18" i="3"/>
  <c r="I18" i="3"/>
  <c r="N9" i="3"/>
  <c r="Y6" i="1"/>
  <c r="AA6" i="1" s="1"/>
  <c r="AB6" i="1" s="1"/>
  <c r="O20" i="3"/>
  <c r="Z20" i="3" s="1" a="1"/>
  <c r="Z20" i="3" s="1"/>
  <c r="K15" i="3"/>
  <c r="I16" i="3"/>
  <c r="D11" i="10"/>
  <c r="E11" i="10" s="1"/>
  <c r="N19" i="4" s="1"/>
  <c r="J20" i="3"/>
  <c r="G5" i="3"/>
  <c r="J5" i="3"/>
  <c r="G14" i="3"/>
  <c r="P8" i="3"/>
  <c r="Y16" i="1"/>
  <c r="AA16" i="1" s="1"/>
  <c r="D15" i="2" s="1"/>
  <c r="D16" i="3" s="1"/>
  <c r="Y12" i="1"/>
  <c r="AA12" i="1" s="1"/>
  <c r="AB12" i="1" s="1"/>
  <c r="G6" i="3"/>
  <c r="J13" i="3"/>
  <c r="I9" i="3"/>
  <c r="M10" i="3"/>
  <c r="F9" i="3"/>
  <c r="J10" i="3"/>
  <c r="L10" i="3"/>
  <c r="G8" i="3"/>
  <c r="L14" i="3"/>
  <c r="O5" i="3"/>
  <c r="P14" i="3"/>
  <c r="AA14" i="3" s="1" a="1"/>
  <c r="AA14" i="3" s="1"/>
  <c r="AB15" i="4"/>
  <c r="AB13" i="4"/>
  <c r="R20" i="4"/>
  <c r="S20" i="4" s="1"/>
  <c r="P6" i="3"/>
  <c r="G20" i="3"/>
  <c r="M13" i="3"/>
  <c r="O11" i="3"/>
  <c r="F13" i="3"/>
  <c r="K13" i="3"/>
  <c r="F14" i="3"/>
  <c r="H20" i="3"/>
  <c r="H16" i="3"/>
  <c r="J8" i="3"/>
  <c r="H8" i="3"/>
  <c r="N12" i="3"/>
  <c r="F16" i="3"/>
  <c r="F12" i="3"/>
  <c r="L18" i="3"/>
  <c r="K20" i="3"/>
  <c r="L8" i="3"/>
  <c r="O19" i="3"/>
  <c r="H12" i="3"/>
  <c r="N6" i="3"/>
  <c r="G11" i="3"/>
  <c r="L9" i="3"/>
  <c r="P5" i="3"/>
  <c r="L16" i="3"/>
  <c r="M17" i="3"/>
  <c r="J7" i="3"/>
  <c r="H17" i="3"/>
  <c r="H11" i="3"/>
  <c r="H7" i="3"/>
  <c r="K9" i="3"/>
  <c r="J17" i="3"/>
  <c r="R25" i="4"/>
  <c r="S25" i="4" s="1"/>
  <c r="F8" i="3"/>
  <c r="N11" i="3"/>
  <c r="F6" i="3"/>
  <c r="R18" i="4"/>
  <c r="S18" i="4" s="1"/>
  <c r="H18" i="3"/>
  <c r="I20" i="3"/>
  <c r="I14" i="3"/>
  <c r="L20" i="3"/>
  <c r="K17" i="3"/>
  <c r="N17" i="3"/>
  <c r="N5" i="3"/>
  <c r="M6" i="3"/>
  <c r="I17" i="3"/>
  <c r="AB22" i="4"/>
  <c r="I11" i="3"/>
  <c r="P19" i="3"/>
  <c r="P15" i="3"/>
  <c r="P11" i="3"/>
  <c r="F15" i="3"/>
  <c r="N7" i="3"/>
  <c r="O6" i="3"/>
  <c r="R26" i="4"/>
  <c r="S26" i="4" s="1"/>
  <c r="L19" i="3"/>
  <c r="O9" i="3"/>
  <c r="P20" i="3"/>
  <c r="M18" i="3"/>
  <c r="G15" i="3"/>
  <c r="I19" i="3"/>
  <c r="K14" i="3"/>
  <c r="N15" i="3"/>
  <c r="H9" i="3"/>
  <c r="R12" i="4"/>
  <c r="S12" i="4" s="1"/>
  <c r="H15" i="3"/>
  <c r="P7" i="3"/>
  <c r="G17" i="3"/>
  <c r="F7" i="3"/>
  <c r="P12" i="3"/>
  <c r="F10" i="3"/>
  <c r="L6" i="3"/>
  <c r="J16" i="3"/>
  <c r="H6" i="3"/>
  <c r="J15" i="3"/>
  <c r="N8" i="3"/>
  <c r="L11" i="3"/>
  <c r="G13" i="3"/>
  <c r="AB21" i="4"/>
  <c r="N10" i="3"/>
  <c r="H10" i="3"/>
  <c r="I13" i="3"/>
  <c r="F11" i="3"/>
  <c r="K8" i="3"/>
  <c r="P13" i="3"/>
  <c r="AA13" i="3" s="1" a="1"/>
  <c r="AA13" i="3" s="1"/>
  <c r="M16" i="3"/>
  <c r="L17" i="3"/>
  <c r="H5" i="3"/>
  <c r="I15" i="3"/>
  <c r="M9" i="3"/>
  <c r="H13" i="3"/>
  <c r="F17" i="3"/>
  <c r="F20" i="3"/>
  <c r="O12" i="3"/>
  <c r="Z12" i="3" s="1" a="1"/>
  <c r="Z12" i="3" s="1"/>
  <c r="N18" i="3"/>
  <c r="N14" i="3"/>
  <c r="O17" i="3"/>
  <c r="Z17" i="3" s="1" a="1"/>
  <c r="Z17" i="3" s="1"/>
  <c r="D19" i="2"/>
  <c r="D20" i="3" s="1"/>
  <c r="E20" i="3" s="1"/>
  <c r="AB8" i="1"/>
  <c r="W20" i="1"/>
  <c r="W16" i="1"/>
  <c r="W12" i="1"/>
  <c r="G18" i="3"/>
  <c r="J14" i="3"/>
  <c r="Z15" i="3" a="1"/>
  <c r="Z15" i="3" s="1"/>
  <c r="W9" i="1"/>
  <c r="H14" i="3"/>
  <c r="W18" i="1"/>
  <c r="W14" i="1"/>
  <c r="W10" i="1"/>
  <c r="W5" i="1"/>
  <c r="G10" i="3"/>
  <c r="F19" i="3"/>
  <c r="N16" i="3"/>
  <c r="AB16" i="4"/>
  <c r="AB19" i="4"/>
  <c r="N20" i="3"/>
  <c r="H19" i="3"/>
  <c r="G19" i="3"/>
  <c r="J19" i="3"/>
  <c r="N19" i="3"/>
  <c r="M20" i="3"/>
  <c r="B11" i="4"/>
  <c r="AA15" i="3" a="1"/>
  <c r="AA15" i="3" s="1"/>
  <c r="AA18" i="3" a="1"/>
  <c r="AA18" i="3" s="1"/>
  <c r="AA8" i="3" a="1"/>
  <c r="AA8" i="3" s="1"/>
  <c r="Y17" i="1"/>
  <c r="AA17" i="1" s="1"/>
  <c r="W13" i="1"/>
  <c r="Y11" i="1"/>
  <c r="AA11" i="1" s="1"/>
  <c r="W8" i="1"/>
  <c r="AA16" i="3" a="1"/>
  <c r="AA16" i="3" s="1"/>
  <c r="W6" i="1"/>
  <c r="D18" i="5"/>
  <c r="D13" i="5"/>
  <c r="E13" i="5" s="1"/>
  <c r="I21" i="4" s="1"/>
  <c r="D19" i="5"/>
  <c r="E19" i="5" s="1"/>
  <c r="I27" i="4" s="1"/>
  <c r="I3" i="6"/>
  <c r="I21" i="6" s="1"/>
  <c r="J8" i="6" s="1"/>
  <c r="K8" i="6" s="1"/>
  <c r="J16" i="4" s="1"/>
  <c r="W17" i="1"/>
  <c r="D14" i="5"/>
  <c r="E14" i="5" s="1"/>
  <c r="I22" i="4" s="1"/>
  <c r="D10" i="5"/>
  <c r="E10" i="5" s="1"/>
  <c r="I18" i="4" s="1"/>
  <c r="D3" i="5"/>
  <c r="E3" i="5" s="1"/>
  <c r="D6" i="5"/>
  <c r="Y15" i="1"/>
  <c r="AA15" i="1" s="1"/>
  <c r="Y9" i="1"/>
  <c r="AA9" i="1" s="1"/>
  <c r="Y13" i="1"/>
  <c r="AA13" i="1" s="1"/>
  <c r="D18" i="9"/>
  <c r="E18" i="9" s="1"/>
  <c r="M26" i="4" s="1"/>
  <c r="Y7" i="1"/>
  <c r="AA7" i="1" s="1"/>
  <c r="D5" i="7"/>
  <c r="E5" i="7" s="1"/>
  <c r="K13" i="4" s="1"/>
  <c r="D11" i="9"/>
  <c r="E11" i="9" s="1"/>
  <c r="M19" i="4" s="1"/>
  <c r="D7" i="7"/>
  <c r="E7" i="7" s="1"/>
  <c r="K15" i="4" s="1"/>
  <c r="D10" i="9"/>
  <c r="E10" i="9" s="1"/>
  <c r="M18" i="4" s="1"/>
  <c r="D14" i="9"/>
  <c r="E14" i="9" s="1"/>
  <c r="M22" i="4" s="1"/>
  <c r="D3" i="9"/>
  <c r="E3" i="9" s="1"/>
  <c r="D16" i="7"/>
  <c r="E16" i="7" s="1"/>
  <c r="K24" i="4" s="1"/>
  <c r="D19" i="7"/>
  <c r="E19" i="7" s="1"/>
  <c r="K27" i="4" s="1"/>
  <c r="D18" i="10"/>
  <c r="E18" i="10" s="1"/>
  <c r="N26" i="4" s="1"/>
  <c r="D10" i="10"/>
  <c r="E10" i="10" s="1"/>
  <c r="N18" i="4" s="1"/>
  <c r="D14" i="10"/>
  <c r="E14" i="10" s="1"/>
  <c r="N22" i="4" s="1"/>
  <c r="D6" i="10"/>
  <c r="E6" i="10" s="1"/>
  <c r="N14" i="4" s="1"/>
  <c r="D20" i="7"/>
  <c r="E20" i="7" s="1"/>
  <c r="K28" i="4" s="1"/>
  <c r="D4" i="7"/>
  <c r="E4" i="7" s="1"/>
  <c r="K12" i="4" s="1"/>
  <c r="D15" i="10"/>
  <c r="E15" i="10" s="1"/>
  <c r="N23" i="4" s="1"/>
  <c r="D17" i="7"/>
  <c r="E17" i="7" s="1"/>
  <c r="K25" i="4" s="1"/>
  <c r="D8" i="7"/>
  <c r="E8" i="7" s="1"/>
  <c r="K16" i="4" s="1"/>
  <c r="D17" i="5"/>
  <c r="E17" i="5" s="1"/>
  <c r="I25" i="4" s="1"/>
  <c r="D9" i="5"/>
  <c r="E9" i="5" s="1"/>
  <c r="I17" i="4" s="1"/>
  <c r="D20" i="5"/>
  <c r="E20" i="5" s="1"/>
  <c r="I28" i="4" s="1"/>
  <c r="D12" i="5"/>
  <c r="E12" i="5" s="1"/>
  <c r="I20" i="4" s="1"/>
  <c r="D4" i="5"/>
  <c r="E4" i="5" s="1"/>
  <c r="I12" i="4" s="1"/>
  <c r="D16" i="5"/>
  <c r="E16" i="5" s="1"/>
  <c r="I24" i="4" s="1"/>
  <c r="D8" i="5"/>
  <c r="E8" i="5" s="1"/>
  <c r="I16" i="4" s="1"/>
  <c r="D5" i="5"/>
  <c r="E5" i="5" s="1"/>
  <c r="I13" i="4" s="1"/>
  <c r="D11" i="7"/>
  <c r="E11" i="7" s="1"/>
  <c r="K19" i="4" s="1"/>
  <c r="E8" i="3"/>
  <c r="D9" i="11"/>
  <c r="D14" i="4"/>
  <c r="AB14" i="1"/>
  <c r="D12" i="10"/>
  <c r="E12" i="10" s="1"/>
  <c r="N20" i="4" s="1"/>
  <c r="D18" i="7"/>
  <c r="E18" i="7" s="1"/>
  <c r="K26" i="4" s="1"/>
  <c r="D10" i="7"/>
  <c r="E10" i="7" s="1"/>
  <c r="K18" i="4" s="1"/>
  <c r="D14" i="7"/>
  <c r="E14" i="7" s="1"/>
  <c r="K22" i="4" s="1"/>
  <c r="D6" i="7"/>
  <c r="E6" i="7" s="1"/>
  <c r="K14" i="4" s="1"/>
  <c r="D9" i="7"/>
  <c r="E9" i="7" s="1"/>
  <c r="K17" i="4" s="1"/>
  <c r="D17" i="10"/>
  <c r="E17" i="10" s="1"/>
  <c r="N25" i="4" s="1"/>
  <c r="D3" i="7"/>
  <c r="D19" i="10"/>
  <c r="E19" i="10" s="1"/>
  <c r="N27" i="4" s="1"/>
  <c r="D3" i="10"/>
  <c r="D13" i="7"/>
  <c r="E13" i="7" s="1"/>
  <c r="K21" i="4" s="1"/>
  <c r="D5" i="10"/>
  <c r="E5" i="10" s="1"/>
  <c r="N13" i="4" s="1"/>
  <c r="D17" i="9"/>
  <c r="E17" i="9" s="1"/>
  <c r="M25" i="4" s="1"/>
  <c r="D13" i="9"/>
  <c r="E13" i="9" s="1"/>
  <c r="M21" i="4" s="1"/>
  <c r="D9" i="9"/>
  <c r="E9" i="9" s="1"/>
  <c r="M17" i="4" s="1"/>
  <c r="D5" i="9"/>
  <c r="E5" i="9" s="1"/>
  <c r="M13" i="4" s="1"/>
  <c r="D16" i="9"/>
  <c r="E16" i="9" s="1"/>
  <c r="M24" i="4" s="1"/>
  <c r="D8" i="9"/>
  <c r="E8" i="9" s="1"/>
  <c r="M16" i="4" s="1"/>
  <c r="D20" i="9"/>
  <c r="E20" i="9" s="1"/>
  <c r="M28" i="4" s="1"/>
  <c r="D4" i="9"/>
  <c r="E4" i="9" s="1"/>
  <c r="M12" i="4" s="1"/>
  <c r="D12" i="9"/>
  <c r="E12" i="9" s="1"/>
  <c r="M20" i="4" s="1"/>
  <c r="D12" i="7"/>
  <c r="E12" i="7" s="1"/>
  <c r="K20" i="4" s="1"/>
  <c r="D7" i="10"/>
  <c r="E7" i="10" s="1"/>
  <c r="N15" i="4" s="1"/>
  <c r="E21" i="8"/>
  <c r="F6" i="8" s="1"/>
  <c r="G6" i="8" s="1"/>
  <c r="L14" i="4" s="1"/>
  <c r="D15" i="9"/>
  <c r="E15" i="9" s="1"/>
  <c r="M23" i="4" s="1"/>
  <c r="D11" i="5"/>
  <c r="E11" i="5" s="1"/>
  <c r="I19" i="4" s="1"/>
  <c r="D9" i="10"/>
  <c r="E9" i="10" s="1"/>
  <c r="N17" i="4" s="1"/>
  <c r="Y5" i="1"/>
  <c r="D9" i="2"/>
  <c r="D10" i="3" s="1"/>
  <c r="E6" i="5" l="1"/>
  <c r="I14" i="4" s="1"/>
  <c r="E18" i="5"/>
  <c r="I26" i="4" s="1"/>
  <c r="AB18" i="1"/>
  <c r="Y23" i="1"/>
  <c r="D5" i="2"/>
  <c r="D6" i="3" s="1"/>
  <c r="D12" i="4" s="1"/>
  <c r="W23" i="1"/>
  <c r="D11" i="2"/>
  <c r="D12" i="3" s="1"/>
  <c r="E12" i="3" s="1"/>
  <c r="AB16" i="1"/>
  <c r="D22" i="4"/>
  <c r="E16" i="3"/>
  <c r="D17" i="11"/>
  <c r="D18" i="2"/>
  <c r="D19" i="3" s="1"/>
  <c r="AB19" i="1"/>
  <c r="AA19" i="3" a="1"/>
  <c r="AA19" i="3" s="1"/>
  <c r="AA20" i="3" a="1"/>
  <c r="AA20" i="3" s="1"/>
  <c r="D26" i="4"/>
  <c r="D21" i="11"/>
  <c r="E6" i="3"/>
  <c r="D7" i="11"/>
  <c r="AB11" i="4"/>
  <c r="R11" i="4"/>
  <c r="F3" i="8"/>
  <c r="G3" i="8" s="1"/>
  <c r="L11" i="4" s="1"/>
  <c r="D10" i="2"/>
  <c r="D11" i="3" s="1"/>
  <c r="AB11" i="1"/>
  <c r="F10" i="8"/>
  <c r="G10" i="8" s="1"/>
  <c r="L18" i="4" s="1"/>
  <c r="J3" i="6"/>
  <c r="K3" i="6" s="1"/>
  <c r="D16" i="2"/>
  <c r="D17" i="3" s="1"/>
  <c r="AB17" i="1"/>
  <c r="J9" i="6"/>
  <c r="K9" i="6" s="1"/>
  <c r="J17" i="4" s="1"/>
  <c r="F18" i="8"/>
  <c r="G18" i="8" s="1"/>
  <c r="L26" i="4" s="1"/>
  <c r="J6" i="6"/>
  <c r="K6" i="6" s="1"/>
  <c r="J14" i="4" s="1"/>
  <c r="P14" i="4" s="1"/>
  <c r="AB15" i="1"/>
  <c r="D14" i="2"/>
  <c r="D15" i="3" s="1"/>
  <c r="D12" i="2"/>
  <c r="D13" i="3" s="1"/>
  <c r="AB13" i="1"/>
  <c r="J14" i="6"/>
  <c r="K14" i="6" s="1"/>
  <c r="J22" i="4" s="1"/>
  <c r="J16" i="6"/>
  <c r="K16" i="6" s="1"/>
  <c r="J24" i="4" s="1"/>
  <c r="AB7" i="1"/>
  <c r="D6" i="2"/>
  <c r="D7" i="3" s="1"/>
  <c r="AB9" i="1"/>
  <c r="D8" i="2"/>
  <c r="D9" i="3" s="1"/>
  <c r="D21" i="7"/>
  <c r="E3" i="7"/>
  <c r="E21" i="9"/>
  <c r="M11" i="4"/>
  <c r="M29" i="4" s="1"/>
  <c r="E21" i="5"/>
  <c r="I11" i="4"/>
  <c r="D21" i="10"/>
  <c r="E3" i="10"/>
  <c r="E10" i="3"/>
  <c r="D16" i="4"/>
  <c r="D11" i="11"/>
  <c r="AA5" i="1"/>
  <c r="F20" i="8"/>
  <c r="G20" i="8" s="1"/>
  <c r="L28" i="4" s="1"/>
  <c r="F16" i="8"/>
  <c r="G16" i="8" s="1"/>
  <c r="L24" i="4" s="1"/>
  <c r="F12" i="8"/>
  <c r="G12" i="8" s="1"/>
  <c r="L20" i="4" s="1"/>
  <c r="F8" i="8"/>
  <c r="G8" i="8" s="1"/>
  <c r="L16" i="4" s="1"/>
  <c r="P16" i="4" s="1"/>
  <c r="F4" i="8"/>
  <c r="G4" i="8" s="1"/>
  <c r="L12" i="4" s="1"/>
  <c r="F19" i="8"/>
  <c r="G19" i="8" s="1"/>
  <c r="L27" i="4" s="1"/>
  <c r="F5" i="8"/>
  <c r="G5" i="8" s="1"/>
  <c r="L13" i="4" s="1"/>
  <c r="F7" i="8"/>
  <c r="G7" i="8" s="1"/>
  <c r="L15" i="4" s="1"/>
  <c r="F15" i="8"/>
  <c r="G15" i="8" s="1"/>
  <c r="L23" i="4" s="1"/>
  <c r="F9" i="8"/>
  <c r="G9" i="8" s="1"/>
  <c r="L17" i="4" s="1"/>
  <c r="F17" i="8"/>
  <c r="G17" i="8" s="1"/>
  <c r="L25" i="4" s="1"/>
  <c r="F11" i="8"/>
  <c r="G11" i="8" s="1"/>
  <c r="L19" i="4" s="1"/>
  <c r="F13" i="8"/>
  <c r="G13" i="8" s="1"/>
  <c r="L21" i="4" s="1"/>
  <c r="D21" i="9"/>
  <c r="E14" i="3"/>
  <c r="D20" i="4"/>
  <c r="D15" i="11"/>
  <c r="D21" i="5"/>
  <c r="F14" i="8"/>
  <c r="G14" i="8" s="1"/>
  <c r="L22" i="4" s="1"/>
  <c r="E18" i="3"/>
  <c r="D24" i="4"/>
  <c r="D19" i="11"/>
  <c r="J10" i="6"/>
  <c r="K10" i="6" s="1"/>
  <c r="J18" i="4" s="1"/>
  <c r="J20" i="6"/>
  <c r="K20" i="6" s="1"/>
  <c r="J28" i="4" s="1"/>
  <c r="J18" i="6"/>
  <c r="K18" i="6" s="1"/>
  <c r="J26" i="4" s="1"/>
  <c r="J19" i="6"/>
  <c r="K19" i="6" s="1"/>
  <c r="J27" i="4" s="1"/>
  <c r="J7" i="6"/>
  <c r="K7" i="6" s="1"/>
  <c r="J15" i="4" s="1"/>
  <c r="J12" i="6"/>
  <c r="K12" i="6" s="1"/>
  <c r="J20" i="4" s="1"/>
  <c r="J15" i="6"/>
  <c r="K15" i="6" s="1"/>
  <c r="J23" i="4" s="1"/>
  <c r="J11" i="6"/>
  <c r="K11" i="6" s="1"/>
  <c r="J19" i="4" s="1"/>
  <c r="J13" i="6"/>
  <c r="K13" i="6" s="1"/>
  <c r="J21" i="4" s="1"/>
  <c r="J5" i="6"/>
  <c r="K5" i="6" s="1"/>
  <c r="J13" i="4" s="1"/>
  <c r="J4" i="6"/>
  <c r="K4" i="6" s="1"/>
  <c r="J12" i="4" s="1"/>
  <c r="J17" i="6"/>
  <c r="K17" i="6" s="1"/>
  <c r="J25" i="4" s="1"/>
  <c r="P13" i="4" l="1"/>
  <c r="O20" i="4"/>
  <c r="O16" i="4"/>
  <c r="D18" i="4"/>
  <c r="D13" i="11"/>
  <c r="O12" i="4"/>
  <c r="P28" i="4"/>
  <c r="O25" i="4"/>
  <c r="E19" i="3"/>
  <c r="D25" i="4"/>
  <c r="D20" i="11"/>
  <c r="P22" i="4"/>
  <c r="L29" i="4"/>
  <c r="O19" i="4"/>
  <c r="O24" i="4"/>
  <c r="O17" i="4"/>
  <c r="O14" i="4"/>
  <c r="S11" i="4"/>
  <c r="R29" i="4"/>
  <c r="D23" i="4"/>
  <c r="E17" i="3"/>
  <c r="D18" i="11"/>
  <c r="P17" i="4"/>
  <c r="D17" i="4"/>
  <c r="D12" i="11"/>
  <c r="E11" i="3"/>
  <c r="P24" i="4"/>
  <c r="O22" i="4"/>
  <c r="G21" i="8"/>
  <c r="D13" i="4"/>
  <c r="D8" i="11"/>
  <c r="E7" i="3"/>
  <c r="D10" i="11"/>
  <c r="D15" i="4"/>
  <c r="E9" i="3"/>
  <c r="E13" i="3"/>
  <c r="D14" i="11"/>
  <c r="D19" i="4"/>
  <c r="D16" i="11"/>
  <c r="E15" i="3"/>
  <c r="D21" i="4"/>
  <c r="P25" i="4"/>
  <c r="P20" i="4"/>
  <c r="E21" i="10"/>
  <c r="N11" i="4"/>
  <c r="N29" i="4" s="1"/>
  <c r="P12" i="4"/>
  <c r="F21" i="8"/>
  <c r="O27" i="4"/>
  <c r="P27" i="4"/>
  <c r="P19" i="4"/>
  <c r="D4" i="2"/>
  <c r="D5" i="3" s="1"/>
  <c r="AB5" i="1"/>
  <c r="O13" i="4"/>
  <c r="O28" i="4"/>
  <c r="J21" i="6"/>
  <c r="P21" i="4"/>
  <c r="O21" i="4"/>
  <c r="O15" i="4"/>
  <c r="P15" i="4"/>
  <c r="P18" i="4"/>
  <c r="O18" i="4"/>
  <c r="O23" i="4"/>
  <c r="P23" i="4"/>
  <c r="P26" i="4"/>
  <c r="O26" i="4"/>
  <c r="K21" i="6"/>
  <c r="J11" i="4"/>
  <c r="J29" i="4" s="1"/>
  <c r="I29" i="4"/>
  <c r="E21" i="7"/>
  <c r="K11" i="4"/>
  <c r="K29" i="4" s="1"/>
  <c r="S29" i="4" l="1"/>
  <c r="B29" i="1"/>
  <c r="B27" i="1"/>
  <c r="B28" i="1"/>
  <c r="O11" i="4"/>
  <c r="P11" i="4"/>
  <c r="E5" i="3"/>
  <c r="D6" i="11"/>
  <c r="D11" i="4"/>
  <c r="P29" i="4" l="1"/>
  <c r="I34" i="4" s="1"/>
  <c r="J34" i="4" s="1"/>
  <c r="O29" i="4"/>
  <c r="H34" i="4" s="1"/>
  <c r="U22" i="3" a="1"/>
  <c r="U22" i="3" s="1"/>
  <c r="T21" i="3" a="1"/>
  <c r="T21" i="3" s="1"/>
  <c r="W21" i="3" a="1"/>
  <c r="W21" i="3" s="1"/>
  <c r="R22" i="3" a="1"/>
  <c r="R22" i="3" s="1"/>
  <c r="S22" i="3" a="1"/>
  <c r="S22" i="3" s="1"/>
  <c r="V22" i="3" a="1"/>
  <c r="V22" i="3" s="1"/>
  <c r="T22" i="3" a="1"/>
  <c r="T22" i="3" s="1"/>
  <c r="S21" i="3" a="1"/>
  <c r="S21" i="3" s="1"/>
  <c r="R21" i="3" a="1"/>
  <c r="R21" i="3" s="1"/>
  <c r="W22" i="3" a="1"/>
  <c r="W22" i="3" s="1"/>
  <c r="Y21" i="3" a="1"/>
  <c r="Y21" i="3" s="1"/>
  <c r="Y22" i="3" a="1"/>
  <c r="Y22" i="3" s="1"/>
  <c r="Q21" i="3" a="1"/>
  <c r="Q21" i="3" s="1"/>
  <c r="X22" i="3" a="1"/>
  <c r="X22" i="3" s="1"/>
  <c r="V21" i="3" a="1"/>
  <c r="V21" i="3" s="1"/>
  <c r="U21" i="3" a="1"/>
  <c r="U21" i="3" s="1"/>
  <c r="X21" i="3" a="1"/>
  <c r="X21" i="3" s="1"/>
  <c r="Q22" i="3" a="1"/>
  <c r="Q22" i="3" s="1"/>
  <c r="C29" i="1"/>
  <c r="C27" i="1"/>
  <c r="C28" i="1"/>
  <c r="Q5" i="3" a="1"/>
  <c r="Q5" i="3" s="1"/>
  <c r="Z5" i="3" a="1"/>
  <c r="Z5" i="3" s="1"/>
  <c r="T5" i="3" a="1"/>
  <c r="T5" i="3" s="1"/>
  <c r="X5" i="3" a="1"/>
  <c r="X5" i="3" s="1"/>
  <c r="V5" i="3" a="1"/>
  <c r="V5" i="3" s="1"/>
  <c r="T12" i="3" a="1"/>
  <c r="T12" i="3" s="1"/>
  <c r="U5" i="3" a="1"/>
  <c r="U5" i="3" s="1"/>
  <c r="R19" i="3" a="1"/>
  <c r="R19" i="3" s="1"/>
  <c r="R6" i="3" a="1"/>
  <c r="R6" i="3" s="1"/>
  <c r="X19" i="3" a="1"/>
  <c r="X19" i="3" s="1"/>
  <c r="AA5" i="3" a="1"/>
  <c r="AA5" i="3" s="1"/>
  <c r="W13" i="3" a="1"/>
  <c r="W13" i="3" s="1"/>
  <c r="T6" i="3" a="1"/>
  <c r="T6" i="3" s="1"/>
  <c r="U11" i="3" a="1"/>
  <c r="U11" i="3" s="1"/>
  <c r="V19" i="3" a="1"/>
  <c r="V19" i="3" s="1"/>
  <c r="S11" i="3" a="1"/>
  <c r="S11" i="3" s="1"/>
  <c r="V9" i="3" a="1"/>
  <c r="V9" i="3" s="1"/>
  <c r="R11" i="3" a="1"/>
  <c r="R11" i="3" s="1"/>
  <c r="S13" i="3" a="1"/>
  <c r="S13" i="3" s="1"/>
  <c r="W9" i="3" a="1"/>
  <c r="W9" i="3" s="1"/>
  <c r="X6" i="3" a="1"/>
  <c r="X6" i="3" s="1"/>
  <c r="T15" i="3" a="1"/>
  <c r="T15" i="3" s="1"/>
  <c r="R5" i="3" a="1"/>
  <c r="R5" i="3" s="1"/>
  <c r="Y5" i="3" a="1"/>
  <c r="Y5" i="3" s="1"/>
  <c r="Y8" i="3" a="1"/>
  <c r="Y8" i="3" s="1"/>
  <c r="V16" i="3" a="1"/>
  <c r="V16" i="3" s="1"/>
  <c r="S5" i="3" a="1"/>
  <c r="S5" i="3" s="1"/>
  <c r="U6" i="3" a="1"/>
  <c r="U6" i="3" s="1"/>
  <c r="S9" i="3" a="1"/>
  <c r="S9" i="3" s="1"/>
  <c r="U16" i="3" a="1"/>
  <c r="U16" i="3" s="1"/>
  <c r="T19" i="3" a="1"/>
  <c r="T19" i="3" s="1"/>
  <c r="S6" i="3" a="1"/>
  <c r="S6" i="3" s="1"/>
  <c r="X9" i="3" a="1"/>
  <c r="X9" i="3" s="1"/>
  <c r="S16" i="3" a="1"/>
  <c r="S16" i="3" s="1"/>
  <c r="U19" i="3" a="1"/>
  <c r="U19" i="3" s="1"/>
  <c r="U9" i="3" a="1"/>
  <c r="U9" i="3" s="1"/>
  <c r="X7" i="3" a="1"/>
  <c r="X7" i="3" s="1"/>
  <c r="W5" i="3" a="1"/>
  <c r="W5" i="3" s="1"/>
  <c r="W11" i="3" a="1"/>
  <c r="W11" i="3" s="1"/>
  <c r="S15" i="3" a="1"/>
  <c r="S15" i="3" s="1"/>
  <c r="T7" i="3" a="1"/>
  <c r="T7" i="3" s="1"/>
  <c r="Y9" i="3" a="1"/>
  <c r="Y9" i="3" s="1"/>
  <c r="T16" i="3" a="1"/>
  <c r="T16" i="3" s="1"/>
  <c r="V7" i="3" a="1"/>
  <c r="V7" i="3" s="1"/>
  <c r="AA12" i="3" a="1"/>
  <c r="AA12" i="3" s="1"/>
  <c r="Q12" i="3" a="1"/>
  <c r="Q12" i="3" s="1"/>
  <c r="X15" i="3" a="1"/>
  <c r="X15" i="3" s="1"/>
  <c r="X8" i="3" a="1"/>
  <c r="X8" i="3" s="1"/>
  <c r="Z8" i="3" a="1"/>
  <c r="Z8" i="3" s="1"/>
  <c r="X16" i="3" a="1"/>
  <c r="X16" i="3" s="1"/>
  <c r="R17" i="3" a="1"/>
  <c r="R17" i="3" s="1"/>
  <c r="X20" i="3" a="1"/>
  <c r="X20" i="3" s="1"/>
  <c r="Y20" i="3" a="1"/>
  <c r="Y20" i="3" s="1"/>
  <c r="Q6" i="3" a="1"/>
  <c r="Q6" i="3" s="1"/>
  <c r="Z6" i="3" a="1"/>
  <c r="Z6" i="3" s="1"/>
  <c r="W19" i="3" a="1"/>
  <c r="W19" i="3" s="1"/>
  <c r="Q13" i="3" a="1"/>
  <c r="Q13" i="3" s="1"/>
  <c r="R7" i="3" a="1"/>
  <c r="R7" i="3" s="1"/>
  <c r="V11" i="3" a="1"/>
  <c r="V11" i="3" s="1"/>
  <c r="W20" i="3" a="1"/>
  <c r="W20" i="3" s="1"/>
  <c r="T17" i="3" a="1"/>
  <c r="T17" i="3" s="1"/>
  <c r="W17" i="3" a="1"/>
  <c r="W17" i="3" s="1"/>
  <c r="R9" i="3" a="1"/>
  <c r="R9" i="3" s="1"/>
  <c r="Y19" i="3" a="1"/>
  <c r="Y19" i="3" s="1"/>
  <c r="U8" i="3" a="1"/>
  <c r="U8" i="3" s="1"/>
  <c r="Q20" i="3" a="1"/>
  <c r="Q20" i="3" s="1"/>
  <c r="T13" i="3" a="1"/>
  <c r="T13" i="3" s="1"/>
  <c r="U20" i="3" a="1"/>
  <c r="U20" i="3" s="1"/>
  <c r="S17" i="3" a="1"/>
  <c r="S17" i="3" s="1"/>
  <c r="S19" i="3" a="1"/>
  <c r="S19" i="3" s="1"/>
  <c r="Q15" i="3" a="1"/>
  <c r="Q15" i="3" s="1"/>
  <c r="Y7" i="3" a="1"/>
  <c r="Y7" i="3" s="1"/>
  <c r="Z9" i="3" a="1"/>
  <c r="Z9" i="3" s="1"/>
  <c r="R16" i="3" a="1"/>
  <c r="R16" i="3" s="1"/>
  <c r="Y16" i="3" a="1"/>
  <c r="Y16" i="3" s="1"/>
  <c r="W12" i="3" a="1"/>
  <c r="W12" i="3" s="1"/>
  <c r="U12" i="3" a="1"/>
  <c r="U12" i="3" s="1"/>
  <c r="S8" i="3" a="1"/>
  <c r="S8" i="3" s="1"/>
  <c r="Q8" i="3" a="1"/>
  <c r="Q8" i="3" s="1"/>
  <c r="R20" i="3" a="1"/>
  <c r="R20" i="3" s="1"/>
  <c r="W6" i="3" a="1"/>
  <c r="W6" i="3" s="1"/>
  <c r="U15" i="3" a="1"/>
  <c r="U15" i="3" s="1"/>
  <c r="V13" i="3" a="1"/>
  <c r="V13" i="3" s="1"/>
  <c r="V17" i="3" a="1"/>
  <c r="V17" i="3" s="1"/>
  <c r="V6" i="3" a="1"/>
  <c r="V6" i="3" s="1"/>
  <c r="Y15" i="3" a="1"/>
  <c r="Y15" i="3" s="1"/>
  <c r="X11" i="3" a="1"/>
  <c r="X11" i="3" s="1"/>
  <c r="Z11" i="3" a="1"/>
  <c r="Z11" i="3" s="1"/>
  <c r="Q19" i="3" a="1"/>
  <c r="Q19" i="3" s="1"/>
  <c r="Y13" i="3" a="1"/>
  <c r="Y13" i="3" s="1"/>
  <c r="U7" i="3" a="1"/>
  <c r="U7" i="3" s="1"/>
  <c r="T11" i="3" a="1"/>
  <c r="T11" i="3" s="1"/>
  <c r="V15" i="3" a="1"/>
  <c r="V15" i="3" s="1"/>
  <c r="Q9" i="3" a="1"/>
  <c r="Q9" i="3" s="1"/>
  <c r="Y17" i="3" a="1"/>
  <c r="Y17" i="3" s="1"/>
  <c r="S12" i="3" a="1"/>
  <c r="S12" i="3" s="1"/>
  <c r="R8" i="3" a="1"/>
  <c r="R8" i="3" s="1"/>
  <c r="Y6" i="3" a="1"/>
  <c r="Y6" i="3" s="1"/>
  <c r="Z19" i="3" a="1"/>
  <c r="Z19" i="3" s="1"/>
  <c r="Q11" i="3" a="1"/>
  <c r="Q11" i="3" s="1"/>
  <c r="U13" i="3" a="1"/>
  <c r="U13" i="3" s="1"/>
  <c r="W15" i="3" a="1"/>
  <c r="W15" i="3" s="1"/>
  <c r="Q7" i="3" a="1"/>
  <c r="Q7" i="3" s="1"/>
  <c r="Z7" i="3" a="1"/>
  <c r="Z7" i="3" s="1"/>
  <c r="T9" i="3" a="1"/>
  <c r="T9" i="3" s="1"/>
  <c r="AA9" i="3" a="1"/>
  <c r="AA9" i="3" s="1"/>
  <c r="Q16" i="3" a="1"/>
  <c r="Q16" i="3" s="1"/>
  <c r="W7" i="3" a="1"/>
  <c r="W7" i="3" s="1"/>
  <c r="X12" i="3" a="1"/>
  <c r="X12" i="3" s="1"/>
  <c r="Y12" i="3" a="1"/>
  <c r="Y12" i="3" s="1"/>
  <c r="V12" i="3" a="1"/>
  <c r="V12" i="3" s="1"/>
  <c r="V8" i="3" a="1"/>
  <c r="V8" i="3" s="1"/>
  <c r="R13" i="3" a="1"/>
  <c r="R13" i="3" s="1"/>
  <c r="AA17" i="3" a="1"/>
  <c r="AA17" i="3" s="1"/>
  <c r="V20" i="3" a="1"/>
  <c r="V20" i="3" s="1"/>
  <c r="R15" i="3" a="1"/>
  <c r="R15" i="3" s="1"/>
  <c r="AA6" i="3" a="1"/>
  <c r="AA6" i="3" s="1"/>
  <c r="X13" i="3" a="1"/>
  <c r="X13" i="3" s="1"/>
  <c r="T20" i="3" a="1"/>
  <c r="T20" i="3" s="1"/>
  <c r="S7" i="3" a="1"/>
  <c r="S7" i="3" s="1"/>
  <c r="Y11" i="3" a="1"/>
  <c r="Y11" i="3" s="1"/>
  <c r="T8" i="3" a="1"/>
  <c r="T8" i="3" s="1"/>
  <c r="AA7" i="3" a="1"/>
  <c r="AA7" i="3" s="1"/>
  <c r="W16" i="3" a="1"/>
  <c r="W16" i="3" s="1"/>
  <c r="R12" i="3" a="1"/>
  <c r="R12" i="3" s="1"/>
  <c r="W8" i="3" a="1"/>
  <c r="W8" i="3" s="1"/>
  <c r="Q17" i="3" a="1"/>
  <c r="Q17" i="3" s="1"/>
  <c r="S20" i="3" a="1"/>
  <c r="S20" i="3" s="1"/>
  <c r="X17" i="3" a="1"/>
  <c r="X17" i="3" s="1"/>
  <c r="U17" i="3" a="1"/>
  <c r="U17" i="3" s="1"/>
  <c r="AA11" i="3" a="1"/>
  <c r="AA11" i="3" s="1"/>
  <c r="U10" i="3" a="1"/>
  <c r="U10" i="3" s="1"/>
  <c r="Q10" i="3" a="1"/>
  <c r="Q10" i="3" s="1"/>
  <c r="Y18" i="3" a="1"/>
  <c r="Y18" i="3" s="1"/>
  <c r="S18" i="3" a="1"/>
  <c r="S18" i="3" s="1"/>
  <c r="Z14" i="3" a="1"/>
  <c r="Z14" i="3" s="1"/>
  <c r="S14" i="3" a="1"/>
  <c r="S14" i="3" s="1"/>
  <c r="T14" i="3" a="1"/>
  <c r="T14" i="3" s="1"/>
  <c r="X10" i="3" a="1"/>
  <c r="X10" i="3" s="1"/>
  <c r="R14" i="3" a="1"/>
  <c r="R14" i="3" s="1"/>
  <c r="S10" i="3" a="1"/>
  <c r="S10" i="3" s="1"/>
  <c r="V10" i="3" a="1"/>
  <c r="V10" i="3" s="1"/>
  <c r="W18" i="3" a="1"/>
  <c r="W18" i="3" s="1"/>
  <c r="X18" i="3" a="1"/>
  <c r="X18" i="3" s="1"/>
  <c r="Y14" i="3" a="1"/>
  <c r="Y14" i="3" s="1"/>
  <c r="W10" i="3" a="1"/>
  <c r="W10" i="3" s="1"/>
  <c r="Q18" i="3" a="1"/>
  <c r="Q18" i="3" s="1"/>
  <c r="W14" i="3" a="1"/>
  <c r="W14" i="3" s="1"/>
  <c r="Y10" i="3" a="1"/>
  <c r="Y10" i="3" s="1"/>
  <c r="T10" i="3" a="1"/>
  <c r="T10" i="3" s="1"/>
  <c r="T18" i="3" a="1"/>
  <c r="T18" i="3" s="1"/>
  <c r="R18" i="3" a="1"/>
  <c r="R18" i="3" s="1"/>
  <c r="V18" i="3" a="1"/>
  <c r="V18" i="3" s="1"/>
  <c r="Q14" i="3" a="1"/>
  <c r="Q14" i="3" s="1"/>
  <c r="U14" i="3" a="1"/>
  <c r="U14" i="3" s="1"/>
  <c r="V14" i="3" a="1"/>
  <c r="V14" i="3" s="1"/>
  <c r="R10" i="3" a="1"/>
  <c r="R10" i="3" s="1"/>
  <c r="U18" i="3" a="1"/>
  <c r="U18" i="3" s="1"/>
  <c r="X14" i="3" a="1"/>
  <c r="X14" i="3" s="1"/>
  <c r="B32" i="1" l="1"/>
  <c r="AB22" i="3"/>
  <c r="AB21" i="3"/>
  <c r="AB10" i="3"/>
  <c r="AB8" i="3"/>
  <c r="AB14" i="3"/>
  <c r="AB16" i="3"/>
  <c r="AB20" i="3"/>
  <c r="AB7" i="3"/>
  <c r="AB13" i="3"/>
  <c r="AB17" i="3"/>
  <c r="AB19" i="3"/>
  <c r="AB6" i="3"/>
  <c r="AB18" i="3"/>
  <c r="AB11" i="3"/>
  <c r="AB9" i="3"/>
  <c r="AB15" i="3"/>
  <c r="AB12" i="3"/>
  <c r="AB5" i="3"/>
  <c r="D27" i="1" l="1"/>
  <c r="E27" i="1" s="1"/>
  <c r="D28" i="1"/>
  <c r="E28" i="1" s="1"/>
  <c r="D29" i="1"/>
  <c r="E29" i="1" s="1"/>
  <c r="AC22" i="3" a="1"/>
  <c r="AC22" i="3" s="1"/>
  <c r="AD22" i="3" s="1"/>
  <c r="AC21" i="3" a="1"/>
  <c r="AC21" i="3" s="1"/>
  <c r="AD21" i="3" s="1"/>
  <c r="AC17" i="3" a="1"/>
  <c r="AC17" i="3" s="1"/>
  <c r="AC19" i="3" a="1"/>
  <c r="AC19" i="3" s="1"/>
  <c r="AC8" i="3" a="1"/>
  <c r="AC8" i="3" s="1"/>
  <c r="AC16" i="3" a="1"/>
  <c r="AC16" i="3" s="1"/>
  <c r="AC20" i="3" a="1"/>
  <c r="AC20" i="3" s="1"/>
  <c r="AC7" i="3" a="1"/>
  <c r="AC7" i="3" s="1"/>
  <c r="AC13" i="3" a="1"/>
  <c r="AC13" i="3" s="1"/>
  <c r="AC14" i="3" a="1"/>
  <c r="AC14" i="3" s="1"/>
  <c r="AC6" i="3" a="1"/>
  <c r="AC6" i="3" s="1"/>
  <c r="AC12" i="3" a="1"/>
  <c r="AC12" i="3" s="1"/>
  <c r="AC5" i="3" a="1"/>
  <c r="AC5" i="3" s="1"/>
  <c r="AC11" i="3" a="1"/>
  <c r="AC11" i="3" s="1"/>
  <c r="AC18" i="3" a="1"/>
  <c r="AC18" i="3" s="1"/>
  <c r="AC10" i="3" a="1"/>
  <c r="AC10" i="3" s="1"/>
  <c r="AC15" i="3" a="1"/>
  <c r="AC15" i="3" s="1"/>
  <c r="AC9" i="3" a="1"/>
  <c r="AC9" i="3" s="1"/>
  <c r="AE11" i="3" l="1"/>
  <c r="AE17" i="3"/>
  <c r="AE6" i="3"/>
  <c r="AE5" i="3"/>
  <c r="D30" i="1"/>
  <c r="F27" i="1" s="1"/>
  <c r="AE12" i="3"/>
  <c r="AE18" i="3"/>
  <c r="AE13" i="3"/>
  <c r="AE9" i="3"/>
  <c r="AE7" i="3"/>
  <c r="AE8" i="3"/>
  <c r="AE14" i="3"/>
  <c r="AE16" i="3"/>
  <c r="AE22" i="3"/>
  <c r="AF22" i="3" s="1"/>
  <c r="AG22" i="3" s="1"/>
  <c r="AH22" i="3" s="1"/>
  <c r="T28" i="4" s="1"/>
  <c r="AE19" i="3"/>
  <c r="AE21" i="3"/>
  <c r="AF21" i="3" s="1"/>
  <c r="AG21" i="3" s="1"/>
  <c r="AH21" i="3" s="1"/>
  <c r="T27" i="4" s="1"/>
  <c r="AE15" i="3"/>
  <c r="AE20" i="3"/>
  <c r="AE10" i="3"/>
  <c r="E30" i="1"/>
  <c r="AD8" i="3"/>
  <c r="AD10" i="3"/>
  <c r="AD5" i="3"/>
  <c r="AD13" i="3"/>
  <c r="AD18" i="3"/>
  <c r="AD12" i="3"/>
  <c r="AD7" i="3"/>
  <c r="AD19" i="3"/>
  <c r="AD15" i="3"/>
  <c r="AD6" i="3"/>
  <c r="AD20" i="3"/>
  <c r="AD17" i="3"/>
  <c r="AD9" i="3"/>
  <c r="AD11" i="3"/>
  <c r="AD14" i="3"/>
  <c r="AD16" i="3"/>
  <c r="F29" i="1" l="1"/>
  <c r="U28" i="4"/>
  <c r="U27" i="4"/>
  <c r="AF8" i="3"/>
  <c r="AG8" i="3" s="1"/>
  <c r="AH8" i="3" s="1"/>
  <c r="T14" i="4" s="1"/>
  <c r="F28" i="1"/>
  <c r="AF6" i="3"/>
  <c r="AG6" i="3" s="1"/>
  <c r="AH6" i="3" s="1"/>
  <c r="AF5" i="3"/>
  <c r="AF16" i="3"/>
  <c r="AG16" i="3" s="1"/>
  <c r="AH16" i="3" s="1"/>
  <c r="AF11" i="3"/>
  <c r="AG11" i="3" s="1"/>
  <c r="AH11" i="3" s="1"/>
  <c r="AF9" i="3"/>
  <c r="AG9" i="3" s="1"/>
  <c r="AH9" i="3" s="1"/>
  <c r="AF20" i="3"/>
  <c r="AG20" i="3" s="1"/>
  <c r="AH20" i="3" s="1"/>
  <c r="V28" i="4"/>
  <c r="Z28" i="4" s="1"/>
  <c r="AF19" i="3"/>
  <c r="AG19" i="3" s="1"/>
  <c r="AH19" i="3" s="1"/>
  <c r="AF12" i="3"/>
  <c r="AG12" i="3" s="1"/>
  <c r="AH12" i="3" s="1"/>
  <c r="AF14" i="3"/>
  <c r="AG14" i="3" s="1"/>
  <c r="AH14" i="3" s="1"/>
  <c r="AF17" i="3"/>
  <c r="AG17" i="3" s="1"/>
  <c r="AH17" i="3" s="1"/>
  <c r="AF15" i="3"/>
  <c r="AG15" i="3" s="1"/>
  <c r="AH15" i="3" s="1"/>
  <c r="AF7" i="3"/>
  <c r="AG7" i="3" s="1"/>
  <c r="AH7" i="3" s="1"/>
  <c r="AF18" i="3"/>
  <c r="AG18" i="3" s="1"/>
  <c r="AH18" i="3" s="1"/>
  <c r="AF13" i="3"/>
  <c r="AG13" i="3" s="1"/>
  <c r="AH13" i="3" s="1"/>
  <c r="AF10" i="3"/>
  <c r="AG10" i="3" s="1"/>
  <c r="AH10" i="3" s="1"/>
  <c r="V27" i="4" l="1"/>
  <c r="E23" i="11"/>
  <c r="J23" i="11" s="1"/>
  <c r="L23" i="11" s="1"/>
  <c r="M23" i="11" s="1"/>
  <c r="U14" i="4"/>
  <c r="T13" i="4"/>
  <c r="T20" i="4"/>
  <c r="T26" i="4"/>
  <c r="T24" i="4"/>
  <c r="T16" i="4"/>
  <c r="T21" i="4"/>
  <c r="T18" i="4"/>
  <c r="T15" i="4"/>
  <c r="T12" i="4"/>
  <c r="T19" i="4"/>
  <c r="T23" i="4"/>
  <c r="T25" i="4"/>
  <c r="T17" i="4"/>
  <c r="T22" i="4"/>
  <c r="AF23" i="3"/>
  <c r="AG23" i="3" s="1"/>
  <c r="AG5" i="3"/>
  <c r="E22" i="11" l="1"/>
  <c r="J22" i="11" s="1"/>
  <c r="K22" i="11" s="1"/>
  <c r="Z27" i="4"/>
  <c r="K23" i="11"/>
  <c r="V14" i="4"/>
  <c r="Z14" i="4" s="1"/>
  <c r="U12" i="4"/>
  <c r="U16" i="4"/>
  <c r="U13" i="4"/>
  <c r="V13" i="4" s="1"/>
  <c r="Z13" i="4" s="1"/>
  <c r="U25" i="4"/>
  <c r="U15" i="4"/>
  <c r="V15" i="4" s="1"/>
  <c r="Z15" i="4" s="1"/>
  <c r="U24" i="4"/>
  <c r="U17" i="4"/>
  <c r="U18" i="4"/>
  <c r="U26" i="4"/>
  <c r="U23" i="4"/>
  <c r="V23" i="4" s="1"/>
  <c r="Z23" i="4" s="1"/>
  <c r="U22" i="4"/>
  <c r="V22" i="4" s="1"/>
  <c r="Z22" i="4" s="1"/>
  <c r="U19" i="4"/>
  <c r="V19" i="4" s="1"/>
  <c r="Z19" i="4" s="1"/>
  <c r="U21" i="4"/>
  <c r="U20" i="4"/>
  <c r="AH5" i="3"/>
  <c r="AH23" i="3" s="1"/>
  <c r="AI22" i="3" a="1"/>
  <c r="AI22" i="3" s="1"/>
  <c r="AI21" i="3" a="1"/>
  <c r="AI21" i="3" s="1"/>
  <c r="AI18" i="3" a="1"/>
  <c r="AI18" i="3" s="1"/>
  <c r="AI13" i="3" a="1"/>
  <c r="AI13" i="3" s="1"/>
  <c r="AI12" i="3" a="1"/>
  <c r="AI12" i="3" s="1"/>
  <c r="AI14" i="3" a="1"/>
  <c r="AI14" i="3" s="1"/>
  <c r="AI19" i="3" a="1"/>
  <c r="AI19" i="3" s="1"/>
  <c r="AI7" i="3" a="1"/>
  <c r="AI7" i="3" s="1"/>
  <c r="AI15" i="3" a="1"/>
  <c r="AI15" i="3" s="1"/>
  <c r="AI8" i="3" a="1"/>
  <c r="AI8" i="3" s="1"/>
  <c r="AI9" i="3" a="1"/>
  <c r="AI9" i="3" s="1"/>
  <c r="AI10" i="3" a="1"/>
  <c r="AI10" i="3" s="1"/>
  <c r="AI11" i="3" a="1"/>
  <c r="AI11" i="3" s="1"/>
  <c r="AI6" i="3" a="1"/>
  <c r="AI6" i="3" s="1"/>
  <c r="AI20" i="3" a="1"/>
  <c r="AI20" i="3" s="1"/>
  <c r="AI17" i="3" a="1"/>
  <c r="AI17" i="3" s="1"/>
  <c r="AI5" i="3" a="1"/>
  <c r="AI5" i="3" s="1"/>
  <c r="AI16" i="3" a="1"/>
  <c r="AI16" i="3" s="1"/>
  <c r="L22" i="11" l="1"/>
  <c r="M22" i="11" s="1"/>
  <c r="E9" i="11"/>
  <c r="J9" i="11" s="1"/>
  <c r="L9" i="11" s="1"/>
  <c r="M9" i="11" s="1"/>
  <c r="E17" i="11"/>
  <c r="J17" i="11" s="1"/>
  <c r="L17" i="11" s="1"/>
  <c r="M17" i="11" s="1"/>
  <c r="E10" i="11"/>
  <c r="J10" i="11" s="1"/>
  <c r="E8" i="11"/>
  <c r="J8" i="11" s="1"/>
  <c r="L8" i="11" s="1"/>
  <c r="M8" i="11" s="1"/>
  <c r="V12" i="4"/>
  <c r="V26" i="4"/>
  <c r="E14" i="11"/>
  <c r="J14" i="11" s="1"/>
  <c r="E18" i="11"/>
  <c r="J18" i="11" s="1"/>
  <c r="V17" i="4"/>
  <c r="V21" i="4"/>
  <c r="V18" i="4"/>
  <c r="V16" i="4"/>
  <c r="V25" i="4"/>
  <c r="Z25" i="4" s="1"/>
  <c r="V24" i="4"/>
  <c r="V20" i="4"/>
  <c r="T11" i="4"/>
  <c r="AI23" i="3"/>
  <c r="K9" i="11" l="1"/>
  <c r="E7" i="11"/>
  <c r="J7" i="11" s="1"/>
  <c r="K7" i="11" s="1"/>
  <c r="Z12" i="4"/>
  <c r="E12" i="11"/>
  <c r="J12" i="11" s="1"/>
  <c r="L12" i="11" s="1"/>
  <c r="M12" i="11" s="1"/>
  <c r="Z17" i="4"/>
  <c r="E19" i="11"/>
  <c r="J19" i="11" s="1"/>
  <c r="L19" i="11" s="1"/>
  <c r="M19" i="11" s="1"/>
  <c r="Z24" i="4"/>
  <c r="E16" i="11"/>
  <c r="J16" i="11" s="1"/>
  <c r="K16" i="11" s="1"/>
  <c r="Z21" i="4"/>
  <c r="E11" i="11"/>
  <c r="J11" i="11" s="1"/>
  <c r="L11" i="11" s="1"/>
  <c r="M11" i="11" s="1"/>
  <c r="Z16" i="4"/>
  <c r="E15" i="11"/>
  <c r="J15" i="11" s="1"/>
  <c r="L15" i="11" s="1"/>
  <c r="M15" i="11" s="1"/>
  <c r="Z20" i="4"/>
  <c r="E13" i="11"/>
  <c r="J13" i="11" s="1"/>
  <c r="L13" i="11" s="1"/>
  <c r="M13" i="11" s="1"/>
  <c r="Z18" i="4"/>
  <c r="E21" i="11"/>
  <c r="J21" i="11" s="1"/>
  <c r="L21" i="11" s="1"/>
  <c r="M21" i="11" s="1"/>
  <c r="Z26" i="4"/>
  <c r="L14" i="11"/>
  <c r="M14" i="11" s="1"/>
  <c r="K14" i="11"/>
  <c r="L10" i="11"/>
  <c r="M10" i="11" s="1"/>
  <c r="K10" i="11"/>
  <c r="K18" i="11"/>
  <c r="L18" i="11"/>
  <c r="M18" i="11" s="1"/>
  <c r="E20" i="11"/>
  <c r="J20" i="11" s="1"/>
  <c r="U11" i="4"/>
  <c r="L7" i="11"/>
  <c r="M7" i="11" s="1"/>
  <c r="K8" i="11"/>
  <c r="K17" i="11"/>
  <c r="T29" i="4"/>
  <c r="K11" i="11" l="1"/>
  <c r="K12" i="11"/>
  <c r="K15" i="11"/>
  <c r="K21" i="11"/>
  <c r="L16" i="11"/>
  <c r="M16" i="11" s="1"/>
  <c r="K13" i="11"/>
  <c r="K19" i="11"/>
  <c r="L20" i="11"/>
  <c r="M20" i="11" s="1"/>
  <c r="K20" i="11"/>
  <c r="V11" i="4"/>
  <c r="E6" i="11" s="1"/>
  <c r="J6" i="11" s="1"/>
  <c r="U29" i="4"/>
  <c r="V29" i="4" l="1"/>
  <c r="W24" i="4" s="1"/>
  <c r="Z11" i="4"/>
  <c r="K6" i="11"/>
  <c r="E24" i="11"/>
  <c r="W16" i="4"/>
  <c r="W17" i="4"/>
  <c r="W11" i="4"/>
  <c r="W12" i="4" l="1"/>
  <c r="W23" i="4"/>
  <c r="W14" i="4"/>
  <c r="W25" i="4"/>
  <c r="W21" i="4"/>
  <c r="W27" i="4"/>
  <c r="W26" i="4"/>
  <c r="W19" i="4"/>
  <c r="W18" i="4"/>
  <c r="W22" i="4"/>
  <c r="W28" i="4"/>
  <c r="W13" i="4"/>
  <c r="W15" i="4"/>
  <c r="W20" i="4"/>
  <c r="Z29" i="4"/>
  <c r="AA11" i="4" s="1"/>
  <c r="J24" i="11"/>
  <c r="J25" i="11" s="1"/>
  <c r="J26" i="11" s="1"/>
  <c r="L6" i="11"/>
  <c r="M6" i="11" s="1"/>
  <c r="F6" i="11"/>
  <c r="F9" i="11"/>
  <c r="F22" i="11"/>
  <c r="F11" i="11"/>
  <c r="F21" i="11"/>
  <c r="F18" i="11"/>
  <c r="F16" i="11"/>
  <c r="F8" i="11"/>
  <c r="F13" i="11"/>
  <c r="F17" i="11"/>
  <c r="F20" i="11"/>
  <c r="F19" i="11"/>
  <c r="F12" i="11"/>
  <c r="F14" i="11"/>
  <c r="F23" i="11"/>
  <c r="F7" i="11"/>
  <c r="F15" i="11"/>
  <c r="F10" i="11"/>
  <c r="AA28" i="4" l="1"/>
  <c r="AA14" i="4"/>
  <c r="AA19" i="4"/>
  <c r="AA22" i="4"/>
  <c r="AA23" i="4"/>
  <c r="AA15" i="4"/>
  <c r="AA13" i="4"/>
  <c r="AA27" i="4"/>
  <c r="AA25" i="4"/>
  <c r="AA20" i="4"/>
  <c r="AA24" i="4"/>
  <c r="AA17" i="4"/>
  <c r="AA26" i="4"/>
  <c r="AA21" i="4"/>
  <c r="AA16" i="4"/>
  <c r="AA12" i="4"/>
  <c r="AA18" i="4"/>
  <c r="W29" i="4"/>
  <c r="L24" i="11"/>
  <c r="F24" i="11"/>
  <c r="AA29" i="4" l="1"/>
</calcChain>
</file>

<file path=xl/sharedStrings.xml><?xml version="1.0" encoding="utf-8"?>
<sst xmlns="http://schemas.openxmlformats.org/spreadsheetml/2006/main" count="618" uniqueCount="257">
  <si>
    <t>Total general</t>
  </si>
  <si>
    <t>Cod</t>
  </si>
  <si>
    <t>UCH</t>
  </si>
  <si>
    <t>USA</t>
  </si>
  <si>
    <t>UVA</t>
  </si>
  <si>
    <t>TAL</t>
  </si>
  <si>
    <t>FRO</t>
  </si>
  <si>
    <t>ULS</t>
  </si>
  <si>
    <t>UBB</t>
  </si>
  <si>
    <t>ANT</t>
  </si>
  <si>
    <t>UTA</t>
  </si>
  <si>
    <t>Institución</t>
  </si>
  <si>
    <t>UNIVERSIDAD DE CHILE</t>
  </si>
  <si>
    <t>UNIVERSIDAD DE SANTIAGO DE CHILE</t>
  </si>
  <si>
    <t>UNIVERSIDAD DE VALPARAÍSO</t>
  </si>
  <si>
    <t>UNIVERSIDAD DE TALCA</t>
  </si>
  <si>
    <t>UNIVERSIDAD DE LA FRONTERA</t>
  </si>
  <si>
    <t>UNIVERSIDAD DE LA SERENA</t>
  </si>
  <si>
    <t>UNIVERSIDAD DEL BÍO-BÍO</t>
  </si>
  <si>
    <t>UNIVERSIDAD DE ANTOFAGASTA</t>
  </si>
  <si>
    <t>UNIVERSIDAD DE TARAPACÁ</t>
  </si>
  <si>
    <t>Tipo IES</t>
  </si>
  <si>
    <t>CRUCH-ESTATAL</t>
  </si>
  <si>
    <t>UAP</t>
  </si>
  <si>
    <t>ATA</t>
  </si>
  <si>
    <t>ULA</t>
  </si>
  <si>
    <t>MAG</t>
  </si>
  <si>
    <t>UPA</t>
  </si>
  <si>
    <t>UMC</t>
  </si>
  <si>
    <t>UTM</t>
  </si>
  <si>
    <t>UNIVERSIDAD ARTURO PRAT</t>
  </si>
  <si>
    <t>UNIVERSIDAD DE ATACAMA</t>
  </si>
  <si>
    <t>UNIVERSIDAD DE LOS LAGOS</t>
  </si>
  <si>
    <t>UNIVERSIDAD DE MAGALLANES</t>
  </si>
  <si>
    <t>UNIVERSIDAD DE PLAYA ANCHA CS. EDUCACIÓN</t>
  </si>
  <si>
    <t>UNIVERSIDAD METROPOLITANA DE CS.DE LA EDUCACIÓN</t>
  </si>
  <si>
    <t>UNIVERSIDAD TECNOLÓGICA METROPOLITANA</t>
  </si>
  <si>
    <t>Total Conjunto</t>
  </si>
  <si>
    <t>Ind+Conj &gt;=5 años</t>
  </si>
  <si>
    <t>Categorías</t>
  </si>
  <si>
    <t>1/2</t>
  </si>
  <si>
    <t>3/4</t>
  </si>
  <si>
    <t>(3+5+6)/4</t>
  </si>
  <si>
    <t>7/4</t>
  </si>
  <si>
    <t>7/3</t>
  </si>
  <si>
    <t>(8/9)</t>
  </si>
  <si>
    <t>10/11</t>
  </si>
  <si>
    <t>12/13</t>
  </si>
  <si>
    <t>14/15</t>
  </si>
  <si>
    <t>a) N° Académicos JC por cada 100 matriculados</t>
  </si>
  <si>
    <t>b) Porcentaje de Ac con Doc respecto a JCE</t>
  </si>
  <si>
    <t>c) Porcentaje de Ac con Esp. Méd., Mg o Doc respecto a JCE</t>
  </si>
  <si>
    <t>d) N° Publicaciones Scopus por JCE</t>
  </si>
  <si>
    <t>e) N° Publicaciones Scopus por JCE con Doc.</t>
  </si>
  <si>
    <t>f) Promedio de citas por publicación quinquenio</t>
  </si>
  <si>
    <t>g) Porcentaje de est. 1er año Q1, Q2, Q3 respecto al total de alumnos de 1er año</t>
  </si>
  <si>
    <t>h) Porcentaje de retención primer año pregrado</t>
  </si>
  <si>
    <t>i) Tasa de titulación respecto a alumnos 1er año de la promoción</t>
  </si>
  <si>
    <t>j) Tasa de graduación programas doctorado</t>
  </si>
  <si>
    <t>k) N° Patentes solicitadas PCT por JCE</t>
  </si>
  <si>
    <t>Resultado i/Resultado Máximo</t>
  </si>
  <si>
    <t>Concatenado</t>
  </si>
  <si>
    <t>Ajustes</t>
  </si>
  <si>
    <t>Promedio</t>
  </si>
  <si>
    <t>Ponderación</t>
  </si>
  <si>
    <t>Montos Categorías</t>
  </si>
  <si>
    <t>CRUCH-ESTATALCategoría I</t>
  </si>
  <si>
    <t>CRUCH-ESTATALCategoría II</t>
  </si>
  <si>
    <t>CRUCH-ESTATALCategoría III</t>
  </si>
  <si>
    <t>Factor</t>
  </si>
  <si>
    <t>Concatenar</t>
  </si>
  <si>
    <t>N° IES</t>
  </si>
  <si>
    <t>Montos</t>
  </si>
  <si>
    <t>Estatal</t>
  </si>
  <si>
    <t>M$</t>
  </si>
  <si>
    <t>Monto Categ</t>
  </si>
  <si>
    <t>Pedagogías</t>
  </si>
  <si>
    <t>AFI 2016</t>
  </si>
  <si>
    <t>Acreditación</t>
  </si>
  <si>
    <t>Total Elemento Mixto</t>
  </si>
  <si>
    <t>Elemento Desempeño</t>
  </si>
  <si>
    <t>% Por tipo de IES</t>
  </si>
  <si>
    <t>Monto por Tipo IES-Categoría</t>
  </si>
  <si>
    <t>Suma Promedio por Tipo IES-Categoría</t>
  </si>
  <si>
    <t>Total por IES</t>
  </si>
  <si>
    <t>Redondear por IES</t>
  </si>
  <si>
    <t>Ajustado por IES</t>
  </si>
  <si>
    <t>16/19</t>
  </si>
  <si>
    <t>(20+21)/4)</t>
  </si>
  <si>
    <t>Redondear</t>
  </si>
  <si>
    <t>% por IES</t>
  </si>
  <si>
    <t>TOTAL MAT PhD 2011</t>
  </si>
  <si>
    <t>U. DE O'HIGGINS</t>
  </si>
  <si>
    <t>URO</t>
  </si>
  <si>
    <t>U. DE AYSÉN</t>
  </si>
  <si>
    <t>URY</t>
  </si>
  <si>
    <t>Categoría III</t>
  </si>
  <si>
    <t>Reajuste AFI</t>
  </si>
  <si>
    <t>Tutoras
Universidades
M$</t>
  </si>
  <si>
    <t>Tutoras
CFT
M$</t>
  </si>
  <si>
    <t>Oferta Pedagogía 
M$</t>
  </si>
  <si>
    <t>Indicadores Pedagogía
M$</t>
  </si>
  <si>
    <t>TOTAL Mejoramiento Pedagogía
M$</t>
  </si>
  <si>
    <t>Tutora Universidades</t>
  </si>
  <si>
    <t>Tutora CFT</t>
  </si>
  <si>
    <t>Tipos IES</t>
  </si>
  <si>
    <t>TOTAL MAT PhD 2012</t>
  </si>
  <si>
    <t>Solicitud_ pat_nac_2016</t>
  </si>
  <si>
    <t>Complejidad Institucional</t>
  </si>
  <si>
    <t>Porcentaje</t>
  </si>
  <si>
    <t>Monto</t>
  </si>
  <si>
    <t>Monto Publicaciones</t>
  </si>
  <si>
    <t>Acreditación Institucional M$</t>
  </si>
  <si>
    <t>Académicos JC con Doctorado M$</t>
  </si>
  <si>
    <t>Programas Doctorado Acreditado M$</t>
  </si>
  <si>
    <t>Acreditación Investigación</t>
  </si>
  <si>
    <t>UNIVERSIDAD DE PLAYA ANCHA DE CIENCIAS DE LA EDUCACIÓN</t>
  </si>
  <si>
    <t>UNIVERSIDAD METROPOLITANA DE CIENCIAS DE LA EDUCACIÓN</t>
  </si>
  <si>
    <t>Acreditación Todas las Áreas</t>
  </si>
  <si>
    <t>Años Acreditación Institucional</t>
  </si>
  <si>
    <t>Puntaje Acreditación Investigación</t>
  </si>
  <si>
    <t>Puntaje Acreditación Todas las Áreas</t>
  </si>
  <si>
    <t>Puntaje Años Acreditación</t>
  </si>
  <si>
    <t>Suma Puntajes</t>
  </si>
  <si>
    <t>Monto por IES</t>
  </si>
  <si>
    <t>Porcentaje por IES</t>
  </si>
  <si>
    <t>UNIVERSIDAD DE TARAPACA</t>
  </si>
  <si>
    <t>UNIVERSIDAD DE VALPARAISO</t>
  </si>
  <si>
    <t>UNIVERSIDAD DEL BIO-BIO</t>
  </si>
  <si>
    <t>UNIVERSIDAD DE PLAYA ANCHA DE CIENCIAS DE LA EDUCACION</t>
  </si>
  <si>
    <t>UNIVERSIDAD METROPOLITANA DE CIENCIAS DE LA EDUCACION</t>
  </si>
  <si>
    <t>UNIVERSIDAD TECNOLOGICA METROPOLITANA</t>
  </si>
  <si>
    <t>Monto Acreditaciones</t>
  </si>
  <si>
    <t>Monto Académicos JC Doctorado</t>
  </si>
  <si>
    <t>N° Doctorados Acreditados</t>
  </si>
  <si>
    <t>N° Matrícula Regular Pregrado</t>
  </si>
  <si>
    <t>UNIVERSIDAD DE O'HIGGINS</t>
  </si>
  <si>
    <t>UNIVERSIDAD DE AYSÉN</t>
  </si>
  <si>
    <t>AFI 2016 Reajustado</t>
  </si>
  <si>
    <t>% Saldo respecto a la Universidad</t>
  </si>
  <si>
    <t>N° Scopus 2017</t>
  </si>
  <si>
    <t>N° Doc JC 2018</t>
  </si>
  <si>
    <t>N° Acad. JC 2018</t>
  </si>
  <si>
    <t>Doctorado Conjunto Años Acreditación</t>
  </si>
  <si>
    <t>Doctorado Individual Años Acreditación</t>
  </si>
  <si>
    <t>Total individual</t>
  </si>
  <si>
    <t>Total General</t>
  </si>
  <si>
    <t>N° Doctorados Acreditados individuales</t>
  </si>
  <si>
    <t>N° Doctorados Acreditados Conjunto 5 años o más</t>
  </si>
  <si>
    <t>Conj &gt;=5 años</t>
  </si>
  <si>
    <t>JC_2017</t>
  </si>
  <si>
    <t>MAT_2017</t>
  </si>
  <si>
    <t>JCE Doctor 2017</t>
  </si>
  <si>
    <t>JCE 2017</t>
  </si>
  <si>
    <t>JCE Magister 2017</t>
  </si>
  <si>
    <t>JCE Esp. Med._Odont. 2017</t>
  </si>
  <si>
    <t>Publicaciones  (citables)
2017</t>
  </si>
  <si>
    <t>Citas 2013_2017</t>
  </si>
  <si>
    <t>Publicaciones 2013-2017 (citables)</t>
  </si>
  <si>
    <t>Q1_Q2_Q3_MAT_1año_2017</t>
  </si>
  <si>
    <t>MAT_1año_2017(g)</t>
  </si>
  <si>
    <t>MAT_2016_Ret_1er_enMAT_2017</t>
  </si>
  <si>
    <t>MAT_1año_2016(h)</t>
  </si>
  <si>
    <t>MAT_2014_Ret_4to_enMAT_2017</t>
  </si>
  <si>
    <t>MAT_1año_2014(i)</t>
  </si>
  <si>
    <t>TOTAL MAT PhD 2013</t>
  </si>
  <si>
    <t>Grad_PhD_2013 al_2017</t>
  </si>
  <si>
    <t>Solicitud_ pat_nac_2017</t>
  </si>
  <si>
    <t>Transferencias Corrientes</t>
  </si>
  <si>
    <t>Transferencias de Capital</t>
  </si>
  <si>
    <t>Presupuesto 2019</t>
  </si>
  <si>
    <t>Santiago, febrero 2019</t>
  </si>
  <si>
    <t>AIUE-Universidades Estatales</t>
  </si>
  <si>
    <t>Distribución Recursos AIUE 2019</t>
  </si>
  <si>
    <t>CÁLCULO AIUE, CATEGORÍAS</t>
  </si>
  <si>
    <t>Indicadores y Montos AIUE</t>
  </si>
  <si>
    <t>a)</t>
  </si>
  <si>
    <t>a.1)</t>
  </si>
  <si>
    <t>a.2)</t>
  </si>
  <si>
    <t>a.3)</t>
  </si>
  <si>
    <t>a.4)</t>
  </si>
  <si>
    <t>b)</t>
  </si>
  <si>
    <t>c)</t>
  </si>
  <si>
    <t>b.1)</t>
  </si>
  <si>
    <t>b.2)</t>
  </si>
  <si>
    <t>b.3)</t>
  </si>
  <si>
    <t>b.4)</t>
  </si>
  <si>
    <t>b.5)</t>
  </si>
  <si>
    <t>b.6)</t>
  </si>
  <si>
    <t>b.7)</t>
  </si>
  <si>
    <t>b.8)</t>
  </si>
  <si>
    <t>c.1)</t>
  </si>
  <si>
    <t>c.2)</t>
  </si>
  <si>
    <t>c.3)</t>
  </si>
  <si>
    <t>c.4)</t>
  </si>
  <si>
    <t>d.1)</t>
  </si>
  <si>
    <t>d.2)</t>
  </si>
  <si>
    <t>d.3)</t>
  </si>
  <si>
    <t>d.4)</t>
  </si>
  <si>
    <t>e.1)</t>
  </si>
  <si>
    <t>e.2)</t>
  </si>
  <si>
    <t>e.3)</t>
  </si>
  <si>
    <t>e.4)</t>
  </si>
  <si>
    <t>f.1)</t>
  </si>
  <si>
    <t>f.2)</t>
  </si>
  <si>
    <t>f.3)</t>
  </si>
  <si>
    <t>f.4)</t>
  </si>
  <si>
    <t>N° Publicaciones 2017</t>
  </si>
  <si>
    <t>a) (N° Ac. JC 2017/Mat Total 2017)*100</t>
  </si>
  <si>
    <t>b) (N° JCE Doc 2017/JCE 2017)</t>
  </si>
  <si>
    <t>c) ((N° JCE Doc 2017+N° JCE Mg 2017+N° JCE Esp Med 2017)/JCE 2017)</t>
  </si>
  <si>
    <t>d) N° Public. Scopus 2017/JCE 2017</t>
  </si>
  <si>
    <t>e) N° Public. Scopus 2017/N° JCE Doc 2017</t>
  </si>
  <si>
    <t>f) (N° Citas 2013-2017)/(N° Public. Scopus 2013-2017)</t>
  </si>
  <si>
    <t>g) (N° Est 1er año Q1, Q2, Q3 2017/Mat 1er nivel 2017)</t>
  </si>
  <si>
    <t>h) (Mat 1er nivel 2016 Retenida 2017/Mat 1er nivel 2016)</t>
  </si>
  <si>
    <t>i) (Mat Ret 4° Año 2017/Mat 1er año 2014)</t>
  </si>
  <si>
    <t>j) Mat Graduados 2017 Doctorados/Mat 1er año 2013 Doctorados</t>
  </si>
  <si>
    <t>k) (N° Patentes solicitadas PCT 2017 +2016)*1000/(JCE 2017))</t>
  </si>
  <si>
    <t>AIUE 2019</t>
  </si>
  <si>
    <t>Decreto N° 6
 10 enero 2019</t>
  </si>
  <si>
    <t>AIUE</t>
  </si>
  <si>
    <t>Complejidad Institucional AIUE 25%</t>
  </si>
  <si>
    <t>Unidad de Análisis, DFI</t>
  </si>
  <si>
    <t>Cod_DFI</t>
  </si>
  <si>
    <t>Total</t>
  </si>
  <si>
    <t>Detalle</t>
  </si>
  <si>
    <t>Total AIUE</t>
  </si>
  <si>
    <t>Total Asignación TITULO I
M$</t>
  </si>
  <si>
    <t>ADELANTO  TITULO I
AIUE 2019
50%</t>
  </si>
  <si>
    <t>Título I</t>
  </si>
  <si>
    <t>Título II</t>
  </si>
  <si>
    <t>Presupuesto  
2019</t>
  </si>
  <si>
    <t>Santiago, 30 de agosto de 2019</t>
  </si>
  <si>
    <t>30 de agosto de 2019</t>
  </si>
  <si>
    <t>AIUE Titulo I</t>
  </si>
  <si>
    <t>Anticipo de 50% Título I (Sin Calidad)</t>
  </si>
  <si>
    <t>Título II Calidad</t>
  </si>
  <si>
    <t>TITULO  I</t>
  </si>
  <si>
    <t>TITULO II</t>
  </si>
  <si>
    <t>Total Asignación TITULO II
M$</t>
  </si>
  <si>
    <t>Total Asignación TITULO I
Redondeado
M$</t>
  </si>
  <si>
    <t>Total Asignación AIUE 2019
M$</t>
  </si>
  <si>
    <t>SALDO
 TITULO I
AIUE 2019
 M$</t>
  </si>
  <si>
    <t>A) Elemento Mixto</t>
  </si>
  <si>
    <t>B) Elemento Mejoramiento de las Pedagogías M$</t>
  </si>
  <si>
    <t>C) Elemento de Desempeño</t>
  </si>
  <si>
    <t>Desempeño
M$</t>
  </si>
  <si>
    <t>Miles de pesos</t>
  </si>
  <si>
    <t>Académicos Jornada Completa 
M$</t>
  </si>
  <si>
    <t>Matrícula Regular Pregrado
 M$</t>
  </si>
  <si>
    <t>Total Complejidad
M$</t>
  </si>
  <si>
    <t>Total Elemento Mixto
M$</t>
  </si>
  <si>
    <t>AFI 2016
M$</t>
  </si>
  <si>
    <t>Titulo I
AIUE 2019</t>
  </si>
  <si>
    <t>AFI 2016 Reajustado 3,5%
M$</t>
  </si>
  <si>
    <t>Publicaciones 
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</si>
</sst>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64" formatCode="_-* #,##0.00_-;\-* #,##0.00_-;_-* &quot;-&quot;??_-;_-@_-"/>
    <numFmt numFmtId="165" formatCode="0.00000"/>
    <numFmt numFmtId="166" formatCode="_-* #,##0_-;\-* #,##0_-;_-* &quot;-&quot;??_-;_-@_-"/>
    <numFmt numFmtId="167" formatCode="0.000000"/>
    <numFmt numFmtId="168" formatCode="0.0000000"/>
    <numFmt numFmtId="169" formatCode="_-* #,##0.0000_-;\-* #,##0.0000_-;_-* &quot;-&quot;??_-;_-@_-"/>
    <numFmt numFmtId="170" formatCode="_-* #,##0.0000_-;\-* #,##0.0000_-;_-* &quot;-&quot;????_-;_-@_-"/>
    <numFmt numFmtId="171" formatCode="_-* #,##0.00\ _€_-;\-* #,##0.00\ _€_-;_-* &quot;-&quot;??\ _€_-;_-@_-"/>
    <numFmt numFmtId="172" formatCode="_-* #,##0.0_-;\-* #,##0.0_-;_-* &quot;-&quot;??_-;_-@_-"/>
    <numFmt numFmtId="173" formatCode="#,##0.0"/>
    <numFmt numFmtId="174" formatCode="_ * #,##0.0_ ;_ * \-#,##0.0_ ;_ * &quot;-&quot;?_ ;_ @_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0"/>
      <color theme="4" tint="0.5999938962981048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4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6" fontId="1" fillId="0" borderId="0" xfId="3" applyNumberFormat="1" applyFont="1"/>
    <xf numFmtId="166" fontId="6" fillId="0" borderId="0" xfId="3" applyNumberFormat="1" applyFont="1"/>
    <xf numFmtId="0" fontId="6" fillId="0" borderId="0" xfId="0" applyFont="1"/>
    <xf numFmtId="0" fontId="6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2" fillId="5" borderId="0" xfId="0" applyNumberFormat="1" applyFont="1" applyFill="1" applyAlignment="1">
      <alignment horizontal="center" wrapText="1"/>
    </xf>
    <xf numFmtId="166" fontId="2" fillId="5" borderId="0" xfId="3" applyNumberFormat="1" applyFont="1" applyFill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0" xfId="0" applyFont="1"/>
    <xf numFmtId="166" fontId="0" fillId="0" borderId="0" xfId="0" applyNumberFormat="1"/>
    <xf numFmtId="0" fontId="1" fillId="0" borderId="1" xfId="0" applyFont="1" applyBorder="1" applyAlignment="1">
      <alignment wrapText="1"/>
    </xf>
    <xf numFmtId="10" fontId="1" fillId="0" borderId="1" xfId="0" applyNumberFormat="1" applyFont="1" applyBorder="1"/>
    <xf numFmtId="166" fontId="1" fillId="0" borderId="1" xfId="3" applyNumberFormat="1" applyFont="1" applyBorder="1"/>
    <xf numFmtId="10" fontId="2" fillId="5" borderId="0" xfId="4" applyNumberFormat="1" applyFont="1" applyFill="1" applyAlignment="1">
      <alignment horizontal="center" wrapText="1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1" fillId="7" borderId="3" xfId="0" applyFont="1" applyFill="1" applyBorder="1"/>
    <xf numFmtId="0" fontId="1" fillId="7" borderId="0" xfId="0" applyFont="1" applyFill="1"/>
    <xf numFmtId="0" fontId="2" fillId="7" borderId="0" xfId="0" applyFont="1" applyFill="1"/>
    <xf numFmtId="0" fontId="2" fillId="9" borderId="3" xfId="0" applyFont="1" applyFill="1" applyBorder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9" borderId="5" xfId="0" applyFont="1" applyFill="1" applyBorder="1" applyAlignment="1">
      <alignment horizontal="center" wrapText="1"/>
    </xf>
    <xf numFmtId="165" fontId="2" fillId="10" borderId="0" xfId="0" applyNumberFormat="1" applyFont="1" applyFill="1" applyAlignment="1">
      <alignment horizontal="center" wrapText="1"/>
    </xf>
    <xf numFmtId="165" fontId="2" fillId="10" borderId="5" xfId="0" applyNumberFormat="1" applyFont="1" applyFill="1" applyBorder="1" applyAlignment="1">
      <alignment horizont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167" fontId="2" fillId="5" borderId="0" xfId="0" applyNumberFormat="1" applyFont="1" applyFill="1" applyAlignment="1">
      <alignment horizontal="center" wrapText="1"/>
    </xf>
    <xf numFmtId="168" fontId="2" fillId="5" borderId="0" xfId="0" applyNumberFormat="1" applyFont="1" applyFill="1" applyAlignment="1">
      <alignment horizontal="center" wrapText="1"/>
    </xf>
    <xf numFmtId="1" fontId="0" fillId="0" borderId="0" xfId="0" applyNumberFormat="1"/>
    <xf numFmtId="165" fontId="0" fillId="0" borderId="0" xfId="0" applyNumberFormat="1"/>
    <xf numFmtId="0" fontId="6" fillId="0" borderId="0" xfId="0" applyFont="1" applyAlignment="1">
      <alignment horizontal="center"/>
    </xf>
    <xf numFmtId="166" fontId="1" fillId="6" borderId="1" xfId="3" applyNumberFormat="1" applyFont="1" applyFill="1" applyBorder="1"/>
    <xf numFmtId="0" fontId="1" fillId="0" borderId="1" xfId="0" applyFont="1" applyBorder="1"/>
    <xf numFmtId="166" fontId="2" fillId="15" borderId="1" xfId="3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0" xfId="0" applyFont="1" applyFill="1"/>
    <xf numFmtId="166" fontId="2" fillId="4" borderId="1" xfId="3" applyNumberFormat="1" applyFont="1" applyFill="1" applyBorder="1" applyAlignment="1">
      <alignment horizontal="center"/>
    </xf>
    <xf numFmtId="166" fontId="2" fillId="4" borderId="1" xfId="3" applyNumberFormat="1" applyFont="1" applyFill="1" applyBorder="1" applyAlignment="1">
      <alignment horizontal="center" vertical="center"/>
    </xf>
    <xf numFmtId="166" fontId="2" fillId="4" borderId="1" xfId="3" applyNumberFormat="1" applyFont="1" applyFill="1" applyBorder="1"/>
    <xf numFmtId="169" fontId="0" fillId="0" borderId="0" xfId="0" applyNumberFormat="1"/>
    <xf numFmtId="170" fontId="0" fillId="0" borderId="0" xfId="0" applyNumberFormat="1"/>
    <xf numFmtId="10" fontId="1" fillId="0" borderId="1" xfId="4" applyNumberFormat="1" applyFont="1" applyBorder="1"/>
    <xf numFmtId="166" fontId="1" fillId="0" borderId="1" xfId="0" applyNumberFormat="1" applyFont="1" applyBorder="1"/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10" fontId="7" fillId="0" borderId="1" xfId="4" applyNumberFormat="1" applyFont="1" applyBorder="1"/>
    <xf numFmtId="166" fontId="7" fillId="0" borderId="1" xfId="3" applyNumberFormat="1" applyFont="1" applyBorder="1"/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0" fontId="1" fillId="6" borderId="1" xfId="4" applyNumberFormat="1" applyFont="1" applyFill="1" applyBorder="1"/>
    <xf numFmtId="166" fontId="1" fillId="6" borderId="1" xfId="0" applyNumberFormat="1" applyFont="1" applyFill="1" applyBorder="1"/>
    <xf numFmtId="166" fontId="7" fillId="6" borderId="1" xfId="3" applyNumberFormat="1" applyFont="1" applyFill="1" applyBorder="1"/>
    <xf numFmtId="166" fontId="7" fillId="0" borderId="1" xfId="0" applyNumberFormat="1" applyFont="1" applyBorder="1"/>
    <xf numFmtId="166" fontId="7" fillId="4" borderId="1" xfId="3" applyNumberFormat="1" applyFont="1" applyFill="1" applyBorder="1"/>
    <xf numFmtId="10" fontId="7" fillId="4" borderId="2" xfId="4" applyNumberFormat="1" applyFont="1" applyFill="1" applyBorder="1"/>
    <xf numFmtId="166" fontId="7" fillId="4" borderId="1" xfId="4" applyNumberFormat="1" applyFont="1" applyFill="1" applyBorder="1"/>
    <xf numFmtId="0" fontId="1" fillId="0" borderId="2" xfId="0" applyFont="1" applyBorder="1"/>
    <xf numFmtId="0" fontId="7" fillId="4" borderId="1" xfId="0" applyFont="1" applyFill="1" applyBorder="1"/>
    <xf numFmtId="10" fontId="7" fillId="4" borderId="1" xfId="4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66" fontId="1" fillId="5" borderId="1" xfId="3" applyNumberFormat="1" applyFont="1" applyFill="1" applyBorder="1"/>
    <xf numFmtId="166" fontId="1" fillId="13" borderId="1" xfId="3" applyNumberFormat="1" applyFont="1" applyFill="1" applyBorder="1"/>
    <xf numFmtId="166" fontId="1" fillId="2" borderId="1" xfId="3" applyNumberFormat="1" applyFont="1" applyFill="1" applyBorder="1"/>
    <xf numFmtId="166" fontId="1" fillId="14" borderId="1" xfId="3" applyNumberFormat="1" applyFont="1" applyFill="1" applyBorder="1"/>
    <xf numFmtId="172" fontId="1" fillId="14" borderId="1" xfId="3" applyNumberFormat="1" applyFont="1" applyFill="1" applyBorder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6" fillId="0" borderId="8" xfId="0" applyFont="1" applyBorder="1"/>
    <xf numFmtId="0" fontId="1" fillId="0" borderId="9" xfId="0" applyFont="1" applyBorder="1"/>
    <xf numFmtId="0" fontId="0" fillId="0" borderId="9" xfId="0" applyBorder="1"/>
    <xf numFmtId="166" fontId="6" fillId="6" borderId="9" xfId="3" applyNumberFormat="1" applyFont="1" applyFill="1" applyBorder="1"/>
    <xf numFmtId="166" fontId="6" fillId="5" borderId="9" xfId="3" applyNumberFormat="1" applyFont="1" applyFill="1" applyBorder="1"/>
    <xf numFmtId="166" fontId="6" fillId="13" borderId="9" xfId="3" applyNumberFormat="1" applyFont="1" applyFill="1" applyBorder="1"/>
    <xf numFmtId="166" fontId="6" fillId="2" borderId="9" xfId="3" applyNumberFormat="1" applyFont="1" applyFill="1" applyBorder="1"/>
    <xf numFmtId="166" fontId="6" fillId="9" borderId="9" xfId="3" applyNumberFormat="1" applyFont="1" applyFill="1" applyBorder="1"/>
    <xf numFmtId="166" fontId="6" fillId="14" borderId="9" xfId="3" applyNumberFormat="1" applyFont="1" applyFill="1" applyBorder="1"/>
    <xf numFmtId="172" fontId="6" fillId="14" borderId="9" xfId="3" applyNumberFormat="1" applyFont="1" applyFill="1" applyBorder="1"/>
    <xf numFmtId="9" fontId="6" fillId="12" borderId="10" xfId="4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166" fontId="1" fillId="6" borderId="7" xfId="3" applyNumberFormat="1" applyFont="1" applyFill="1" applyBorder="1"/>
    <xf numFmtId="166" fontId="1" fillId="5" borderId="7" xfId="3" applyNumberFormat="1" applyFont="1" applyFill="1" applyBorder="1"/>
    <xf numFmtId="166" fontId="1" fillId="13" borderId="7" xfId="3" applyNumberFormat="1" applyFont="1" applyFill="1" applyBorder="1"/>
    <xf numFmtId="166" fontId="1" fillId="2" borderId="7" xfId="3" applyNumberFormat="1" applyFont="1" applyFill="1" applyBorder="1"/>
    <xf numFmtId="166" fontId="1" fillId="14" borderId="7" xfId="3" applyNumberFormat="1" applyFont="1" applyFill="1" applyBorder="1"/>
    <xf numFmtId="172" fontId="1" fillId="14" borderId="7" xfId="3" applyNumberFormat="1" applyFont="1" applyFill="1" applyBorder="1"/>
    <xf numFmtId="0" fontId="6" fillId="6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72" fontId="2" fillId="5" borderId="0" xfId="3" applyNumberFormat="1" applyFont="1" applyFill="1" applyAlignment="1">
      <alignment horizontal="center" wrapText="1"/>
    </xf>
    <xf numFmtId="0" fontId="6" fillId="16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/>
    <xf numFmtId="172" fontId="6" fillId="12" borderId="7" xfId="3" applyNumberFormat="1" applyFont="1" applyFill="1" applyBorder="1"/>
    <xf numFmtId="172" fontId="6" fillId="12" borderId="1" xfId="3" applyNumberFormat="1" applyFont="1" applyFill="1" applyBorder="1"/>
    <xf numFmtId="172" fontId="6" fillId="12" borderId="9" xfId="3" applyNumberFormat="1" applyFont="1" applyFill="1" applyBorder="1"/>
    <xf numFmtId="172" fontId="6" fillId="8" borderId="7" xfId="3" applyNumberFormat="1" applyFont="1" applyFill="1" applyBorder="1"/>
    <xf numFmtId="172" fontId="6" fillId="9" borderId="7" xfId="3" applyNumberFormat="1" applyFont="1" applyFill="1" applyBorder="1"/>
    <xf numFmtId="172" fontId="6" fillId="8" borderId="1" xfId="3" applyNumberFormat="1" applyFont="1" applyFill="1" applyBorder="1"/>
    <xf numFmtId="172" fontId="1" fillId="0" borderId="0" xfId="3" applyNumberFormat="1" applyFont="1"/>
    <xf numFmtId="0" fontId="5" fillId="0" borderId="0" xfId="0" applyFont="1" applyAlignment="1">
      <alignment vertical="center"/>
    </xf>
    <xf numFmtId="173" fontId="6" fillId="0" borderId="1" xfId="0" applyNumberFormat="1" applyFont="1" applyBorder="1"/>
    <xf numFmtId="0" fontId="6" fillId="12" borderId="13" xfId="0" applyFont="1" applyFill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" fillId="0" borderId="19" xfId="0" applyFont="1" applyBorder="1"/>
    <xf numFmtId="10" fontId="1" fillId="12" borderId="20" xfId="4" applyNumberFormat="1" applyFont="1" applyFill="1" applyBorder="1" applyAlignment="1">
      <alignment horizontal="center" wrapText="1"/>
    </xf>
    <xf numFmtId="0" fontId="1" fillId="0" borderId="17" xfId="0" applyFont="1" applyBorder="1"/>
    <xf numFmtId="0" fontId="1" fillId="0" borderId="21" xfId="0" applyFont="1" applyBorder="1"/>
    <xf numFmtId="173" fontId="1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9" fontId="1" fillId="0" borderId="1" xfId="4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4" fillId="17" borderId="1" xfId="0" applyFont="1" applyFill="1" applyBorder="1" applyAlignment="1">
      <alignment horizontal="center" vertical="top" wrapText="1"/>
    </xf>
    <xf numFmtId="0" fontId="4" fillId="17" borderId="1" xfId="1" applyFont="1" applyFill="1" applyBorder="1" applyAlignment="1">
      <alignment horizontal="center" vertical="top" wrapText="1"/>
    </xf>
    <xf numFmtId="0" fontId="4" fillId="17" borderId="1" xfId="1" applyFont="1" applyFill="1" applyBorder="1" applyAlignment="1">
      <alignment horizontal="left" vertical="top" wrapText="1"/>
    </xf>
    <xf numFmtId="0" fontId="4" fillId="17" borderId="1" xfId="0" applyFont="1" applyFill="1" applyBorder="1" applyAlignment="1">
      <alignment horizontal="left" vertical="top" wrapText="1"/>
    </xf>
    <xf numFmtId="164" fontId="6" fillId="8" borderId="9" xfId="3" applyFont="1" applyFill="1" applyBorder="1"/>
    <xf numFmtId="41" fontId="6" fillId="0" borderId="0" xfId="8" applyFont="1"/>
    <xf numFmtId="9" fontId="2" fillId="5" borderId="0" xfId="4" applyFont="1" applyFill="1" applyAlignment="1">
      <alignment horizontal="center" wrapText="1"/>
    </xf>
    <xf numFmtId="9" fontId="1" fillId="0" borderId="0" xfId="4" applyFont="1"/>
    <xf numFmtId="0" fontId="6" fillId="12" borderId="12" xfId="0" applyFont="1" applyFill="1" applyBorder="1" applyAlignment="1">
      <alignment horizontal="center" vertical="center" wrapText="1"/>
    </xf>
    <xf numFmtId="4" fontId="13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173" fontId="13" fillId="0" borderId="1" xfId="0" applyNumberFormat="1" applyFont="1" applyBorder="1"/>
    <xf numFmtId="174" fontId="0" fillId="0" borderId="0" xfId="0" applyNumberForma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 wrapText="1"/>
    </xf>
    <xf numFmtId="0" fontId="6" fillId="13" borderId="22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/>
    </xf>
    <xf numFmtId="0" fontId="6" fillId="12" borderId="18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1" fillId="0" borderId="1" xfId="3" applyNumberFormat="1" applyFont="1" applyFill="1" applyBorder="1"/>
    <xf numFmtId="0" fontId="15" fillId="12" borderId="24" xfId="0" applyFont="1" applyFill="1" applyBorder="1" applyAlignment="1">
      <alignment horizontal="center"/>
    </xf>
    <xf numFmtId="0" fontId="15" fillId="12" borderId="25" xfId="0" applyFont="1" applyFill="1" applyBorder="1" applyAlignment="1">
      <alignment horizontal="center"/>
    </xf>
    <xf numFmtId="0" fontId="15" fillId="12" borderId="26" xfId="0" applyFont="1" applyFill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2" xfId="0" applyFont="1" applyBorder="1"/>
    <xf numFmtId="0" fontId="2" fillId="0" borderId="30" xfId="0" applyFont="1" applyBorder="1"/>
    <xf numFmtId="0" fontId="5" fillId="8" borderId="11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 wrapText="1"/>
    </xf>
    <xf numFmtId="166" fontId="1" fillId="6" borderId="19" xfId="3" applyNumberFormat="1" applyFont="1" applyFill="1" applyBorder="1"/>
    <xf numFmtId="166" fontId="1" fillId="6" borderId="17" xfId="3" applyNumberFormat="1" applyFont="1" applyFill="1" applyBorder="1"/>
    <xf numFmtId="10" fontId="1" fillId="12" borderId="18" xfId="4" applyNumberFormat="1" applyFont="1" applyFill="1" applyBorder="1" applyAlignment="1">
      <alignment horizontal="center" wrapText="1"/>
    </xf>
    <xf numFmtId="166" fontId="1" fillId="6" borderId="14" xfId="3" applyNumberFormat="1" applyFont="1" applyFill="1" applyBorder="1"/>
    <xf numFmtId="166" fontId="1" fillId="6" borderId="15" xfId="3" applyNumberFormat="1" applyFont="1" applyFill="1" applyBorder="1"/>
    <xf numFmtId="166" fontId="1" fillId="13" borderId="15" xfId="3" applyNumberFormat="1" applyFont="1" applyFill="1" applyBorder="1"/>
    <xf numFmtId="166" fontId="1" fillId="2" borderId="15" xfId="3" applyNumberFormat="1" applyFont="1" applyFill="1" applyBorder="1"/>
    <xf numFmtId="166" fontId="1" fillId="2" borderId="22" xfId="3" applyNumberFormat="1" applyFont="1" applyFill="1" applyBorder="1"/>
    <xf numFmtId="172" fontId="6" fillId="8" borderId="15" xfId="3" applyNumberFormat="1" applyFont="1" applyFill="1" applyBorder="1"/>
    <xf numFmtId="172" fontId="6" fillId="9" borderId="22" xfId="3" applyNumberFormat="1" applyFont="1" applyFill="1" applyBorder="1"/>
    <xf numFmtId="166" fontId="1" fillId="14" borderId="15" xfId="3" applyNumberFormat="1" applyFont="1" applyFill="1" applyBorder="1"/>
    <xf numFmtId="166" fontId="1" fillId="14" borderId="22" xfId="3" applyNumberFormat="1" applyFont="1" applyFill="1" applyBorder="1"/>
    <xf numFmtId="172" fontId="1" fillId="14" borderId="15" xfId="3" applyNumberFormat="1" applyFont="1" applyFill="1" applyBorder="1"/>
    <xf numFmtId="172" fontId="6" fillId="12" borderId="15" xfId="3" applyNumberFormat="1" applyFont="1" applyFill="1" applyBorder="1"/>
    <xf numFmtId="10" fontId="1" fillId="12" borderId="16" xfId="4" applyNumberFormat="1" applyFont="1" applyFill="1" applyBorder="1" applyAlignment="1">
      <alignment horizontal="center" wrapText="1"/>
    </xf>
    <xf numFmtId="0" fontId="15" fillId="18" borderId="24" xfId="0" applyFont="1" applyFill="1" applyBorder="1" applyAlignment="1">
      <alignment horizontal="center"/>
    </xf>
    <xf numFmtId="0" fontId="15" fillId="18" borderId="26" xfId="0" applyFont="1" applyFill="1" applyBorder="1" applyAlignment="1">
      <alignment horizontal="center"/>
    </xf>
    <xf numFmtId="0" fontId="6" fillId="18" borderId="31" xfId="0" applyFont="1" applyFill="1" applyBorder="1" applyAlignment="1">
      <alignment horizontal="center" vertical="center" wrapText="1"/>
    </xf>
    <xf numFmtId="0" fontId="6" fillId="18" borderId="13" xfId="0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 wrapText="1"/>
    </xf>
    <xf numFmtId="0" fontId="6" fillId="18" borderId="18" xfId="0" applyFont="1" applyFill="1" applyBorder="1" applyAlignment="1">
      <alignment horizontal="center" vertical="center"/>
    </xf>
    <xf numFmtId="0" fontId="6" fillId="18" borderId="32" xfId="0" applyFont="1" applyFill="1" applyBorder="1" applyAlignment="1">
      <alignment horizontal="center" vertical="center"/>
    </xf>
    <xf numFmtId="0" fontId="6" fillId="18" borderId="16" xfId="0" applyFont="1" applyFill="1" applyBorder="1" applyAlignment="1">
      <alignment horizontal="center" vertical="center"/>
    </xf>
    <xf numFmtId="172" fontId="6" fillId="18" borderId="33" xfId="3" applyNumberFormat="1" applyFont="1" applyFill="1" applyBorder="1"/>
    <xf numFmtId="10" fontId="1" fillId="18" borderId="20" xfId="4" applyNumberFormat="1" applyFont="1" applyFill="1" applyBorder="1" applyAlignment="1">
      <alignment horizontal="center" wrapText="1"/>
    </xf>
    <xf numFmtId="9" fontId="6" fillId="18" borderId="10" xfId="4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6" fontId="1" fillId="5" borderId="15" xfId="3" applyNumberFormat="1" applyFont="1" applyFill="1" applyBorder="1"/>
    <xf numFmtId="0" fontId="6" fillId="14" borderId="6" xfId="0" applyFont="1" applyFill="1" applyBorder="1" applyAlignment="1">
      <alignment horizontal="center" vertical="center" wrapText="1"/>
    </xf>
    <xf numFmtId="0" fontId="6" fillId="14" borderId="22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172" fontId="1" fillId="12" borderId="7" xfId="3" applyNumberFormat="1" applyFont="1" applyFill="1" applyBorder="1"/>
    <xf numFmtId="172" fontId="1" fillId="12" borderId="22" xfId="3" applyNumberFormat="1" applyFont="1" applyFill="1" applyBorder="1"/>
    <xf numFmtId="172" fontId="1" fillId="12" borderId="9" xfId="3" applyNumberFormat="1" applyFont="1" applyFill="1" applyBorder="1"/>
    <xf numFmtId="0" fontId="15" fillId="10" borderId="24" xfId="0" applyFont="1" applyFill="1" applyBorder="1" applyAlignment="1">
      <alignment horizontal="center"/>
    </xf>
    <xf numFmtId="0" fontId="15" fillId="10" borderId="26" xfId="0" applyFont="1" applyFill="1" applyBorder="1" applyAlignment="1">
      <alignment horizontal="center"/>
    </xf>
    <xf numFmtId="0" fontId="6" fillId="10" borderId="13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10" fontId="1" fillId="10" borderId="18" xfId="4" applyNumberFormat="1" applyFont="1" applyFill="1" applyBorder="1" applyAlignment="1">
      <alignment horizontal="center" wrapText="1"/>
    </xf>
    <xf numFmtId="9" fontId="6" fillId="10" borderId="10" xfId="4" applyFont="1" applyFill="1" applyBorder="1" applyAlignment="1">
      <alignment horizontal="center"/>
    </xf>
    <xf numFmtId="172" fontId="6" fillId="18" borderId="35" xfId="3" applyNumberFormat="1" applyFont="1" applyFill="1" applyBorder="1"/>
    <xf numFmtId="0" fontId="6" fillId="10" borderId="11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/>
    </xf>
    <xf numFmtId="172" fontId="6" fillId="10" borderId="19" xfId="3" applyNumberFormat="1" applyFont="1" applyFill="1" applyBorder="1"/>
    <xf numFmtId="172" fontId="6" fillId="10" borderId="20" xfId="3" applyNumberFormat="1" applyFont="1" applyFill="1" applyBorder="1"/>
    <xf numFmtId="172" fontId="6" fillId="10" borderId="8" xfId="3" applyNumberFormat="1" applyFont="1" applyFill="1" applyBorder="1"/>
    <xf numFmtId="0" fontId="5" fillId="14" borderId="27" xfId="0" applyFont="1" applyFill="1" applyBorder="1" applyAlignment="1">
      <alignment horizontal="center" vertical="center" wrapText="1"/>
    </xf>
    <xf numFmtId="0" fontId="5" fillId="14" borderId="34" xfId="0" applyFont="1" applyFill="1" applyBorder="1" applyAlignment="1">
      <alignment horizontal="center" vertical="center" wrapText="1"/>
    </xf>
    <xf numFmtId="0" fontId="5" fillId="14" borderId="3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vertical="center" wrapText="1"/>
    </xf>
  </cellXfs>
  <cellStyles count="9">
    <cellStyle name="Millares" xfId="3" builtinId="3"/>
    <cellStyle name="Millares [0]" xfId="8" builtinId="6"/>
    <cellStyle name="Millares 2" xfId="2" xr:uid="{00000000-0005-0000-0000-000001000000}"/>
    <cellStyle name="Millares 3" xfId="6" xr:uid="{00000000-0005-0000-0000-000031000000}"/>
    <cellStyle name="Normal" xfId="0" builtinId="0"/>
    <cellStyle name="Normal 2" xfId="1" xr:uid="{00000000-0005-0000-0000-000003000000}"/>
    <cellStyle name="Normal 3" xfId="5" xr:uid="{00000000-0005-0000-0000-000032000000}"/>
    <cellStyle name="Porcentaje" xfId="4" builtinId="5"/>
    <cellStyle name="Porcentaje 2" xfId="7" xr:uid="{00000000-0005-0000-0000-000033000000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nidad%20An&#225;lisis/Presupuesto%202019/Pedagog&#237;as/Pedagog&#237;as%20UEstatales/Montos_Pedagogia_Estatales_2019_310119_matriculamodifi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IUE_2019_(22ago2019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nidad%20An&#225;lisis/Presupuesto%202019/CM-AIUE/Doctorados_acreditados_AIUE_0202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nidad%20An&#225;lisis/Presupuesto%202019/BD/Reporte_Basal_2018_conicyt_3001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nidad%20An&#225;lisis/Presupuesto%202019/CM-AIUE/Acad&#233;micos%20Universidades%20JC_2012-2018_1802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nidad%20An&#225;lisis/Presupuesto%202019/CM-AIUE/Indicadores_AIUE_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nidad%20An&#225;lisis/Presupuesto%202019/CM-AIUE/Solicitudes%20PCT_2017_AIUE_0102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nidad%20An&#225;lisis/Presupuesto%202019/CM-AIUE/Reporte_Basal_2018_conicyt_3001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Unidad%20An&#225;lisis/Presupuesto%202019/CM-AIUE/Matr&#237;cula_pregrado_2018_28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aje Final FID"/>
      <sheetName val="Criterios Puntajes"/>
      <sheetName val="Promedio Acreditación"/>
      <sheetName val="Cantidad Matrícula FID"/>
      <sheetName val="Porcentaje Matrícula FID"/>
      <sheetName val="Oferta FID"/>
      <sheetName val="Puntaje Postgrado"/>
      <sheetName val="Porcentaje Matrícula Per 1-6"/>
    </sheetNames>
    <sheetDataSet>
      <sheetData sheetId="0">
        <row r="7">
          <cell r="C7" t="str">
            <v>UPA</v>
          </cell>
          <cell r="D7">
            <v>6</v>
          </cell>
          <cell r="E7">
            <v>25</v>
          </cell>
          <cell r="F7">
            <v>9</v>
          </cell>
          <cell r="G7">
            <v>25</v>
          </cell>
          <cell r="H7">
            <v>10</v>
          </cell>
          <cell r="I7">
            <v>15</v>
          </cell>
          <cell r="J7">
            <v>90</v>
          </cell>
          <cell r="K7">
            <v>9.5137420718816063E-2</v>
          </cell>
          <cell r="L7">
            <v>646934.46088794922</v>
          </cell>
          <cell r="M7">
            <v>646934</v>
          </cell>
          <cell r="N7">
            <v>100000</v>
          </cell>
          <cell r="O7">
            <v>746934</v>
          </cell>
          <cell r="P7">
            <v>8.8920724871514867E-2</v>
          </cell>
        </row>
        <row r="8">
          <cell r="C8" t="str">
            <v>UMC</v>
          </cell>
          <cell r="D8">
            <v>8</v>
          </cell>
          <cell r="E8">
            <v>25</v>
          </cell>
          <cell r="F8">
            <v>15</v>
          </cell>
          <cell r="G8">
            <v>25</v>
          </cell>
          <cell r="H8">
            <v>2</v>
          </cell>
          <cell r="I8">
            <v>12</v>
          </cell>
          <cell r="J8">
            <v>87</v>
          </cell>
          <cell r="K8">
            <v>9.1966173361522199E-2</v>
          </cell>
          <cell r="L8">
            <v>625369.97885835101</v>
          </cell>
          <cell r="M8">
            <v>625370</v>
          </cell>
          <cell r="N8">
            <v>100000</v>
          </cell>
          <cell r="O8">
            <v>725370</v>
          </cell>
          <cell r="P8">
            <v>8.635358170875973E-2</v>
          </cell>
        </row>
        <row r="9">
          <cell r="C9" t="str">
            <v>UBB</v>
          </cell>
          <cell r="D9">
            <v>8</v>
          </cell>
          <cell r="E9">
            <v>20</v>
          </cell>
          <cell r="F9">
            <v>6</v>
          </cell>
          <cell r="G9">
            <v>20</v>
          </cell>
          <cell r="H9">
            <v>4</v>
          </cell>
          <cell r="I9">
            <v>15</v>
          </cell>
          <cell r="J9">
            <v>73</v>
          </cell>
          <cell r="K9">
            <v>7.7167019027484143E-2</v>
          </cell>
          <cell r="L9">
            <v>524735.72938689217</v>
          </cell>
          <cell r="M9">
            <v>524736</v>
          </cell>
          <cell r="N9">
            <v>100000</v>
          </cell>
          <cell r="O9">
            <v>624736</v>
          </cell>
          <cell r="P9">
            <v>7.4373342187302641E-2</v>
          </cell>
        </row>
        <row r="10">
          <cell r="C10" t="str">
            <v>ULA</v>
          </cell>
          <cell r="D10">
            <v>4</v>
          </cell>
          <cell r="E10">
            <v>15</v>
          </cell>
          <cell r="F10">
            <v>6</v>
          </cell>
          <cell r="G10">
            <v>25</v>
          </cell>
          <cell r="H10">
            <v>4</v>
          </cell>
          <cell r="I10">
            <v>15</v>
          </cell>
          <cell r="J10">
            <v>69</v>
          </cell>
          <cell r="K10">
            <v>7.2938689217758979E-2</v>
          </cell>
          <cell r="L10">
            <v>495983.08668076107</v>
          </cell>
          <cell r="M10">
            <v>495983</v>
          </cell>
          <cell r="N10">
            <v>100000</v>
          </cell>
          <cell r="O10">
            <v>595983</v>
          </cell>
          <cell r="P10">
            <v>7.095036558932924E-2</v>
          </cell>
        </row>
        <row r="11">
          <cell r="C11" t="str">
            <v>UTA</v>
          </cell>
          <cell r="D11">
            <v>8</v>
          </cell>
          <cell r="E11">
            <v>15</v>
          </cell>
          <cell r="F11">
            <v>3</v>
          </cell>
          <cell r="G11">
            <v>25</v>
          </cell>
          <cell r="H11">
            <v>0</v>
          </cell>
          <cell r="I11">
            <v>15</v>
          </cell>
          <cell r="J11">
            <v>66</v>
          </cell>
          <cell r="K11">
            <v>6.9767441860465115E-2</v>
          </cell>
          <cell r="L11">
            <v>474418.60465116281</v>
          </cell>
          <cell r="M11">
            <v>474419</v>
          </cell>
          <cell r="N11">
            <v>100000</v>
          </cell>
          <cell r="O11">
            <v>574419</v>
          </cell>
          <cell r="P11">
            <v>6.8383222426574103E-2</v>
          </cell>
        </row>
        <row r="12">
          <cell r="C12" t="str">
            <v>USA</v>
          </cell>
          <cell r="D12">
            <v>8</v>
          </cell>
          <cell r="E12">
            <v>20</v>
          </cell>
          <cell r="F12">
            <v>3</v>
          </cell>
          <cell r="G12">
            <v>20</v>
          </cell>
          <cell r="H12">
            <v>2</v>
          </cell>
          <cell r="I12">
            <v>12</v>
          </cell>
          <cell r="J12">
            <v>65</v>
          </cell>
          <cell r="K12">
            <v>6.8710359408033828E-2</v>
          </cell>
          <cell r="L12">
            <v>467230.44397463003</v>
          </cell>
          <cell r="M12">
            <v>467230</v>
          </cell>
          <cell r="N12">
            <v>100000</v>
          </cell>
          <cell r="O12">
            <v>567230</v>
          </cell>
          <cell r="P12">
            <v>6.7527388991355838E-2</v>
          </cell>
        </row>
        <row r="13">
          <cell r="C13" t="str">
            <v>ULS</v>
          </cell>
          <cell r="D13">
            <v>6</v>
          </cell>
          <cell r="E13">
            <v>20</v>
          </cell>
          <cell r="F13">
            <v>6</v>
          </cell>
          <cell r="G13">
            <v>20</v>
          </cell>
          <cell r="H13">
            <v>0</v>
          </cell>
          <cell r="I13">
            <v>12</v>
          </cell>
          <cell r="J13">
            <v>64</v>
          </cell>
          <cell r="K13">
            <v>6.765327695560254E-2</v>
          </cell>
          <cell r="L13">
            <v>460042.28329809726</v>
          </cell>
          <cell r="M13">
            <v>460042</v>
          </cell>
          <cell r="N13">
            <v>100000</v>
          </cell>
          <cell r="O13">
            <v>560042</v>
          </cell>
          <cell r="P13">
            <v>6.6671674603770784E-2</v>
          </cell>
        </row>
        <row r="14">
          <cell r="C14" t="str">
            <v>FRO</v>
          </cell>
          <cell r="D14">
            <v>6</v>
          </cell>
          <cell r="E14">
            <v>15</v>
          </cell>
          <cell r="F14">
            <v>6</v>
          </cell>
          <cell r="G14">
            <v>15</v>
          </cell>
          <cell r="H14">
            <v>4</v>
          </cell>
          <cell r="I14">
            <v>12</v>
          </cell>
          <cell r="J14">
            <v>58</v>
          </cell>
          <cell r="K14">
            <v>6.13107822410148E-2</v>
          </cell>
          <cell r="L14">
            <v>416913.31923890061</v>
          </cell>
          <cell r="M14">
            <v>416913</v>
          </cell>
          <cell r="N14">
            <v>100000</v>
          </cell>
          <cell r="O14">
            <v>516913</v>
          </cell>
          <cell r="P14">
            <v>6.1537269230627287E-2</v>
          </cell>
        </row>
        <row r="15">
          <cell r="C15" t="str">
            <v>UVA</v>
          </cell>
          <cell r="D15">
            <v>6</v>
          </cell>
          <cell r="E15">
            <v>15</v>
          </cell>
          <cell r="F15">
            <v>3</v>
          </cell>
          <cell r="G15">
            <v>10</v>
          </cell>
          <cell r="H15">
            <v>2</v>
          </cell>
          <cell r="I15">
            <v>15</v>
          </cell>
          <cell r="J15">
            <v>51</v>
          </cell>
          <cell r="K15">
            <v>5.3911205073995772E-2</v>
          </cell>
          <cell r="L15">
            <v>366596.19450317125</v>
          </cell>
          <cell r="M15">
            <v>366596</v>
          </cell>
          <cell r="N15">
            <v>100000</v>
          </cell>
          <cell r="O15">
            <v>466596</v>
          </cell>
          <cell r="P15">
            <v>5.5547149469898749E-2</v>
          </cell>
        </row>
        <row r="16">
          <cell r="C16" t="str">
            <v>MAG</v>
          </cell>
          <cell r="D16">
            <v>4</v>
          </cell>
          <cell r="E16">
            <v>10</v>
          </cell>
          <cell r="F16">
            <v>3</v>
          </cell>
          <cell r="G16">
            <v>20</v>
          </cell>
          <cell r="H16">
            <v>0</v>
          </cell>
          <cell r="I16">
            <v>12</v>
          </cell>
          <cell r="J16">
            <v>49</v>
          </cell>
          <cell r="K16">
            <v>5.1797040169133189E-2</v>
          </cell>
          <cell r="L16">
            <v>352219.8731501057</v>
          </cell>
          <cell r="M16">
            <v>352220</v>
          </cell>
          <cell r="N16">
            <v>100000</v>
          </cell>
          <cell r="O16">
            <v>452220</v>
          </cell>
          <cell r="P16">
            <v>5.3835720694728653E-2</v>
          </cell>
        </row>
        <row r="17">
          <cell r="C17" t="str">
            <v>URO</v>
          </cell>
          <cell r="D17">
            <v>0</v>
          </cell>
          <cell r="E17">
            <v>10</v>
          </cell>
          <cell r="F17">
            <v>9</v>
          </cell>
          <cell r="G17">
            <v>15</v>
          </cell>
          <cell r="H17">
            <v>0</v>
          </cell>
          <cell r="I17">
            <v>15</v>
          </cell>
          <cell r="J17">
            <v>49</v>
          </cell>
          <cell r="K17">
            <v>5.1797040169133189E-2</v>
          </cell>
          <cell r="L17">
            <v>352219.8731501057</v>
          </cell>
          <cell r="M17">
            <v>352220</v>
          </cell>
          <cell r="N17">
            <v>100000</v>
          </cell>
          <cell r="O17">
            <v>452220</v>
          </cell>
          <cell r="P17">
            <v>5.3835720694728653E-2</v>
          </cell>
        </row>
        <row r="18">
          <cell r="C18" t="str">
            <v>UCH</v>
          </cell>
          <cell r="D18">
            <v>2</v>
          </cell>
          <cell r="E18">
            <v>15</v>
          </cell>
          <cell r="F18">
            <v>3</v>
          </cell>
          <cell r="G18">
            <v>10</v>
          </cell>
          <cell r="H18">
            <v>6</v>
          </cell>
          <cell r="I18">
            <v>12</v>
          </cell>
          <cell r="J18">
            <v>48</v>
          </cell>
          <cell r="K18">
            <v>5.0739957716701901E-2</v>
          </cell>
          <cell r="L18">
            <v>345031.71247357293</v>
          </cell>
          <cell r="M18">
            <v>345032</v>
          </cell>
          <cell r="N18">
            <v>100000</v>
          </cell>
          <cell r="O18">
            <v>445032</v>
          </cell>
          <cell r="P18">
            <v>5.2980006307143605E-2</v>
          </cell>
        </row>
        <row r="19">
          <cell r="C19" t="str">
            <v>ANT</v>
          </cell>
          <cell r="D19">
            <v>2</v>
          </cell>
          <cell r="E19">
            <v>15</v>
          </cell>
          <cell r="F19">
            <v>3</v>
          </cell>
          <cell r="G19">
            <v>15</v>
          </cell>
          <cell r="H19">
            <v>2</v>
          </cell>
          <cell r="I19">
            <v>9</v>
          </cell>
          <cell r="J19">
            <v>46</v>
          </cell>
          <cell r="K19">
            <v>4.8625792811839326E-2</v>
          </cell>
          <cell r="L19">
            <v>330655.39112050744</v>
          </cell>
          <cell r="M19">
            <v>330655</v>
          </cell>
          <cell r="N19">
            <v>100000</v>
          </cell>
          <cell r="O19">
            <v>430655</v>
          </cell>
          <cell r="P19">
            <v>5.1268458484340293E-2</v>
          </cell>
        </row>
        <row r="20">
          <cell r="C20" t="str">
            <v>TAL</v>
          </cell>
          <cell r="D20">
            <v>2</v>
          </cell>
          <cell r="E20">
            <v>10</v>
          </cell>
          <cell r="F20">
            <v>3</v>
          </cell>
          <cell r="G20">
            <v>15</v>
          </cell>
          <cell r="H20">
            <v>4</v>
          </cell>
          <cell r="I20">
            <v>12</v>
          </cell>
          <cell r="J20">
            <v>46</v>
          </cell>
          <cell r="K20">
            <v>4.8625792811839326E-2</v>
          </cell>
          <cell r="L20">
            <v>330655.39112050744</v>
          </cell>
          <cell r="M20">
            <v>330655</v>
          </cell>
          <cell r="N20">
            <v>100000</v>
          </cell>
          <cell r="O20">
            <v>430655</v>
          </cell>
          <cell r="P20">
            <v>5.1268458484340293E-2</v>
          </cell>
        </row>
        <row r="21">
          <cell r="C21" t="str">
            <v>UAP</v>
          </cell>
          <cell r="D21">
            <v>4</v>
          </cell>
          <cell r="E21">
            <v>10</v>
          </cell>
          <cell r="F21">
            <v>3</v>
          </cell>
          <cell r="G21">
            <v>15</v>
          </cell>
          <cell r="H21">
            <v>0</v>
          </cell>
          <cell r="I21">
            <v>12</v>
          </cell>
          <cell r="J21">
            <v>44</v>
          </cell>
          <cell r="K21">
            <v>4.6511627906976744E-2</v>
          </cell>
          <cell r="L21">
            <v>316279.06976744183</v>
          </cell>
          <cell r="M21">
            <v>316279</v>
          </cell>
          <cell r="N21">
            <v>100000</v>
          </cell>
          <cell r="O21">
            <v>416279</v>
          </cell>
          <cell r="P21">
            <v>4.9557029709170204E-2</v>
          </cell>
        </row>
        <row r="22">
          <cell r="C22" t="str">
            <v>ATA</v>
          </cell>
          <cell r="D22">
            <v>6</v>
          </cell>
          <cell r="E22">
            <v>10</v>
          </cell>
          <cell r="F22">
            <v>3</v>
          </cell>
          <cell r="G22">
            <v>10</v>
          </cell>
          <cell r="H22">
            <v>0</v>
          </cell>
          <cell r="I22">
            <v>12</v>
          </cell>
          <cell r="J22">
            <v>41</v>
          </cell>
          <cell r="K22">
            <v>4.3340380549682873E-2</v>
          </cell>
          <cell r="L22">
            <v>294714.58773784351</v>
          </cell>
          <cell r="M22">
            <v>294715</v>
          </cell>
          <cell r="N22">
            <v>100000</v>
          </cell>
          <cell r="O22">
            <v>394715</v>
          </cell>
          <cell r="P22">
            <v>4.6989886546415068E-2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E_22_08_ 2019"/>
      <sheetName val="AFI 2016"/>
      <sheetName val="OA CFT Estatales"/>
      <sheetName val="Complejidad IES"/>
      <sheetName val="Desempeño"/>
      <sheetName val="Categoria 2019"/>
      <sheetName val="Calidad"/>
    </sheetNames>
    <sheetDataSet>
      <sheetData sheetId="0">
        <row r="17">
          <cell r="AD17" t="str">
            <v>UCH</v>
          </cell>
          <cell r="AE17">
            <v>5538466</v>
          </cell>
        </row>
        <row r="18">
          <cell r="AD18" t="str">
            <v>USA</v>
          </cell>
          <cell r="AE18">
            <v>2848171</v>
          </cell>
        </row>
        <row r="19">
          <cell r="AD19" t="str">
            <v>FRO</v>
          </cell>
          <cell r="AE19">
            <v>2099715</v>
          </cell>
        </row>
        <row r="20">
          <cell r="AD20" t="str">
            <v>TAL</v>
          </cell>
          <cell r="AE20">
            <v>2113302</v>
          </cell>
        </row>
        <row r="21">
          <cell r="AD21" t="str">
            <v>UVA</v>
          </cell>
          <cell r="AE21">
            <v>1931778</v>
          </cell>
        </row>
        <row r="22">
          <cell r="AD22" t="str">
            <v>UMC</v>
          </cell>
          <cell r="AE22">
            <v>1861409</v>
          </cell>
        </row>
        <row r="23">
          <cell r="AD23" t="str">
            <v>ATA</v>
          </cell>
          <cell r="AE23">
            <v>1044135</v>
          </cell>
        </row>
        <row r="24">
          <cell r="AD24" t="str">
            <v>UBB</v>
          </cell>
          <cell r="AE24">
            <v>1731417</v>
          </cell>
        </row>
        <row r="25">
          <cell r="AD25" t="str">
            <v>ANT</v>
          </cell>
          <cell r="AE25">
            <v>1538465</v>
          </cell>
        </row>
        <row r="26">
          <cell r="AD26" t="str">
            <v>ULS</v>
          </cell>
          <cell r="AE26">
            <v>1445434</v>
          </cell>
        </row>
        <row r="27">
          <cell r="AD27" t="str">
            <v>ULA</v>
          </cell>
          <cell r="AE27">
            <v>1392852</v>
          </cell>
        </row>
        <row r="28">
          <cell r="AD28" t="str">
            <v>UTA</v>
          </cell>
          <cell r="AE28">
            <v>1484405</v>
          </cell>
        </row>
        <row r="29">
          <cell r="AD29" t="str">
            <v>MAG</v>
          </cell>
          <cell r="AE29">
            <v>1202386</v>
          </cell>
        </row>
        <row r="30">
          <cell r="AD30" t="str">
            <v>UPA</v>
          </cell>
          <cell r="AE30">
            <v>1347379</v>
          </cell>
        </row>
        <row r="31">
          <cell r="AD31" t="str">
            <v>UAP</v>
          </cell>
          <cell r="AE31">
            <v>1670422</v>
          </cell>
        </row>
        <row r="32">
          <cell r="AD32" t="str">
            <v>UTM</v>
          </cell>
          <cell r="AE32">
            <v>809990</v>
          </cell>
        </row>
        <row r="33">
          <cell r="AD33" t="str">
            <v>URO</v>
          </cell>
          <cell r="AE33">
            <v>658311</v>
          </cell>
        </row>
        <row r="34">
          <cell r="AD34" t="str">
            <v>URY</v>
          </cell>
          <cell r="AE34">
            <v>414129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reditación Investigación"/>
      <sheetName val="IES"/>
      <sheetName val="PED"/>
      <sheetName val="PREG"/>
      <sheetName val="Acreditación Doctorados"/>
      <sheetName val="DOC"/>
      <sheetName val="MAG"/>
    </sheetNames>
    <sheetDataSet>
      <sheetData sheetId="0">
        <row r="5">
          <cell r="D5" t="str">
            <v>ANT</v>
          </cell>
          <cell r="E5" t="str">
            <v>SÍ</v>
          </cell>
          <cell r="F5">
            <v>1</v>
          </cell>
        </row>
        <row r="6">
          <cell r="D6" t="str">
            <v>ATA</v>
          </cell>
          <cell r="E6" t="str">
            <v>SÍ</v>
          </cell>
          <cell r="F6">
            <v>1</v>
          </cell>
        </row>
        <row r="7">
          <cell r="D7" t="str">
            <v>UCH</v>
          </cell>
          <cell r="E7" t="str">
            <v>SÍ</v>
          </cell>
          <cell r="F7">
            <v>1</v>
          </cell>
        </row>
        <row r="8">
          <cell r="D8" t="str">
            <v>FRO</v>
          </cell>
          <cell r="E8" t="str">
            <v>SÍ</v>
          </cell>
          <cell r="F8">
            <v>1</v>
          </cell>
        </row>
        <row r="9">
          <cell r="D9" t="str">
            <v>ULS</v>
          </cell>
          <cell r="E9" t="str">
            <v>SÍ</v>
          </cell>
          <cell r="F9">
            <v>1</v>
          </cell>
        </row>
        <row r="10">
          <cell r="D10" t="str">
            <v>MAG</v>
          </cell>
          <cell r="E10" t="str">
            <v>SÍ</v>
          </cell>
          <cell r="F10">
            <v>1</v>
          </cell>
        </row>
        <row r="11">
          <cell r="D11" t="str">
            <v>USA</v>
          </cell>
          <cell r="E11" t="str">
            <v>SÍ</v>
          </cell>
          <cell r="F11">
            <v>1</v>
          </cell>
        </row>
        <row r="12">
          <cell r="D12" t="str">
            <v>TAL</v>
          </cell>
          <cell r="E12" t="str">
            <v>SÍ</v>
          </cell>
          <cell r="F12">
            <v>1</v>
          </cell>
        </row>
        <row r="13">
          <cell r="D13" t="str">
            <v>UTA</v>
          </cell>
          <cell r="E13" t="str">
            <v>SÍ</v>
          </cell>
          <cell r="F13">
            <v>1</v>
          </cell>
        </row>
        <row r="14">
          <cell r="D14" t="str">
            <v>UVA</v>
          </cell>
          <cell r="E14" t="str">
            <v>SÍ</v>
          </cell>
          <cell r="F14">
            <v>1</v>
          </cell>
        </row>
        <row r="15">
          <cell r="D15" t="str">
            <v>UBB</v>
          </cell>
          <cell r="E15" t="str">
            <v>SÍ</v>
          </cell>
          <cell r="F15">
            <v>1</v>
          </cell>
        </row>
        <row r="36">
          <cell r="D36" t="str">
            <v>UCH</v>
          </cell>
          <cell r="E36" t="str">
            <v>SÍ</v>
          </cell>
          <cell r="F36" t="str">
            <v>SÍ</v>
          </cell>
          <cell r="G36" t="str">
            <v>SÍ</v>
          </cell>
          <cell r="H36" t="str">
            <v>SÍ</v>
          </cell>
          <cell r="I36" t="str">
            <v>SÍ</v>
          </cell>
          <cell r="J36">
            <v>1</v>
          </cell>
        </row>
        <row r="37">
          <cell r="D37" t="str">
            <v>FRO</v>
          </cell>
          <cell r="E37" t="str">
            <v>SÍ</v>
          </cell>
          <cell r="F37" t="str">
            <v>SÍ</v>
          </cell>
          <cell r="G37" t="str">
            <v>SÍ</v>
          </cell>
          <cell r="H37" t="str">
            <v>SÍ</v>
          </cell>
          <cell r="I37" t="str">
            <v>SÍ</v>
          </cell>
          <cell r="J37">
            <v>1</v>
          </cell>
        </row>
        <row r="38">
          <cell r="D38" t="str">
            <v>USA</v>
          </cell>
          <cell r="E38" t="str">
            <v>SÍ</v>
          </cell>
          <cell r="F38" t="str">
            <v>SÍ</v>
          </cell>
          <cell r="G38" t="str">
            <v>SÍ</v>
          </cell>
          <cell r="H38" t="str">
            <v>SÍ</v>
          </cell>
          <cell r="I38" t="str">
            <v>SÍ</v>
          </cell>
          <cell r="J38">
            <v>1</v>
          </cell>
        </row>
        <row r="39">
          <cell r="D39" t="str">
            <v>TAL</v>
          </cell>
          <cell r="E39" t="str">
            <v>SÍ</v>
          </cell>
          <cell r="F39" t="str">
            <v>SÍ</v>
          </cell>
          <cell r="G39" t="str">
            <v>SÍ</v>
          </cell>
          <cell r="H39" t="str">
            <v>SÍ</v>
          </cell>
          <cell r="I39" t="str">
            <v>SÍ</v>
          </cell>
          <cell r="J39">
            <v>1</v>
          </cell>
        </row>
        <row r="40">
          <cell r="D40" t="str">
            <v>UVA</v>
          </cell>
          <cell r="E40" t="str">
            <v>SÍ</v>
          </cell>
          <cell r="F40" t="str">
            <v>SÍ</v>
          </cell>
          <cell r="G40" t="str">
            <v>SÍ</v>
          </cell>
          <cell r="H40" t="str">
            <v>SÍ</v>
          </cell>
          <cell r="I40" t="str">
            <v>SÍ</v>
          </cell>
          <cell r="J40">
            <v>1</v>
          </cell>
        </row>
        <row r="61">
          <cell r="D61" t="str">
            <v>UAP</v>
          </cell>
          <cell r="E61">
            <v>4</v>
          </cell>
        </row>
        <row r="62">
          <cell r="D62" t="str">
            <v>ANT</v>
          </cell>
          <cell r="E62">
            <v>5</v>
          </cell>
        </row>
        <row r="63">
          <cell r="D63" t="str">
            <v>ATA</v>
          </cell>
          <cell r="E63">
            <v>3</v>
          </cell>
        </row>
        <row r="64">
          <cell r="D64" t="str">
            <v>UCH</v>
          </cell>
          <cell r="E64">
            <v>7</v>
          </cell>
        </row>
        <row r="65">
          <cell r="D65" t="str">
            <v>FRO</v>
          </cell>
          <cell r="E65">
            <v>6</v>
          </cell>
        </row>
        <row r="66">
          <cell r="D66" t="str">
            <v>ULS</v>
          </cell>
          <cell r="E66">
            <v>4</v>
          </cell>
        </row>
        <row r="67">
          <cell r="D67" t="str">
            <v>ULA</v>
          </cell>
          <cell r="E67">
            <v>4</v>
          </cell>
        </row>
        <row r="68">
          <cell r="D68" t="str">
            <v>MAG</v>
          </cell>
          <cell r="E68">
            <v>4</v>
          </cell>
        </row>
        <row r="69">
          <cell r="D69" t="str">
            <v>UPA</v>
          </cell>
          <cell r="E69">
            <v>5</v>
          </cell>
        </row>
        <row r="70">
          <cell r="D70" t="str">
            <v>USA</v>
          </cell>
          <cell r="E70">
            <v>6</v>
          </cell>
        </row>
        <row r="71">
          <cell r="D71" t="str">
            <v>TAL</v>
          </cell>
          <cell r="E71">
            <v>5</v>
          </cell>
        </row>
        <row r="72">
          <cell r="D72" t="str">
            <v>UTA</v>
          </cell>
          <cell r="E72">
            <v>5</v>
          </cell>
        </row>
        <row r="73">
          <cell r="D73" t="str">
            <v>UVA</v>
          </cell>
          <cell r="E73">
            <v>5</v>
          </cell>
        </row>
        <row r="74">
          <cell r="D74" t="str">
            <v>UBB</v>
          </cell>
          <cell r="E74">
            <v>5</v>
          </cell>
        </row>
        <row r="75">
          <cell r="D75" t="str">
            <v>UMC</v>
          </cell>
          <cell r="E75">
            <v>3</v>
          </cell>
        </row>
        <row r="76">
          <cell r="D76" t="str">
            <v>UTM</v>
          </cell>
          <cell r="E76">
            <v>4</v>
          </cell>
        </row>
      </sheetData>
      <sheetData sheetId="1"/>
      <sheetData sheetId="2"/>
      <sheetData sheetId="3"/>
      <sheetData sheetId="4">
        <row r="6">
          <cell r="D6" t="str">
            <v>ANT</v>
          </cell>
          <cell r="E6"/>
          <cell r="F6"/>
          <cell r="G6"/>
          <cell r="H6"/>
          <cell r="I6"/>
          <cell r="J6"/>
          <cell r="K6"/>
          <cell r="L6">
            <v>2</v>
          </cell>
          <cell r="M6"/>
          <cell r="N6"/>
          <cell r="O6"/>
          <cell r="P6">
            <v>1</v>
          </cell>
          <cell r="Q6"/>
          <cell r="R6"/>
          <cell r="S6"/>
        </row>
        <row r="7">
          <cell r="D7" t="str">
            <v>UCH</v>
          </cell>
          <cell r="E7"/>
          <cell r="F7"/>
          <cell r="G7"/>
          <cell r="H7">
            <v>2</v>
          </cell>
          <cell r="I7">
            <v>1</v>
          </cell>
          <cell r="J7"/>
          <cell r="K7">
            <v>3</v>
          </cell>
          <cell r="L7">
            <v>3</v>
          </cell>
          <cell r="M7">
            <v>7</v>
          </cell>
          <cell r="N7">
            <v>6</v>
          </cell>
          <cell r="O7">
            <v>3</v>
          </cell>
          <cell r="P7">
            <v>4</v>
          </cell>
          <cell r="Q7">
            <v>6</v>
          </cell>
          <cell r="R7">
            <v>4</v>
          </cell>
          <cell r="S7">
            <v>1</v>
          </cell>
        </row>
        <row r="8">
          <cell r="D8" t="str">
            <v>FRO</v>
          </cell>
          <cell r="E8"/>
          <cell r="F8"/>
          <cell r="G8"/>
          <cell r="H8"/>
          <cell r="I8"/>
          <cell r="J8"/>
          <cell r="K8"/>
          <cell r="L8">
            <v>2</v>
          </cell>
          <cell r="M8">
            <v>4</v>
          </cell>
          <cell r="N8">
            <v>1</v>
          </cell>
          <cell r="O8"/>
          <cell r="P8">
            <v>1</v>
          </cell>
          <cell r="Q8"/>
          <cell r="R8">
            <v>1</v>
          </cell>
          <cell r="S8"/>
        </row>
        <row r="9">
          <cell r="D9" t="str">
            <v>ULS</v>
          </cell>
          <cell r="E9"/>
          <cell r="F9"/>
          <cell r="G9">
            <v>1</v>
          </cell>
          <cell r="H9"/>
          <cell r="I9"/>
          <cell r="J9"/>
          <cell r="K9">
            <v>1</v>
          </cell>
          <cell r="L9">
            <v>3</v>
          </cell>
          <cell r="M9"/>
          <cell r="N9"/>
          <cell r="O9"/>
          <cell r="P9"/>
          <cell r="Q9"/>
          <cell r="R9"/>
          <cell r="S9"/>
        </row>
        <row r="10">
          <cell r="D10" t="str">
            <v>ULA</v>
          </cell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>
            <v>1</v>
          </cell>
          <cell r="P10"/>
          <cell r="Q10"/>
          <cell r="R10"/>
          <cell r="S10"/>
        </row>
        <row r="11">
          <cell r="D11" t="str">
            <v>MAG</v>
          </cell>
          <cell r="E11"/>
          <cell r="F11"/>
          <cell r="G11"/>
          <cell r="H11"/>
          <cell r="I11"/>
          <cell r="J11"/>
          <cell r="K11"/>
          <cell r="L11">
            <v>1</v>
          </cell>
          <cell r="M11"/>
          <cell r="N11"/>
          <cell r="O11"/>
          <cell r="P11"/>
          <cell r="Q11"/>
          <cell r="R11"/>
          <cell r="S11"/>
        </row>
        <row r="12">
          <cell r="D12" t="str">
            <v>USA</v>
          </cell>
          <cell r="E12"/>
          <cell r="F12"/>
          <cell r="G12"/>
          <cell r="H12"/>
          <cell r="I12">
            <v>1</v>
          </cell>
          <cell r="J12"/>
          <cell r="K12">
            <v>1</v>
          </cell>
          <cell r="L12">
            <v>1</v>
          </cell>
          <cell r="M12">
            <v>4</v>
          </cell>
          <cell r="N12"/>
          <cell r="O12">
            <v>1</v>
          </cell>
          <cell r="P12">
            <v>3</v>
          </cell>
          <cell r="Q12">
            <v>1</v>
          </cell>
          <cell r="R12"/>
          <cell r="S12">
            <v>1</v>
          </cell>
        </row>
        <row r="13">
          <cell r="D13" t="str">
            <v>TAL</v>
          </cell>
          <cell r="E13"/>
          <cell r="F13"/>
          <cell r="G13"/>
          <cell r="H13"/>
          <cell r="I13"/>
          <cell r="J13"/>
          <cell r="K13"/>
          <cell r="L13"/>
          <cell r="M13">
            <v>4</v>
          </cell>
          <cell r="N13"/>
          <cell r="O13">
            <v>1</v>
          </cell>
          <cell r="P13">
            <v>1</v>
          </cell>
          <cell r="Q13">
            <v>1</v>
          </cell>
          <cell r="R13"/>
          <cell r="S13"/>
        </row>
        <row r="14">
          <cell r="D14" t="str">
            <v>UTA</v>
          </cell>
          <cell r="E14">
            <v>1</v>
          </cell>
          <cell r="F14"/>
          <cell r="G14"/>
          <cell r="H14"/>
          <cell r="I14"/>
          <cell r="J14"/>
          <cell r="K14">
            <v>1</v>
          </cell>
          <cell r="L14"/>
          <cell r="M14"/>
          <cell r="N14"/>
          <cell r="O14"/>
          <cell r="P14"/>
          <cell r="Q14"/>
          <cell r="R14"/>
          <cell r="S14"/>
        </row>
        <row r="15">
          <cell r="D15" t="str">
            <v>UVA</v>
          </cell>
          <cell r="E15"/>
          <cell r="F15">
            <v>2</v>
          </cell>
          <cell r="G15"/>
          <cell r="H15"/>
          <cell r="I15"/>
          <cell r="J15"/>
          <cell r="K15">
            <v>2</v>
          </cell>
          <cell r="L15"/>
          <cell r="M15">
            <v>3</v>
          </cell>
          <cell r="N15"/>
          <cell r="O15">
            <v>1</v>
          </cell>
          <cell r="P15"/>
          <cell r="Q15">
            <v>2</v>
          </cell>
          <cell r="R15"/>
          <cell r="S15"/>
        </row>
        <row r="16">
          <cell r="D16" t="str">
            <v>UBB</v>
          </cell>
          <cell r="E16">
            <v>1</v>
          </cell>
          <cell r="F16"/>
          <cell r="G16"/>
          <cell r="H16"/>
          <cell r="I16"/>
          <cell r="J16"/>
          <cell r="K16">
            <v>1</v>
          </cell>
          <cell r="L16"/>
          <cell r="M16">
            <v>1</v>
          </cell>
          <cell r="N16">
            <v>1</v>
          </cell>
          <cell r="O16"/>
          <cell r="P16"/>
          <cell r="Q16"/>
          <cell r="R16"/>
          <cell r="S16"/>
        </row>
        <row r="43">
          <cell r="C43" t="str">
            <v>ANT</v>
          </cell>
          <cell r="D43">
            <v>2</v>
          </cell>
          <cell r="E43"/>
          <cell r="F43"/>
          <cell r="G43"/>
          <cell r="H43">
            <v>1</v>
          </cell>
          <cell r="I43"/>
          <cell r="J43"/>
          <cell r="K43"/>
          <cell r="L43">
            <v>3</v>
          </cell>
          <cell r="M43">
            <v>3</v>
          </cell>
        </row>
        <row r="44">
          <cell r="C44" t="str">
            <v>UCH</v>
          </cell>
          <cell r="D44">
            <v>3</v>
          </cell>
          <cell r="E44">
            <v>7</v>
          </cell>
          <cell r="F44">
            <v>6</v>
          </cell>
          <cell r="G44">
            <v>3</v>
          </cell>
          <cell r="H44">
            <v>4</v>
          </cell>
          <cell r="I44">
            <v>6</v>
          </cell>
          <cell r="J44">
            <v>4</v>
          </cell>
          <cell r="K44">
            <v>1</v>
          </cell>
          <cell r="L44">
            <v>34</v>
          </cell>
          <cell r="M44">
            <v>34</v>
          </cell>
        </row>
        <row r="45">
          <cell r="C45" t="str">
            <v>FRO</v>
          </cell>
          <cell r="D45">
            <v>2</v>
          </cell>
          <cell r="E45">
            <v>4</v>
          </cell>
          <cell r="F45">
            <v>1</v>
          </cell>
          <cell r="G45"/>
          <cell r="H45">
            <v>1</v>
          </cell>
          <cell r="I45"/>
          <cell r="J45">
            <v>1</v>
          </cell>
          <cell r="K45"/>
          <cell r="L45">
            <v>9</v>
          </cell>
          <cell r="M45">
            <v>9</v>
          </cell>
        </row>
        <row r="46">
          <cell r="C46" t="str">
            <v>ULS</v>
          </cell>
          <cell r="D46">
            <v>3</v>
          </cell>
          <cell r="E46"/>
          <cell r="F46"/>
          <cell r="G46"/>
          <cell r="H46"/>
          <cell r="I46"/>
          <cell r="J46"/>
          <cell r="K46"/>
          <cell r="L46">
            <v>3</v>
          </cell>
          <cell r="M46">
            <v>3</v>
          </cell>
        </row>
        <row r="47">
          <cell r="C47" t="str">
            <v>ULA</v>
          </cell>
          <cell r="D47"/>
          <cell r="E47"/>
          <cell r="F47"/>
          <cell r="G47">
            <v>1</v>
          </cell>
          <cell r="H47"/>
          <cell r="I47"/>
          <cell r="J47"/>
          <cell r="K47"/>
          <cell r="L47">
            <v>1</v>
          </cell>
          <cell r="M47">
            <v>1</v>
          </cell>
        </row>
        <row r="48">
          <cell r="C48" t="str">
            <v>MAG</v>
          </cell>
          <cell r="D48">
            <v>1</v>
          </cell>
          <cell r="E48"/>
          <cell r="F48"/>
          <cell r="G48"/>
          <cell r="H48"/>
          <cell r="I48"/>
          <cell r="J48"/>
          <cell r="K48"/>
          <cell r="L48">
            <v>1</v>
          </cell>
          <cell r="M48">
            <v>1</v>
          </cell>
        </row>
        <row r="49">
          <cell r="C49" t="str">
            <v>USA</v>
          </cell>
          <cell r="D49">
            <v>1</v>
          </cell>
          <cell r="E49">
            <v>4</v>
          </cell>
          <cell r="F49"/>
          <cell r="G49">
            <v>1</v>
          </cell>
          <cell r="H49">
            <v>3</v>
          </cell>
          <cell r="I49">
            <v>1</v>
          </cell>
          <cell r="J49"/>
          <cell r="K49">
            <v>1</v>
          </cell>
          <cell r="L49">
            <v>11</v>
          </cell>
          <cell r="M49">
            <v>11</v>
          </cell>
        </row>
        <row r="50">
          <cell r="C50" t="str">
            <v>TAL</v>
          </cell>
          <cell r="D50"/>
          <cell r="E50">
            <v>4</v>
          </cell>
          <cell r="F50"/>
          <cell r="G50">
            <v>1</v>
          </cell>
          <cell r="H50">
            <v>1</v>
          </cell>
          <cell r="I50">
            <v>1</v>
          </cell>
          <cell r="J50"/>
          <cell r="K50"/>
          <cell r="L50">
            <v>7</v>
          </cell>
          <cell r="M50">
            <v>7</v>
          </cell>
        </row>
        <row r="51">
          <cell r="C51" t="str">
            <v>UVA</v>
          </cell>
          <cell r="D51"/>
          <cell r="E51">
            <v>3</v>
          </cell>
          <cell r="F51"/>
          <cell r="G51">
            <v>1</v>
          </cell>
          <cell r="H51"/>
          <cell r="I51">
            <v>2</v>
          </cell>
          <cell r="J51"/>
          <cell r="K51"/>
          <cell r="L51">
            <v>6</v>
          </cell>
          <cell r="M51">
            <v>6</v>
          </cell>
        </row>
        <row r="52">
          <cell r="C52" t="str">
            <v>UBB</v>
          </cell>
          <cell r="D52"/>
          <cell r="E52">
            <v>1</v>
          </cell>
          <cell r="F52">
            <v>1</v>
          </cell>
          <cell r="G52"/>
          <cell r="H52"/>
          <cell r="I52"/>
          <cell r="J52"/>
          <cell r="K52"/>
          <cell r="L52">
            <v>2</v>
          </cell>
          <cell r="M52">
            <v>2</v>
          </cell>
        </row>
        <row r="72">
          <cell r="D72" t="str">
            <v>UCH</v>
          </cell>
          <cell r="E72"/>
          <cell r="F72">
            <v>2</v>
          </cell>
          <cell r="G72">
            <v>1</v>
          </cell>
          <cell r="H72"/>
          <cell r="I72">
            <v>3</v>
          </cell>
          <cell r="J72">
            <v>3</v>
          </cell>
        </row>
        <row r="73">
          <cell r="D73" t="str">
            <v>ULS</v>
          </cell>
          <cell r="E73">
            <v>1</v>
          </cell>
          <cell r="F73"/>
          <cell r="G73"/>
          <cell r="H73"/>
          <cell r="I73">
            <v>1</v>
          </cell>
          <cell r="J73">
            <v>1</v>
          </cell>
        </row>
        <row r="74">
          <cell r="D74" t="str">
            <v>USA</v>
          </cell>
          <cell r="E74"/>
          <cell r="F74"/>
          <cell r="G74">
            <v>1</v>
          </cell>
          <cell r="H74"/>
          <cell r="I74">
            <v>1</v>
          </cell>
          <cell r="J74">
            <v>1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ielo.Chile"/>
      <sheetName val="WOS"/>
      <sheetName val="SCOPUS"/>
    </sheetNames>
    <sheetDataSet>
      <sheetData sheetId="0"/>
      <sheetData sheetId="1"/>
      <sheetData sheetId="2">
        <row r="7">
          <cell r="C7" t="str">
            <v>UCH</v>
          </cell>
          <cell r="D7">
            <v>1980</v>
          </cell>
          <cell r="E7">
            <v>26055</v>
          </cell>
          <cell r="F7">
            <v>2359</v>
          </cell>
          <cell r="G7">
            <v>24426</v>
          </cell>
          <cell r="H7">
            <v>2526</v>
          </cell>
          <cell r="I7">
            <v>18386</v>
          </cell>
          <cell r="J7">
            <v>2712</v>
          </cell>
          <cell r="K7">
            <v>13194</v>
          </cell>
          <cell r="L7">
            <v>2693</v>
          </cell>
          <cell r="M7">
            <v>5352</v>
          </cell>
          <cell r="N7">
            <v>12270</v>
          </cell>
          <cell r="O7">
            <v>87413</v>
          </cell>
        </row>
        <row r="8">
          <cell r="C8" t="str">
            <v>PUC</v>
          </cell>
          <cell r="D8">
            <v>1756</v>
          </cell>
          <cell r="E8">
            <v>27398</v>
          </cell>
          <cell r="F8">
            <v>2053</v>
          </cell>
          <cell r="G8">
            <v>24460</v>
          </cell>
          <cell r="H8">
            <v>2086</v>
          </cell>
          <cell r="I8">
            <v>19502</v>
          </cell>
          <cell r="J8">
            <v>2387</v>
          </cell>
          <cell r="K8">
            <v>17228</v>
          </cell>
          <cell r="L8">
            <v>2338</v>
          </cell>
          <cell r="M8">
            <v>6188</v>
          </cell>
          <cell r="N8">
            <v>10620</v>
          </cell>
          <cell r="O8">
            <v>94776</v>
          </cell>
        </row>
        <row r="9">
          <cell r="C9" t="str">
            <v>UCO</v>
          </cell>
          <cell r="D9">
            <v>918</v>
          </cell>
          <cell r="E9">
            <v>11576</v>
          </cell>
          <cell r="F9">
            <v>990</v>
          </cell>
          <cell r="G9">
            <v>8831</v>
          </cell>
          <cell r="H9">
            <v>1010</v>
          </cell>
          <cell r="I9">
            <v>6564</v>
          </cell>
          <cell r="J9">
            <v>1137</v>
          </cell>
          <cell r="K9">
            <v>4409</v>
          </cell>
          <cell r="L9">
            <v>1101</v>
          </cell>
          <cell r="M9">
            <v>1871</v>
          </cell>
          <cell r="N9">
            <v>5156</v>
          </cell>
          <cell r="O9">
            <v>33251</v>
          </cell>
        </row>
        <row r="10">
          <cell r="C10" t="str">
            <v>USA</v>
          </cell>
          <cell r="D10">
            <v>462</v>
          </cell>
          <cell r="E10">
            <v>3797</v>
          </cell>
          <cell r="F10">
            <v>518</v>
          </cell>
          <cell r="G10">
            <v>3134</v>
          </cell>
          <cell r="H10">
            <v>516</v>
          </cell>
          <cell r="I10">
            <v>2746</v>
          </cell>
          <cell r="J10">
            <v>662</v>
          </cell>
          <cell r="K10">
            <v>2506</v>
          </cell>
          <cell r="L10">
            <v>688</v>
          </cell>
          <cell r="M10">
            <v>899</v>
          </cell>
          <cell r="N10">
            <v>2846</v>
          </cell>
          <cell r="O10">
            <v>13082</v>
          </cell>
        </row>
        <row r="11">
          <cell r="C11" t="str">
            <v>UCV</v>
          </cell>
          <cell r="D11">
            <v>383</v>
          </cell>
          <cell r="E11">
            <v>3269</v>
          </cell>
          <cell r="F11">
            <v>466</v>
          </cell>
          <cell r="G11">
            <v>3706</v>
          </cell>
          <cell r="H11">
            <v>541</v>
          </cell>
          <cell r="I11">
            <v>2584</v>
          </cell>
          <cell r="J11">
            <v>658</v>
          </cell>
          <cell r="K11">
            <v>1953</v>
          </cell>
          <cell r="L11">
            <v>608</v>
          </cell>
          <cell r="M11">
            <v>859</v>
          </cell>
          <cell r="N11">
            <v>2656</v>
          </cell>
          <cell r="O11">
            <v>12371</v>
          </cell>
        </row>
        <row r="12">
          <cell r="C12" t="str">
            <v>FSM</v>
          </cell>
          <cell r="D12">
            <v>447</v>
          </cell>
          <cell r="E12">
            <v>9138</v>
          </cell>
          <cell r="F12">
            <v>478</v>
          </cell>
          <cell r="G12">
            <v>7044</v>
          </cell>
          <cell r="H12">
            <v>550</v>
          </cell>
          <cell r="I12">
            <v>7021</v>
          </cell>
          <cell r="J12">
            <v>620</v>
          </cell>
          <cell r="K12">
            <v>4978</v>
          </cell>
          <cell r="L12">
            <v>569</v>
          </cell>
          <cell r="M12">
            <v>1580</v>
          </cell>
          <cell r="N12">
            <v>2664</v>
          </cell>
          <cell r="O12">
            <v>29761</v>
          </cell>
        </row>
        <row r="13">
          <cell r="C13" t="str">
            <v>AUS</v>
          </cell>
          <cell r="D13">
            <v>449</v>
          </cell>
          <cell r="E13">
            <v>4874</v>
          </cell>
          <cell r="F13">
            <v>465</v>
          </cell>
          <cell r="G13">
            <v>4228</v>
          </cell>
          <cell r="H13">
            <v>489</v>
          </cell>
          <cell r="I13">
            <v>2740</v>
          </cell>
          <cell r="J13">
            <v>543</v>
          </cell>
          <cell r="K13">
            <v>3156</v>
          </cell>
          <cell r="L13">
            <v>548</v>
          </cell>
          <cell r="M13">
            <v>939</v>
          </cell>
          <cell r="N13">
            <v>2494</v>
          </cell>
          <cell r="O13">
            <v>15937</v>
          </cell>
        </row>
        <row r="14">
          <cell r="C14" t="str">
            <v>FRO</v>
          </cell>
          <cell r="D14">
            <v>306</v>
          </cell>
          <cell r="E14">
            <v>3489</v>
          </cell>
          <cell r="F14">
            <v>381</v>
          </cell>
          <cell r="G14">
            <v>4099</v>
          </cell>
          <cell r="H14">
            <v>445</v>
          </cell>
          <cell r="I14">
            <v>2686</v>
          </cell>
          <cell r="J14">
            <v>469</v>
          </cell>
          <cell r="K14">
            <v>2029</v>
          </cell>
          <cell r="L14">
            <v>507</v>
          </cell>
          <cell r="M14">
            <v>957</v>
          </cell>
          <cell r="N14">
            <v>2108</v>
          </cell>
          <cell r="O14">
            <v>13260</v>
          </cell>
        </row>
        <row r="15">
          <cell r="C15" t="str">
            <v>UVA</v>
          </cell>
          <cell r="D15">
            <v>288</v>
          </cell>
          <cell r="E15">
            <v>3075</v>
          </cell>
          <cell r="F15">
            <v>341</v>
          </cell>
          <cell r="G15">
            <v>2925</v>
          </cell>
          <cell r="H15">
            <v>385</v>
          </cell>
          <cell r="I15">
            <v>2552</v>
          </cell>
          <cell r="J15">
            <v>412</v>
          </cell>
          <cell r="K15">
            <v>2042</v>
          </cell>
          <cell r="L15">
            <v>433</v>
          </cell>
          <cell r="M15">
            <v>1050</v>
          </cell>
          <cell r="N15">
            <v>1859</v>
          </cell>
          <cell r="O15">
            <v>11644</v>
          </cell>
        </row>
        <row r="16">
          <cell r="C16" t="str">
            <v>TAL</v>
          </cell>
          <cell r="D16">
            <v>298</v>
          </cell>
          <cell r="E16">
            <v>2599</v>
          </cell>
          <cell r="F16">
            <v>319</v>
          </cell>
          <cell r="G16">
            <v>2120</v>
          </cell>
          <cell r="H16">
            <v>375</v>
          </cell>
          <cell r="I16">
            <v>1950</v>
          </cell>
          <cell r="J16">
            <v>401</v>
          </cell>
          <cell r="K16">
            <v>1317</v>
          </cell>
          <cell r="L16">
            <v>414</v>
          </cell>
          <cell r="M16">
            <v>606</v>
          </cell>
          <cell r="N16">
            <v>1807</v>
          </cell>
          <cell r="O16">
            <v>8592</v>
          </cell>
        </row>
        <row r="17">
          <cell r="C17" t="str">
            <v>UCN</v>
          </cell>
          <cell r="D17">
            <v>266</v>
          </cell>
          <cell r="E17">
            <v>2376</v>
          </cell>
          <cell r="F17">
            <v>308</v>
          </cell>
          <cell r="G17">
            <v>2393</v>
          </cell>
          <cell r="H17">
            <v>338</v>
          </cell>
          <cell r="I17">
            <v>1591</v>
          </cell>
          <cell r="J17">
            <v>326</v>
          </cell>
          <cell r="K17">
            <v>940</v>
          </cell>
          <cell r="L17">
            <v>350</v>
          </cell>
          <cell r="M17">
            <v>535</v>
          </cell>
          <cell r="N17">
            <v>1588</v>
          </cell>
          <cell r="O17">
            <v>7835</v>
          </cell>
        </row>
        <row r="18">
          <cell r="C18" t="str">
            <v>UBB</v>
          </cell>
          <cell r="D18">
            <v>150</v>
          </cell>
          <cell r="E18">
            <v>1027</v>
          </cell>
          <cell r="F18">
            <v>174</v>
          </cell>
          <cell r="G18">
            <v>1014</v>
          </cell>
          <cell r="H18">
            <v>186</v>
          </cell>
          <cell r="I18">
            <v>643</v>
          </cell>
          <cell r="J18">
            <v>242</v>
          </cell>
          <cell r="K18">
            <v>583</v>
          </cell>
          <cell r="L18">
            <v>253</v>
          </cell>
          <cell r="M18">
            <v>260</v>
          </cell>
          <cell r="N18">
            <v>1005</v>
          </cell>
          <cell r="O18">
            <v>3527</v>
          </cell>
        </row>
        <row r="19">
          <cell r="C19" t="str">
            <v>UTA</v>
          </cell>
          <cell r="D19">
            <v>168</v>
          </cell>
          <cell r="E19">
            <v>1208</v>
          </cell>
          <cell r="F19">
            <v>203</v>
          </cell>
          <cell r="G19">
            <v>1397</v>
          </cell>
          <cell r="H19">
            <v>202</v>
          </cell>
          <cell r="I19">
            <v>955</v>
          </cell>
          <cell r="J19">
            <v>213</v>
          </cell>
          <cell r="K19">
            <v>620</v>
          </cell>
          <cell r="L19">
            <v>233</v>
          </cell>
          <cell r="M19">
            <v>266</v>
          </cell>
          <cell r="N19">
            <v>1019</v>
          </cell>
          <cell r="O19">
            <v>4446</v>
          </cell>
        </row>
        <row r="20">
          <cell r="C20" t="str">
            <v>ANT</v>
          </cell>
          <cell r="D20">
            <v>115</v>
          </cell>
          <cell r="E20">
            <v>1179</v>
          </cell>
          <cell r="F20">
            <v>138</v>
          </cell>
          <cell r="G20">
            <v>1140</v>
          </cell>
          <cell r="H20">
            <v>159</v>
          </cell>
          <cell r="I20">
            <v>1223</v>
          </cell>
          <cell r="J20">
            <v>203</v>
          </cell>
          <cell r="K20">
            <v>1060</v>
          </cell>
          <cell r="L20">
            <v>207</v>
          </cell>
          <cell r="M20">
            <v>596</v>
          </cell>
          <cell r="N20">
            <v>822</v>
          </cell>
          <cell r="O20">
            <v>5198</v>
          </cell>
        </row>
        <row r="21">
          <cell r="C21" t="str">
            <v>ULS</v>
          </cell>
          <cell r="D21">
            <v>102</v>
          </cell>
          <cell r="E21">
            <v>994</v>
          </cell>
          <cell r="F21">
            <v>111</v>
          </cell>
          <cell r="G21">
            <v>1001</v>
          </cell>
          <cell r="H21">
            <v>113</v>
          </cell>
          <cell r="I21">
            <v>668</v>
          </cell>
          <cell r="J21">
            <v>137</v>
          </cell>
          <cell r="K21">
            <v>643</v>
          </cell>
          <cell r="L21">
            <v>173</v>
          </cell>
          <cell r="M21">
            <v>984</v>
          </cell>
          <cell r="N21">
            <v>636</v>
          </cell>
          <cell r="O21">
            <v>4290</v>
          </cell>
        </row>
        <row r="22">
          <cell r="C22" t="str">
            <v>UCT</v>
          </cell>
          <cell r="D22">
            <v>92</v>
          </cell>
          <cell r="E22">
            <v>438</v>
          </cell>
          <cell r="F22">
            <v>98</v>
          </cell>
          <cell r="G22">
            <v>407</v>
          </cell>
          <cell r="H22">
            <v>120</v>
          </cell>
          <cell r="I22">
            <v>543</v>
          </cell>
          <cell r="J22">
            <v>130</v>
          </cell>
          <cell r="K22">
            <v>273</v>
          </cell>
          <cell r="L22">
            <v>160</v>
          </cell>
          <cell r="M22">
            <v>159</v>
          </cell>
          <cell r="N22">
            <v>600</v>
          </cell>
          <cell r="O22">
            <v>1820</v>
          </cell>
        </row>
        <row r="23">
          <cell r="C23" t="str">
            <v>MAG</v>
          </cell>
          <cell r="D23">
            <v>34</v>
          </cell>
          <cell r="E23">
            <v>168</v>
          </cell>
          <cell r="F23">
            <v>62</v>
          </cell>
          <cell r="G23">
            <v>435</v>
          </cell>
          <cell r="H23">
            <v>87</v>
          </cell>
          <cell r="I23">
            <v>580</v>
          </cell>
          <cell r="J23">
            <v>122</v>
          </cell>
          <cell r="K23">
            <v>685</v>
          </cell>
          <cell r="L23">
            <v>104</v>
          </cell>
          <cell r="M23">
            <v>190</v>
          </cell>
          <cell r="N23">
            <v>409</v>
          </cell>
          <cell r="O23">
            <v>2058</v>
          </cell>
        </row>
        <row r="24">
          <cell r="C24" t="str">
            <v>UPA</v>
          </cell>
          <cell r="D24">
            <v>34</v>
          </cell>
          <cell r="E24">
            <v>144</v>
          </cell>
          <cell r="F24">
            <v>67</v>
          </cell>
          <cell r="G24">
            <v>235</v>
          </cell>
          <cell r="H24">
            <v>115</v>
          </cell>
          <cell r="I24">
            <v>386</v>
          </cell>
          <cell r="J24">
            <v>119</v>
          </cell>
          <cell r="K24">
            <v>171</v>
          </cell>
          <cell r="L24">
            <v>86</v>
          </cell>
          <cell r="M24">
            <v>42</v>
          </cell>
          <cell r="N24">
            <v>421</v>
          </cell>
          <cell r="O24">
            <v>978</v>
          </cell>
        </row>
        <row r="25">
          <cell r="C25" t="str">
            <v>ULA</v>
          </cell>
          <cell r="D25">
            <v>56</v>
          </cell>
          <cell r="E25">
            <v>483</v>
          </cell>
          <cell r="F25">
            <v>68</v>
          </cell>
          <cell r="G25">
            <v>446</v>
          </cell>
          <cell r="H25">
            <v>92</v>
          </cell>
          <cell r="I25">
            <v>392</v>
          </cell>
          <cell r="J25">
            <v>108</v>
          </cell>
          <cell r="K25">
            <v>338</v>
          </cell>
          <cell r="L25">
            <v>121</v>
          </cell>
          <cell r="M25">
            <v>133</v>
          </cell>
          <cell r="N25">
            <v>445</v>
          </cell>
          <cell r="O25">
            <v>1792</v>
          </cell>
        </row>
        <row r="26">
          <cell r="C26" t="str">
            <v>USC</v>
          </cell>
          <cell r="D26">
            <v>61</v>
          </cell>
          <cell r="E26">
            <v>282</v>
          </cell>
          <cell r="F26">
            <v>72</v>
          </cell>
          <cell r="G26">
            <v>376</v>
          </cell>
          <cell r="H26">
            <v>85</v>
          </cell>
          <cell r="I26">
            <v>257</v>
          </cell>
          <cell r="J26">
            <v>102</v>
          </cell>
          <cell r="K26">
            <v>326</v>
          </cell>
          <cell r="L26">
            <v>144</v>
          </cell>
          <cell r="M26">
            <v>164</v>
          </cell>
          <cell r="N26">
            <v>464</v>
          </cell>
          <cell r="O26">
            <v>1405</v>
          </cell>
        </row>
        <row r="27">
          <cell r="C27" t="str">
            <v>UCM</v>
          </cell>
          <cell r="D27">
            <v>69</v>
          </cell>
          <cell r="E27">
            <v>624</v>
          </cell>
          <cell r="F27">
            <v>73</v>
          </cell>
          <cell r="G27">
            <v>509</v>
          </cell>
          <cell r="H27">
            <v>74</v>
          </cell>
          <cell r="I27">
            <v>236</v>
          </cell>
          <cell r="J27">
            <v>92</v>
          </cell>
          <cell r="K27">
            <v>179</v>
          </cell>
          <cell r="L27">
            <v>138</v>
          </cell>
          <cell r="M27">
            <v>105</v>
          </cell>
          <cell r="N27">
            <v>446</v>
          </cell>
          <cell r="O27">
            <v>1653</v>
          </cell>
        </row>
        <row r="28">
          <cell r="C28" t="str">
            <v>UAP</v>
          </cell>
          <cell r="D28">
            <v>51</v>
          </cell>
          <cell r="E28">
            <v>583</v>
          </cell>
          <cell r="F28">
            <v>63</v>
          </cell>
          <cell r="G28">
            <v>259</v>
          </cell>
          <cell r="H28">
            <v>60</v>
          </cell>
          <cell r="I28">
            <v>298</v>
          </cell>
          <cell r="J28">
            <v>82</v>
          </cell>
          <cell r="K28">
            <v>210</v>
          </cell>
          <cell r="L28">
            <v>65</v>
          </cell>
          <cell r="M28">
            <v>66</v>
          </cell>
          <cell r="N28">
            <v>321</v>
          </cell>
          <cell r="O28">
            <v>1416</v>
          </cell>
        </row>
        <row r="29">
          <cell r="C29" t="str">
            <v>ATA</v>
          </cell>
          <cell r="D29">
            <v>20</v>
          </cell>
          <cell r="E29">
            <v>118</v>
          </cell>
          <cell r="F29">
            <v>29</v>
          </cell>
          <cell r="G29">
            <v>161</v>
          </cell>
          <cell r="H29">
            <v>31</v>
          </cell>
          <cell r="I29">
            <v>162</v>
          </cell>
          <cell r="J29">
            <v>54</v>
          </cell>
          <cell r="K29">
            <v>209</v>
          </cell>
          <cell r="L29">
            <v>93</v>
          </cell>
          <cell r="M29">
            <v>119</v>
          </cell>
          <cell r="N29">
            <v>227</v>
          </cell>
          <cell r="O29">
            <v>769</v>
          </cell>
        </row>
        <row r="30">
          <cell r="C30" t="str">
            <v>UMC</v>
          </cell>
          <cell r="D30">
            <v>24</v>
          </cell>
          <cell r="E30">
            <v>215</v>
          </cell>
          <cell r="F30">
            <v>24</v>
          </cell>
          <cell r="G30">
            <v>104</v>
          </cell>
          <cell r="H30">
            <v>41</v>
          </cell>
          <cell r="I30">
            <v>180</v>
          </cell>
          <cell r="J30">
            <v>41</v>
          </cell>
          <cell r="K30">
            <v>47</v>
          </cell>
          <cell r="L30">
            <v>35</v>
          </cell>
          <cell r="M30">
            <v>32</v>
          </cell>
          <cell r="N30">
            <v>165</v>
          </cell>
          <cell r="O30">
            <v>578</v>
          </cell>
        </row>
        <row r="31">
          <cell r="C31" t="str">
            <v>UTM</v>
          </cell>
          <cell r="D31">
            <v>17</v>
          </cell>
          <cell r="E31">
            <v>364</v>
          </cell>
          <cell r="F31">
            <v>11</v>
          </cell>
          <cell r="G31">
            <v>45</v>
          </cell>
          <cell r="H31">
            <v>20</v>
          </cell>
          <cell r="I31">
            <v>57</v>
          </cell>
          <cell r="J31">
            <v>37</v>
          </cell>
          <cell r="K31">
            <v>61</v>
          </cell>
          <cell r="L31">
            <v>60</v>
          </cell>
          <cell r="M31">
            <v>67</v>
          </cell>
          <cell r="N31">
            <v>145</v>
          </cell>
          <cell r="O31">
            <v>594</v>
          </cell>
        </row>
        <row r="32">
          <cell r="C32" t="str">
            <v>URO</v>
          </cell>
          <cell r="D32"/>
          <cell r="E32"/>
          <cell r="F32"/>
          <cell r="G32"/>
          <cell r="H32"/>
          <cell r="I32"/>
          <cell r="J32">
            <v>1</v>
          </cell>
          <cell r="K32">
            <v>2</v>
          </cell>
          <cell r="L32">
            <v>7</v>
          </cell>
          <cell r="M32">
            <v>12</v>
          </cell>
          <cell r="N32">
            <v>8</v>
          </cell>
          <cell r="O32">
            <v>14</v>
          </cell>
        </row>
        <row r="33">
          <cell r="C33" t="str">
            <v>URY</v>
          </cell>
          <cell r="D33"/>
          <cell r="E33"/>
          <cell r="F33"/>
          <cell r="G33"/>
          <cell r="H33"/>
          <cell r="I33"/>
          <cell r="J33"/>
          <cell r="K33"/>
          <cell r="L33">
            <v>5</v>
          </cell>
          <cell r="M33">
            <v>5</v>
          </cell>
          <cell r="N33">
            <v>5</v>
          </cell>
          <cell r="O33">
            <v>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 2012"/>
      <sheetName val="PAC 2013"/>
      <sheetName val="PAC 2014"/>
      <sheetName val="PAC 2015"/>
      <sheetName val="PAC 2016"/>
      <sheetName val="PAC 2017"/>
      <sheetName val="PAC 2018"/>
    </sheetNames>
    <sheetDataSet>
      <sheetData sheetId="0"/>
      <sheetData sheetId="1"/>
      <sheetData sheetId="2"/>
      <sheetData sheetId="3"/>
      <sheetData sheetId="4"/>
      <sheetData sheetId="5">
        <row r="35">
          <cell r="D35" t="str">
            <v>UCH</v>
          </cell>
          <cell r="E35">
            <v>316</v>
          </cell>
          <cell r="F35">
            <v>715</v>
          </cell>
          <cell r="G35">
            <v>112</v>
          </cell>
          <cell r="H35">
            <v>116</v>
          </cell>
          <cell r="I35">
            <v>11</v>
          </cell>
          <cell r="J35">
            <v>16</v>
          </cell>
          <cell r="K35">
            <v>104</v>
          </cell>
          <cell r="L35">
            <v>125</v>
          </cell>
          <cell r="M35">
            <v>18</v>
          </cell>
          <cell r="N35">
            <v>26</v>
          </cell>
          <cell r="W35">
            <v>561</v>
          </cell>
          <cell r="X35">
            <v>998</v>
          </cell>
          <cell r="Y35">
            <v>1559</v>
          </cell>
        </row>
        <row r="36">
          <cell r="D36" t="str">
            <v>USA</v>
          </cell>
          <cell r="E36">
            <v>106</v>
          </cell>
          <cell r="F36">
            <v>299</v>
          </cell>
          <cell r="G36">
            <v>33</v>
          </cell>
          <cell r="H36">
            <v>100</v>
          </cell>
          <cell r="K36">
            <v>32</v>
          </cell>
          <cell r="L36">
            <v>62</v>
          </cell>
          <cell r="M36">
            <v>4</v>
          </cell>
          <cell r="N36">
            <v>4</v>
          </cell>
          <cell r="W36">
            <v>175</v>
          </cell>
          <cell r="X36">
            <v>465</v>
          </cell>
          <cell r="Y36">
            <v>640</v>
          </cell>
        </row>
        <row r="37">
          <cell r="D37" t="str">
            <v>UVA</v>
          </cell>
          <cell r="E37">
            <v>75</v>
          </cell>
          <cell r="F37">
            <v>141</v>
          </cell>
          <cell r="G37">
            <v>118</v>
          </cell>
          <cell r="H37">
            <v>121</v>
          </cell>
          <cell r="I37">
            <v>2</v>
          </cell>
          <cell r="J37">
            <v>7</v>
          </cell>
          <cell r="K37">
            <v>37</v>
          </cell>
          <cell r="L37">
            <v>64</v>
          </cell>
          <cell r="M37">
            <v>1</v>
          </cell>
          <cell r="N37">
            <v>2</v>
          </cell>
          <cell r="W37">
            <v>233</v>
          </cell>
          <cell r="X37">
            <v>335</v>
          </cell>
          <cell r="Y37">
            <v>568</v>
          </cell>
        </row>
        <row r="38">
          <cell r="D38" t="str">
            <v>ANT</v>
          </cell>
          <cell r="E38">
            <v>35</v>
          </cell>
          <cell r="F38">
            <v>100</v>
          </cell>
          <cell r="G38">
            <v>45</v>
          </cell>
          <cell r="H38">
            <v>61</v>
          </cell>
          <cell r="I38">
            <v>2</v>
          </cell>
          <cell r="J38">
            <v>5</v>
          </cell>
          <cell r="K38">
            <v>25</v>
          </cell>
          <cell r="L38">
            <v>41</v>
          </cell>
          <cell r="N38">
            <v>1</v>
          </cell>
          <cell r="W38">
            <v>107</v>
          </cell>
          <cell r="X38">
            <v>208</v>
          </cell>
          <cell r="Y38">
            <v>315</v>
          </cell>
        </row>
        <row r="39">
          <cell r="D39" t="str">
            <v>ULS</v>
          </cell>
          <cell r="E39">
            <v>26</v>
          </cell>
          <cell r="F39">
            <v>85</v>
          </cell>
          <cell r="G39">
            <v>22</v>
          </cell>
          <cell r="H39">
            <v>40</v>
          </cell>
          <cell r="K39">
            <v>13</v>
          </cell>
          <cell r="L39">
            <v>42</v>
          </cell>
          <cell r="M39">
            <v>1</v>
          </cell>
          <cell r="N39">
            <v>2</v>
          </cell>
          <cell r="T39">
            <v>1</v>
          </cell>
          <cell r="W39">
            <v>62</v>
          </cell>
          <cell r="X39">
            <v>170</v>
          </cell>
          <cell r="Y39">
            <v>232</v>
          </cell>
        </row>
        <row r="40">
          <cell r="D40" t="str">
            <v>UBB</v>
          </cell>
          <cell r="E40">
            <v>51</v>
          </cell>
          <cell r="F40">
            <v>166</v>
          </cell>
          <cell r="G40">
            <v>80</v>
          </cell>
          <cell r="H40">
            <v>105</v>
          </cell>
          <cell r="K40">
            <v>12</v>
          </cell>
          <cell r="L40">
            <v>44</v>
          </cell>
          <cell r="M40">
            <v>1</v>
          </cell>
          <cell r="N40">
            <v>2</v>
          </cell>
          <cell r="W40">
            <v>144</v>
          </cell>
          <cell r="X40">
            <v>317</v>
          </cell>
          <cell r="Y40">
            <v>461</v>
          </cell>
        </row>
        <row r="41">
          <cell r="D41" t="str">
            <v>FRO</v>
          </cell>
          <cell r="E41">
            <v>65</v>
          </cell>
          <cell r="F41">
            <v>120</v>
          </cell>
          <cell r="G41">
            <v>38</v>
          </cell>
          <cell r="H41">
            <v>34</v>
          </cell>
          <cell r="J41">
            <v>1</v>
          </cell>
          <cell r="K41">
            <v>24</v>
          </cell>
          <cell r="L41">
            <v>38</v>
          </cell>
          <cell r="W41">
            <v>127</v>
          </cell>
          <cell r="X41">
            <v>193</v>
          </cell>
          <cell r="Y41">
            <v>320</v>
          </cell>
        </row>
        <row r="42">
          <cell r="D42" t="str">
            <v>MAG</v>
          </cell>
          <cell r="E42">
            <v>19</v>
          </cell>
          <cell r="F42">
            <v>38</v>
          </cell>
          <cell r="G42">
            <v>32</v>
          </cell>
          <cell r="H42">
            <v>31</v>
          </cell>
          <cell r="K42">
            <v>29</v>
          </cell>
          <cell r="L42">
            <v>36</v>
          </cell>
          <cell r="M42">
            <v>2</v>
          </cell>
          <cell r="N42">
            <v>1</v>
          </cell>
          <cell r="T42">
            <v>1</v>
          </cell>
          <cell r="W42">
            <v>82</v>
          </cell>
          <cell r="X42">
            <v>107</v>
          </cell>
          <cell r="Y42">
            <v>189</v>
          </cell>
        </row>
        <row r="43">
          <cell r="D43" t="str">
            <v>TAL</v>
          </cell>
          <cell r="E43">
            <v>34</v>
          </cell>
          <cell r="F43">
            <v>179</v>
          </cell>
          <cell r="G43">
            <v>72</v>
          </cell>
          <cell r="H43">
            <v>67</v>
          </cell>
          <cell r="J43">
            <v>1</v>
          </cell>
          <cell r="K43">
            <v>6</v>
          </cell>
          <cell r="L43">
            <v>5</v>
          </cell>
          <cell r="W43">
            <v>112</v>
          </cell>
          <cell r="X43">
            <v>252</v>
          </cell>
          <cell r="Y43">
            <v>364</v>
          </cell>
        </row>
        <row r="44">
          <cell r="D44" t="str">
            <v>ATA</v>
          </cell>
          <cell r="E44">
            <v>13</v>
          </cell>
          <cell r="F44">
            <v>57</v>
          </cell>
          <cell r="G44">
            <v>30</v>
          </cell>
          <cell r="H44">
            <v>38</v>
          </cell>
          <cell r="K44">
            <v>72</v>
          </cell>
          <cell r="L44">
            <v>80</v>
          </cell>
          <cell r="M44">
            <v>9</v>
          </cell>
          <cell r="N44">
            <v>9</v>
          </cell>
          <cell r="O44">
            <v>1</v>
          </cell>
          <cell r="P44">
            <v>2</v>
          </cell>
          <cell r="W44">
            <v>125</v>
          </cell>
          <cell r="X44">
            <v>186</v>
          </cell>
          <cell r="Y44">
            <v>311</v>
          </cell>
        </row>
        <row r="45">
          <cell r="D45" t="str">
            <v>UTA</v>
          </cell>
          <cell r="E45">
            <v>29</v>
          </cell>
          <cell r="F45">
            <v>95</v>
          </cell>
          <cell r="G45">
            <v>71</v>
          </cell>
          <cell r="H45">
            <v>82</v>
          </cell>
          <cell r="J45">
            <v>1</v>
          </cell>
          <cell r="K45">
            <v>21</v>
          </cell>
          <cell r="L45">
            <v>20</v>
          </cell>
          <cell r="W45">
            <v>121</v>
          </cell>
          <cell r="X45">
            <v>198</v>
          </cell>
          <cell r="Y45">
            <v>319</v>
          </cell>
        </row>
        <row r="46">
          <cell r="D46" t="str">
            <v>UAP</v>
          </cell>
          <cell r="E46">
            <v>25</v>
          </cell>
          <cell r="F46">
            <v>37</v>
          </cell>
          <cell r="G46">
            <v>47</v>
          </cell>
          <cell r="H46">
            <v>77</v>
          </cell>
          <cell r="K46">
            <v>36</v>
          </cell>
          <cell r="L46">
            <v>51</v>
          </cell>
          <cell r="W46">
            <v>108</v>
          </cell>
          <cell r="X46">
            <v>165</v>
          </cell>
          <cell r="Y46">
            <v>273</v>
          </cell>
        </row>
        <row r="47">
          <cell r="D47" t="str">
            <v>UMC</v>
          </cell>
          <cell r="E47">
            <v>30</v>
          </cell>
          <cell r="F47">
            <v>30</v>
          </cell>
          <cell r="G47">
            <v>59</v>
          </cell>
          <cell r="H47">
            <v>59</v>
          </cell>
          <cell r="K47">
            <v>19</v>
          </cell>
          <cell r="L47">
            <v>32</v>
          </cell>
          <cell r="M47">
            <v>2</v>
          </cell>
          <cell r="N47">
            <v>9</v>
          </cell>
          <cell r="W47">
            <v>110</v>
          </cell>
          <cell r="X47">
            <v>130</v>
          </cell>
          <cell r="Y47">
            <v>240</v>
          </cell>
        </row>
        <row r="48">
          <cell r="D48" t="str">
            <v>UPA</v>
          </cell>
          <cell r="E48">
            <v>44</v>
          </cell>
          <cell r="F48">
            <v>66</v>
          </cell>
          <cell r="G48">
            <v>68</v>
          </cell>
          <cell r="H48">
            <v>78</v>
          </cell>
          <cell r="K48">
            <v>22</v>
          </cell>
          <cell r="L48">
            <v>33</v>
          </cell>
          <cell r="M48">
            <v>2</v>
          </cell>
          <cell r="N48">
            <v>1</v>
          </cell>
          <cell r="W48">
            <v>136</v>
          </cell>
          <cell r="X48">
            <v>178</v>
          </cell>
          <cell r="Y48">
            <v>314</v>
          </cell>
        </row>
        <row r="49">
          <cell r="D49" t="str">
            <v>ULA</v>
          </cell>
          <cell r="E49">
            <v>23</v>
          </cell>
          <cell r="F49">
            <v>66</v>
          </cell>
          <cell r="G49">
            <v>58</v>
          </cell>
          <cell r="H49">
            <v>74</v>
          </cell>
          <cell r="K49">
            <v>34</v>
          </cell>
          <cell r="L49">
            <v>35</v>
          </cell>
          <cell r="M49">
            <v>3</v>
          </cell>
          <cell r="P49">
            <v>1</v>
          </cell>
          <cell r="W49">
            <v>118</v>
          </cell>
          <cell r="X49">
            <v>176</v>
          </cell>
          <cell r="Y49">
            <v>294</v>
          </cell>
        </row>
        <row r="50">
          <cell r="D50" t="str">
            <v>UTM</v>
          </cell>
          <cell r="E50">
            <v>16</v>
          </cell>
          <cell r="F50">
            <v>31</v>
          </cell>
          <cell r="G50">
            <v>28</v>
          </cell>
          <cell r="H50">
            <v>66</v>
          </cell>
          <cell r="K50">
            <v>19</v>
          </cell>
          <cell r="L50">
            <v>34</v>
          </cell>
          <cell r="N50">
            <v>1</v>
          </cell>
          <cell r="W50">
            <v>63</v>
          </cell>
          <cell r="X50">
            <v>132</v>
          </cell>
          <cell r="Y50">
            <v>195</v>
          </cell>
        </row>
        <row r="51">
          <cell r="D51" t="str">
            <v>PUC</v>
          </cell>
          <cell r="E51">
            <v>286</v>
          </cell>
          <cell r="F51">
            <v>617</v>
          </cell>
          <cell r="G51">
            <v>125</v>
          </cell>
          <cell r="H51">
            <v>122</v>
          </cell>
          <cell r="I51">
            <v>98</v>
          </cell>
          <cell r="J51">
            <v>221</v>
          </cell>
          <cell r="K51">
            <v>34</v>
          </cell>
          <cell r="L51">
            <v>28</v>
          </cell>
          <cell r="M51">
            <v>17</v>
          </cell>
          <cell r="N51">
            <v>13</v>
          </cell>
          <cell r="W51">
            <v>560</v>
          </cell>
          <cell r="X51">
            <v>1001</v>
          </cell>
          <cell r="Y51">
            <v>1561</v>
          </cell>
        </row>
        <row r="52">
          <cell r="D52" t="str">
            <v>UCO</v>
          </cell>
          <cell r="E52">
            <v>221</v>
          </cell>
          <cell r="F52">
            <v>472</v>
          </cell>
          <cell r="G52">
            <v>155</v>
          </cell>
          <cell r="H52">
            <v>152</v>
          </cell>
          <cell r="J52">
            <v>2</v>
          </cell>
          <cell r="K52">
            <v>40</v>
          </cell>
          <cell r="L52">
            <v>76</v>
          </cell>
          <cell r="M52">
            <v>5</v>
          </cell>
          <cell r="N52">
            <v>4</v>
          </cell>
          <cell r="W52">
            <v>421</v>
          </cell>
          <cell r="X52">
            <v>706</v>
          </cell>
          <cell r="Y52">
            <v>1127</v>
          </cell>
        </row>
        <row r="53">
          <cell r="D53" t="str">
            <v>FSM</v>
          </cell>
          <cell r="E53">
            <v>37</v>
          </cell>
          <cell r="F53">
            <v>193</v>
          </cell>
          <cell r="G53">
            <v>18</v>
          </cell>
          <cell r="H53">
            <v>83</v>
          </cell>
          <cell r="K53">
            <v>15</v>
          </cell>
          <cell r="L53">
            <v>87</v>
          </cell>
          <cell r="N53">
            <v>9</v>
          </cell>
          <cell r="O53">
            <v>1</v>
          </cell>
          <cell r="P53">
            <v>1</v>
          </cell>
          <cell r="W53">
            <v>71</v>
          </cell>
          <cell r="X53">
            <v>373</v>
          </cell>
          <cell r="Y53">
            <v>444</v>
          </cell>
        </row>
        <row r="54">
          <cell r="D54" t="str">
            <v>UCV</v>
          </cell>
          <cell r="E54">
            <v>109</v>
          </cell>
          <cell r="F54">
            <v>253</v>
          </cell>
          <cell r="G54">
            <v>45</v>
          </cell>
          <cell r="H54">
            <v>46</v>
          </cell>
          <cell r="K54">
            <v>16</v>
          </cell>
          <cell r="L54">
            <v>31</v>
          </cell>
          <cell r="M54">
            <v>1</v>
          </cell>
          <cell r="N54">
            <v>3</v>
          </cell>
          <cell r="W54">
            <v>171</v>
          </cell>
          <cell r="X54">
            <v>333</v>
          </cell>
          <cell r="Y54">
            <v>504</v>
          </cell>
        </row>
        <row r="55">
          <cell r="D55" t="str">
            <v>AUS</v>
          </cell>
          <cell r="E55">
            <v>102</v>
          </cell>
          <cell r="F55">
            <v>254</v>
          </cell>
          <cell r="G55">
            <v>93</v>
          </cell>
          <cell r="H55">
            <v>114</v>
          </cell>
          <cell r="I55">
            <v>3</v>
          </cell>
          <cell r="J55">
            <v>8</v>
          </cell>
          <cell r="K55">
            <v>77</v>
          </cell>
          <cell r="L55">
            <v>64</v>
          </cell>
          <cell r="M55">
            <v>1</v>
          </cell>
          <cell r="N55">
            <v>5</v>
          </cell>
          <cell r="W55">
            <v>276</v>
          </cell>
          <cell r="X55">
            <v>445</v>
          </cell>
          <cell r="Y55">
            <v>721</v>
          </cell>
        </row>
        <row r="56">
          <cell r="D56" t="str">
            <v>UCN</v>
          </cell>
          <cell r="E56">
            <v>52</v>
          </cell>
          <cell r="F56">
            <v>154</v>
          </cell>
          <cell r="G56">
            <v>51</v>
          </cell>
          <cell r="H56">
            <v>77</v>
          </cell>
          <cell r="J56">
            <v>3</v>
          </cell>
          <cell r="K56">
            <v>30</v>
          </cell>
          <cell r="L56">
            <v>48</v>
          </cell>
          <cell r="M56">
            <v>8</v>
          </cell>
          <cell r="N56">
            <v>11</v>
          </cell>
          <cell r="W56">
            <v>141</v>
          </cell>
          <cell r="X56">
            <v>293</v>
          </cell>
          <cell r="Y56">
            <v>434</v>
          </cell>
        </row>
        <row r="57">
          <cell r="D57" t="str">
            <v>UCM</v>
          </cell>
          <cell r="E57">
            <v>46</v>
          </cell>
          <cell r="F57">
            <v>82</v>
          </cell>
          <cell r="G57">
            <v>54</v>
          </cell>
          <cell r="H57">
            <v>69</v>
          </cell>
          <cell r="I57">
            <v>1</v>
          </cell>
          <cell r="J57">
            <v>1</v>
          </cell>
          <cell r="K57">
            <v>28</v>
          </cell>
          <cell r="L57">
            <v>12</v>
          </cell>
          <cell r="M57">
            <v>2</v>
          </cell>
          <cell r="N57">
            <v>2</v>
          </cell>
          <cell r="W57">
            <v>131</v>
          </cell>
          <cell r="X57">
            <v>166</v>
          </cell>
          <cell r="Y57">
            <v>297</v>
          </cell>
        </row>
        <row r="58">
          <cell r="D58" t="str">
            <v>USC</v>
          </cell>
          <cell r="E58">
            <v>33</v>
          </cell>
          <cell r="F58">
            <v>89</v>
          </cell>
          <cell r="G58">
            <v>54</v>
          </cell>
          <cell r="H58">
            <v>54</v>
          </cell>
          <cell r="J58">
            <v>4</v>
          </cell>
          <cell r="K58">
            <v>19</v>
          </cell>
          <cell r="L58">
            <v>21</v>
          </cell>
          <cell r="M58">
            <v>1</v>
          </cell>
          <cell r="N58">
            <v>7</v>
          </cell>
          <cell r="P58">
            <v>1</v>
          </cell>
          <cell r="T58">
            <v>1</v>
          </cell>
          <cell r="W58">
            <v>107</v>
          </cell>
          <cell r="X58">
            <v>177</v>
          </cell>
          <cell r="Y58">
            <v>284</v>
          </cell>
        </row>
        <row r="59">
          <cell r="D59" t="str">
            <v>UCT</v>
          </cell>
          <cell r="E59">
            <v>51</v>
          </cell>
          <cell r="F59">
            <v>91</v>
          </cell>
          <cell r="G59">
            <v>67</v>
          </cell>
          <cell r="H59">
            <v>68</v>
          </cell>
          <cell r="K59">
            <v>19</v>
          </cell>
          <cell r="L59">
            <v>20</v>
          </cell>
          <cell r="M59">
            <v>7</v>
          </cell>
          <cell r="N59">
            <v>8</v>
          </cell>
          <cell r="P59">
            <v>1</v>
          </cell>
          <cell r="W59">
            <v>144</v>
          </cell>
          <cell r="X59">
            <v>188</v>
          </cell>
          <cell r="Y59">
            <v>332</v>
          </cell>
        </row>
        <row r="60">
          <cell r="E60">
            <v>2</v>
          </cell>
          <cell r="G60">
            <v>2</v>
          </cell>
          <cell r="H60">
            <v>1</v>
          </cell>
          <cell r="K60">
            <v>1</v>
          </cell>
          <cell r="W60">
            <v>5</v>
          </cell>
          <cell r="X60">
            <v>1</v>
          </cell>
          <cell r="Y60">
            <v>6</v>
          </cell>
        </row>
        <row r="61">
          <cell r="D61" t="str">
            <v>URO</v>
          </cell>
          <cell r="E61">
            <v>6</v>
          </cell>
          <cell r="F61">
            <v>16</v>
          </cell>
          <cell r="G61">
            <v>3</v>
          </cell>
          <cell r="H61">
            <v>1</v>
          </cell>
          <cell r="K61">
            <v>1</v>
          </cell>
          <cell r="W61">
            <v>10</v>
          </cell>
          <cell r="X61">
            <v>17</v>
          </cell>
          <cell r="Y61">
            <v>27</v>
          </cell>
        </row>
        <row r="62">
          <cell r="D62" t="str">
            <v>URY</v>
          </cell>
          <cell r="E62">
            <v>2</v>
          </cell>
          <cell r="F62">
            <v>5</v>
          </cell>
          <cell r="G62">
            <v>3</v>
          </cell>
          <cell r="I62">
            <v>1</v>
          </cell>
          <cell r="K62">
            <v>1</v>
          </cell>
          <cell r="L62">
            <v>1</v>
          </cell>
          <cell r="M62">
            <v>1</v>
          </cell>
          <cell r="W62">
            <v>8</v>
          </cell>
          <cell r="X62">
            <v>6</v>
          </cell>
          <cell r="Y62">
            <v>14</v>
          </cell>
        </row>
      </sheetData>
      <sheetData sheetId="6">
        <row r="32">
          <cell r="D32" t="str">
            <v>UCH</v>
          </cell>
          <cell r="E32">
            <v>340</v>
          </cell>
          <cell r="F32">
            <v>736</v>
          </cell>
          <cell r="G32">
            <v>1076</v>
          </cell>
          <cell r="H32">
            <v>121</v>
          </cell>
          <cell r="I32">
            <v>113</v>
          </cell>
          <cell r="J32">
            <v>10</v>
          </cell>
          <cell r="K32">
            <v>17</v>
          </cell>
          <cell r="L32">
            <v>82</v>
          </cell>
          <cell r="M32">
            <v>132</v>
          </cell>
          <cell r="N32">
            <v>12</v>
          </cell>
          <cell r="O32">
            <v>16</v>
          </cell>
          <cell r="P32"/>
          <cell r="Q32"/>
          <cell r="R32"/>
          <cell r="S32"/>
          <cell r="T32"/>
          <cell r="U32"/>
          <cell r="V32"/>
          <cell r="W32"/>
          <cell r="X32">
            <v>565</v>
          </cell>
          <cell r="Y32">
            <v>1014</v>
          </cell>
          <cell r="Z32">
            <v>1579</v>
          </cell>
        </row>
        <row r="33">
          <cell r="D33" t="str">
            <v>USA</v>
          </cell>
          <cell r="E33">
            <v>112</v>
          </cell>
          <cell r="F33">
            <v>314</v>
          </cell>
          <cell r="G33">
            <v>426</v>
          </cell>
          <cell r="H33">
            <v>34</v>
          </cell>
          <cell r="I33">
            <v>94</v>
          </cell>
          <cell r="J33">
            <v>12</v>
          </cell>
          <cell r="K33">
            <v>7</v>
          </cell>
          <cell r="L33">
            <v>19</v>
          </cell>
          <cell r="M33">
            <v>55</v>
          </cell>
          <cell r="N33">
            <v>4</v>
          </cell>
          <cell r="O33">
            <v>2</v>
          </cell>
          <cell r="P33"/>
          <cell r="Q33"/>
          <cell r="R33"/>
          <cell r="S33"/>
          <cell r="T33"/>
          <cell r="U33"/>
          <cell r="V33"/>
          <cell r="W33"/>
          <cell r="X33">
            <v>181</v>
          </cell>
          <cell r="Y33">
            <v>472</v>
          </cell>
          <cell r="Z33">
            <v>653</v>
          </cell>
        </row>
        <row r="34">
          <cell r="D34" t="str">
            <v>UVA</v>
          </cell>
          <cell r="E34">
            <v>90</v>
          </cell>
          <cell r="F34">
            <v>148</v>
          </cell>
          <cell r="G34">
            <v>238</v>
          </cell>
          <cell r="H34">
            <v>112</v>
          </cell>
          <cell r="I34">
            <v>120</v>
          </cell>
          <cell r="J34">
            <v>2</v>
          </cell>
          <cell r="K34">
            <v>4</v>
          </cell>
          <cell r="L34">
            <v>27</v>
          </cell>
          <cell r="M34">
            <v>58</v>
          </cell>
          <cell r="N34">
            <v>1</v>
          </cell>
          <cell r="O34">
            <v>2</v>
          </cell>
          <cell r="P34"/>
          <cell r="Q34"/>
          <cell r="R34"/>
          <cell r="S34"/>
          <cell r="T34"/>
          <cell r="U34"/>
          <cell r="V34"/>
          <cell r="W34"/>
          <cell r="X34">
            <v>232</v>
          </cell>
          <cell r="Y34">
            <v>332</v>
          </cell>
          <cell r="Z34">
            <v>564</v>
          </cell>
        </row>
        <row r="35">
          <cell r="D35" t="str">
            <v>ANT</v>
          </cell>
          <cell r="E35">
            <v>42</v>
          </cell>
          <cell r="F35">
            <v>105</v>
          </cell>
          <cell r="G35">
            <v>147</v>
          </cell>
          <cell r="H35">
            <v>54</v>
          </cell>
          <cell r="I35">
            <v>66</v>
          </cell>
          <cell r="J35">
            <v>1</v>
          </cell>
          <cell r="K35">
            <v>4</v>
          </cell>
          <cell r="L35">
            <v>25</v>
          </cell>
          <cell r="M35">
            <v>36</v>
          </cell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122</v>
          </cell>
          <cell r="Y35">
            <v>211</v>
          </cell>
          <cell r="Z35">
            <v>333</v>
          </cell>
        </row>
        <row r="36">
          <cell r="D36" t="str">
            <v>ULS</v>
          </cell>
          <cell r="E36">
            <v>28</v>
          </cell>
          <cell r="F36">
            <v>77</v>
          </cell>
          <cell r="G36">
            <v>105</v>
          </cell>
          <cell r="H36">
            <v>18</v>
          </cell>
          <cell r="I36">
            <v>32</v>
          </cell>
          <cell r="J36"/>
          <cell r="K36">
            <v>1</v>
          </cell>
          <cell r="L36">
            <v>11</v>
          </cell>
          <cell r="M36">
            <v>40</v>
          </cell>
          <cell r="N36">
            <v>1</v>
          </cell>
          <cell r="O36">
            <v>4</v>
          </cell>
          <cell r="P36"/>
          <cell r="Q36"/>
          <cell r="R36"/>
          <cell r="S36"/>
          <cell r="T36"/>
          <cell r="U36">
            <v>1</v>
          </cell>
          <cell r="V36"/>
          <cell r="W36"/>
          <cell r="X36">
            <v>58</v>
          </cell>
          <cell r="Y36">
            <v>155</v>
          </cell>
          <cell r="Z36">
            <v>213</v>
          </cell>
        </row>
        <row r="37">
          <cell r="D37" t="str">
            <v>UBB</v>
          </cell>
          <cell r="E37">
            <v>51</v>
          </cell>
          <cell r="F37">
            <v>190</v>
          </cell>
          <cell r="G37">
            <v>241</v>
          </cell>
          <cell r="H37">
            <v>82</v>
          </cell>
          <cell r="I37">
            <v>93</v>
          </cell>
          <cell r="J37"/>
          <cell r="K37"/>
          <cell r="L37">
            <v>6</v>
          </cell>
          <cell r="M37">
            <v>35</v>
          </cell>
          <cell r="N37"/>
          <cell r="O37">
            <v>2</v>
          </cell>
          <cell r="P37"/>
          <cell r="Q37"/>
          <cell r="R37"/>
          <cell r="S37"/>
          <cell r="T37"/>
          <cell r="U37"/>
          <cell r="V37"/>
          <cell r="W37"/>
          <cell r="X37">
            <v>139</v>
          </cell>
          <cell r="Y37">
            <v>320</v>
          </cell>
          <cell r="Z37">
            <v>459</v>
          </cell>
        </row>
        <row r="38">
          <cell r="D38" t="str">
            <v>FRO</v>
          </cell>
          <cell r="E38">
            <v>68</v>
          </cell>
          <cell r="F38">
            <v>124</v>
          </cell>
          <cell r="G38">
            <v>192</v>
          </cell>
          <cell r="H38">
            <v>43</v>
          </cell>
          <cell r="I38">
            <v>33</v>
          </cell>
          <cell r="J38"/>
          <cell r="K38">
            <v>2</v>
          </cell>
          <cell r="L38">
            <v>19</v>
          </cell>
          <cell r="M38">
            <v>32</v>
          </cell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130</v>
          </cell>
          <cell r="Y38">
            <v>191</v>
          </cell>
          <cell r="Z38">
            <v>321</v>
          </cell>
        </row>
        <row r="39">
          <cell r="D39" t="str">
            <v>MAG</v>
          </cell>
          <cell r="E39">
            <v>26</v>
          </cell>
          <cell r="F39">
            <v>48</v>
          </cell>
          <cell r="G39">
            <v>74</v>
          </cell>
          <cell r="H39">
            <v>33</v>
          </cell>
          <cell r="I39">
            <v>31</v>
          </cell>
          <cell r="J39"/>
          <cell r="K39"/>
          <cell r="L39">
            <v>26</v>
          </cell>
          <cell r="M39">
            <v>32</v>
          </cell>
          <cell r="N39">
            <v>2</v>
          </cell>
          <cell r="O39">
            <v>1</v>
          </cell>
          <cell r="P39"/>
          <cell r="Q39"/>
          <cell r="R39"/>
          <cell r="S39"/>
          <cell r="T39"/>
          <cell r="U39">
            <v>1</v>
          </cell>
          <cell r="V39"/>
          <cell r="W39"/>
          <cell r="X39">
            <v>87</v>
          </cell>
          <cell r="Y39">
            <v>113</v>
          </cell>
          <cell r="Z39">
            <v>200</v>
          </cell>
        </row>
        <row r="40">
          <cell r="D40" t="str">
            <v>TAL</v>
          </cell>
          <cell r="E40">
            <v>46</v>
          </cell>
          <cell r="F40">
            <v>197</v>
          </cell>
          <cell r="G40">
            <v>243</v>
          </cell>
          <cell r="H40">
            <v>79</v>
          </cell>
          <cell r="I40">
            <v>83</v>
          </cell>
          <cell r="J40">
            <v>1</v>
          </cell>
          <cell r="K40">
            <v>1</v>
          </cell>
          <cell r="L40">
            <v>6</v>
          </cell>
          <cell r="M40">
            <v>6</v>
          </cell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132</v>
          </cell>
          <cell r="Y40">
            <v>287</v>
          </cell>
          <cell r="Z40">
            <v>419</v>
          </cell>
        </row>
        <row r="41">
          <cell r="D41" t="str">
            <v>ATA</v>
          </cell>
          <cell r="E41">
            <v>15</v>
          </cell>
          <cell r="F41">
            <v>59</v>
          </cell>
          <cell r="G41">
            <v>74</v>
          </cell>
          <cell r="H41">
            <v>34</v>
          </cell>
          <cell r="I41">
            <v>44</v>
          </cell>
          <cell r="J41"/>
          <cell r="K41"/>
          <cell r="L41">
            <v>72</v>
          </cell>
          <cell r="M41">
            <v>84</v>
          </cell>
          <cell r="N41">
            <v>10</v>
          </cell>
          <cell r="O41">
            <v>6</v>
          </cell>
          <cell r="P41">
            <v>1</v>
          </cell>
          <cell r="Q41">
            <v>3</v>
          </cell>
          <cell r="R41"/>
          <cell r="S41"/>
          <cell r="T41"/>
          <cell r="U41"/>
          <cell r="V41"/>
          <cell r="W41"/>
          <cell r="X41">
            <v>132</v>
          </cell>
          <cell r="Y41">
            <v>196</v>
          </cell>
          <cell r="Z41">
            <v>328</v>
          </cell>
        </row>
        <row r="42">
          <cell r="D42" t="str">
            <v>UTA</v>
          </cell>
          <cell r="E42">
            <v>29</v>
          </cell>
          <cell r="F42">
            <v>99</v>
          </cell>
          <cell r="G42">
            <v>128</v>
          </cell>
          <cell r="H42">
            <v>75</v>
          </cell>
          <cell r="I42">
            <v>80</v>
          </cell>
          <cell r="J42"/>
          <cell r="K42">
            <v>2</v>
          </cell>
          <cell r="L42">
            <v>17</v>
          </cell>
          <cell r="M42">
            <v>17</v>
          </cell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121</v>
          </cell>
          <cell r="Y42">
            <v>198</v>
          </cell>
          <cell r="Z42">
            <v>319</v>
          </cell>
        </row>
        <row r="43">
          <cell r="D43" t="str">
            <v>UAP</v>
          </cell>
          <cell r="E43">
            <v>27</v>
          </cell>
          <cell r="F43">
            <v>43</v>
          </cell>
          <cell r="G43">
            <v>70</v>
          </cell>
          <cell r="H43">
            <v>53</v>
          </cell>
          <cell r="I43">
            <v>88</v>
          </cell>
          <cell r="J43"/>
          <cell r="K43"/>
          <cell r="L43">
            <v>46</v>
          </cell>
          <cell r="M43">
            <v>54</v>
          </cell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126</v>
          </cell>
          <cell r="Y43">
            <v>185</v>
          </cell>
          <cell r="Z43">
            <v>311</v>
          </cell>
        </row>
        <row r="44">
          <cell r="D44" t="str">
            <v>UMC</v>
          </cell>
          <cell r="E44">
            <v>31</v>
          </cell>
          <cell r="F44">
            <v>36</v>
          </cell>
          <cell r="G44">
            <v>67</v>
          </cell>
          <cell r="H44">
            <v>57</v>
          </cell>
          <cell r="I44">
            <v>54</v>
          </cell>
          <cell r="J44"/>
          <cell r="K44"/>
          <cell r="L44">
            <v>15</v>
          </cell>
          <cell r="M44">
            <v>25</v>
          </cell>
          <cell r="N44">
            <v>2</v>
          </cell>
          <cell r="O44">
            <v>9</v>
          </cell>
          <cell r="P44"/>
          <cell r="Q44"/>
          <cell r="R44"/>
          <cell r="S44"/>
          <cell r="T44"/>
          <cell r="U44"/>
          <cell r="V44"/>
          <cell r="W44"/>
          <cell r="X44">
            <v>105</v>
          </cell>
          <cell r="Y44">
            <v>124</v>
          </cell>
          <cell r="Z44">
            <v>229</v>
          </cell>
        </row>
        <row r="45">
          <cell r="D45" t="str">
            <v>UPA</v>
          </cell>
          <cell r="E45">
            <v>46</v>
          </cell>
          <cell r="F45">
            <v>59</v>
          </cell>
          <cell r="G45">
            <v>105</v>
          </cell>
          <cell r="H45">
            <v>60</v>
          </cell>
          <cell r="I45">
            <v>76</v>
          </cell>
          <cell r="J45">
            <v>7</v>
          </cell>
          <cell r="K45"/>
          <cell r="L45">
            <v>11</v>
          </cell>
          <cell r="M45">
            <v>30</v>
          </cell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124</v>
          </cell>
          <cell r="Y45">
            <v>165</v>
          </cell>
          <cell r="Z45">
            <v>289</v>
          </cell>
        </row>
        <row r="46">
          <cell r="D46" t="str">
            <v>ULA</v>
          </cell>
          <cell r="E46">
            <v>31</v>
          </cell>
          <cell r="F46">
            <v>73</v>
          </cell>
          <cell r="G46">
            <v>104</v>
          </cell>
          <cell r="H46">
            <v>77</v>
          </cell>
          <cell r="I46">
            <v>77</v>
          </cell>
          <cell r="J46"/>
          <cell r="K46"/>
          <cell r="L46">
            <v>25</v>
          </cell>
          <cell r="M46">
            <v>37</v>
          </cell>
          <cell r="N46">
            <v>4</v>
          </cell>
          <cell r="O46"/>
          <cell r="P46"/>
          <cell r="Q46">
            <v>1</v>
          </cell>
          <cell r="R46"/>
          <cell r="S46"/>
          <cell r="T46"/>
          <cell r="U46"/>
          <cell r="V46"/>
          <cell r="W46"/>
          <cell r="X46">
            <v>137</v>
          </cell>
          <cell r="Y46">
            <v>188</v>
          </cell>
          <cell r="Z46">
            <v>325</v>
          </cell>
        </row>
        <row r="47">
          <cell r="D47" t="str">
            <v>UTM</v>
          </cell>
          <cell r="E47">
            <v>17</v>
          </cell>
          <cell r="F47">
            <v>33</v>
          </cell>
          <cell r="G47">
            <v>50</v>
          </cell>
          <cell r="H47">
            <v>29</v>
          </cell>
          <cell r="I47">
            <v>67</v>
          </cell>
          <cell r="J47"/>
          <cell r="K47"/>
          <cell r="L47">
            <v>18</v>
          </cell>
          <cell r="M47">
            <v>32</v>
          </cell>
          <cell r="N47"/>
          <cell r="O47">
            <v>1</v>
          </cell>
          <cell r="P47"/>
          <cell r="Q47"/>
          <cell r="R47"/>
          <cell r="S47"/>
          <cell r="T47"/>
          <cell r="U47"/>
          <cell r="V47"/>
          <cell r="W47"/>
          <cell r="X47">
            <v>64</v>
          </cell>
          <cell r="Y47">
            <v>133</v>
          </cell>
          <cell r="Z47">
            <v>197</v>
          </cell>
        </row>
        <row r="48">
          <cell r="D48" t="str">
            <v>PUC</v>
          </cell>
          <cell r="E48">
            <v>291</v>
          </cell>
          <cell r="F48">
            <v>640</v>
          </cell>
          <cell r="G48">
            <v>931</v>
          </cell>
          <cell r="H48">
            <v>129</v>
          </cell>
          <cell r="I48">
            <v>119</v>
          </cell>
          <cell r="J48">
            <v>90</v>
          </cell>
          <cell r="K48">
            <v>210</v>
          </cell>
          <cell r="L48">
            <v>35</v>
          </cell>
          <cell r="M48">
            <v>28</v>
          </cell>
          <cell r="N48">
            <v>16</v>
          </cell>
          <cell r="O48">
            <v>14</v>
          </cell>
          <cell r="P48"/>
          <cell r="Q48"/>
          <cell r="R48"/>
          <cell r="S48"/>
          <cell r="T48"/>
          <cell r="U48"/>
          <cell r="V48"/>
          <cell r="W48"/>
          <cell r="X48">
            <v>561</v>
          </cell>
          <cell r="Y48">
            <v>1011</v>
          </cell>
          <cell r="Z48">
            <v>1572</v>
          </cell>
        </row>
        <row r="49">
          <cell r="D49" t="str">
            <v>UCO</v>
          </cell>
          <cell r="E49">
            <v>234</v>
          </cell>
          <cell r="F49">
            <v>487</v>
          </cell>
          <cell r="G49">
            <v>721</v>
          </cell>
          <cell r="H49">
            <v>161</v>
          </cell>
          <cell r="I49">
            <v>150</v>
          </cell>
          <cell r="J49"/>
          <cell r="K49">
            <v>4</v>
          </cell>
          <cell r="L49">
            <v>35</v>
          </cell>
          <cell r="M49">
            <v>74</v>
          </cell>
          <cell r="N49">
            <v>4</v>
          </cell>
          <cell r="O49">
            <v>5</v>
          </cell>
          <cell r="P49"/>
          <cell r="Q49"/>
          <cell r="R49"/>
          <cell r="S49"/>
          <cell r="T49"/>
          <cell r="U49"/>
          <cell r="V49"/>
          <cell r="W49"/>
          <cell r="X49">
            <v>434</v>
          </cell>
          <cell r="Y49">
            <v>720</v>
          </cell>
          <cell r="Z49">
            <v>1154</v>
          </cell>
        </row>
        <row r="50">
          <cell r="D50" t="str">
            <v>FSM</v>
          </cell>
          <cell r="E50">
            <v>40</v>
          </cell>
          <cell r="F50">
            <v>208</v>
          </cell>
          <cell r="G50">
            <v>248</v>
          </cell>
          <cell r="H50">
            <v>21</v>
          </cell>
          <cell r="I50">
            <v>91</v>
          </cell>
          <cell r="J50"/>
          <cell r="K50"/>
          <cell r="L50">
            <v>15</v>
          </cell>
          <cell r="M50">
            <v>89</v>
          </cell>
          <cell r="N50"/>
          <cell r="O50">
            <v>8</v>
          </cell>
          <cell r="P50">
            <v>1</v>
          </cell>
          <cell r="Q50">
            <v>3</v>
          </cell>
          <cell r="R50"/>
          <cell r="S50"/>
          <cell r="T50"/>
          <cell r="U50"/>
          <cell r="V50"/>
          <cell r="W50"/>
          <cell r="X50">
            <v>77</v>
          </cell>
          <cell r="Y50">
            <v>399</v>
          </cell>
          <cell r="Z50">
            <v>476</v>
          </cell>
        </row>
        <row r="51">
          <cell r="D51" t="str">
            <v>UCV</v>
          </cell>
          <cell r="E51">
            <v>126</v>
          </cell>
          <cell r="F51">
            <v>275</v>
          </cell>
          <cell r="G51">
            <v>401</v>
          </cell>
          <cell r="H51">
            <v>37</v>
          </cell>
          <cell r="I51">
            <v>46</v>
          </cell>
          <cell r="J51"/>
          <cell r="K51"/>
          <cell r="L51">
            <v>11</v>
          </cell>
          <cell r="M51">
            <v>23</v>
          </cell>
          <cell r="N51">
            <v>1</v>
          </cell>
          <cell r="O51">
            <v>3</v>
          </cell>
          <cell r="P51"/>
          <cell r="Q51"/>
          <cell r="R51"/>
          <cell r="S51"/>
          <cell r="T51"/>
          <cell r="U51"/>
          <cell r="V51"/>
          <cell r="W51"/>
          <cell r="X51">
            <v>175</v>
          </cell>
          <cell r="Y51">
            <v>347</v>
          </cell>
          <cell r="Z51">
            <v>522</v>
          </cell>
        </row>
        <row r="52">
          <cell r="D52" t="str">
            <v>AUS</v>
          </cell>
          <cell r="E52">
            <v>121</v>
          </cell>
          <cell r="F52">
            <v>274</v>
          </cell>
          <cell r="G52">
            <v>395</v>
          </cell>
          <cell r="H52">
            <v>95</v>
          </cell>
          <cell r="I52">
            <v>116</v>
          </cell>
          <cell r="J52">
            <v>3</v>
          </cell>
          <cell r="K52">
            <v>7</v>
          </cell>
          <cell r="L52">
            <v>73</v>
          </cell>
          <cell r="M52">
            <v>51</v>
          </cell>
          <cell r="N52">
            <v>3</v>
          </cell>
          <cell r="O52">
            <v>5</v>
          </cell>
          <cell r="P52"/>
          <cell r="Q52"/>
          <cell r="R52"/>
          <cell r="S52"/>
          <cell r="T52"/>
          <cell r="U52"/>
          <cell r="V52"/>
          <cell r="W52"/>
          <cell r="X52">
            <v>295</v>
          </cell>
          <cell r="Y52">
            <v>453</v>
          </cell>
          <cell r="Z52">
            <v>748</v>
          </cell>
        </row>
        <row r="53">
          <cell r="D53" t="str">
            <v>UCN</v>
          </cell>
          <cell r="E53">
            <v>53</v>
          </cell>
          <cell r="F53">
            <v>160</v>
          </cell>
          <cell r="G53">
            <v>213</v>
          </cell>
          <cell r="H53">
            <v>59</v>
          </cell>
          <cell r="I53">
            <v>78</v>
          </cell>
          <cell r="J53"/>
          <cell r="K53">
            <v>3</v>
          </cell>
          <cell r="L53">
            <v>33</v>
          </cell>
          <cell r="M53">
            <v>48</v>
          </cell>
          <cell r="N53">
            <v>8</v>
          </cell>
          <cell r="O53">
            <v>8</v>
          </cell>
          <cell r="P53"/>
          <cell r="Q53"/>
          <cell r="R53"/>
          <cell r="S53"/>
          <cell r="T53"/>
          <cell r="U53"/>
          <cell r="V53"/>
          <cell r="W53"/>
          <cell r="X53">
            <v>153</v>
          </cell>
          <cell r="Y53">
            <v>297</v>
          </cell>
          <cell r="Z53">
            <v>450</v>
          </cell>
        </row>
        <row r="54">
          <cell r="D54" t="str">
            <v>UCM</v>
          </cell>
          <cell r="E54">
            <v>50</v>
          </cell>
          <cell r="F54">
            <v>90</v>
          </cell>
          <cell r="G54">
            <v>140</v>
          </cell>
          <cell r="H54">
            <v>62</v>
          </cell>
          <cell r="I54">
            <v>61</v>
          </cell>
          <cell r="J54"/>
          <cell r="K54">
            <v>1</v>
          </cell>
          <cell r="L54">
            <v>18</v>
          </cell>
          <cell r="M54">
            <v>13</v>
          </cell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130</v>
          </cell>
          <cell r="Y54">
            <v>165</v>
          </cell>
          <cell r="Z54">
            <v>295</v>
          </cell>
        </row>
        <row r="55">
          <cell r="D55" t="str">
            <v>USC</v>
          </cell>
          <cell r="E55">
            <v>40</v>
          </cell>
          <cell r="F55">
            <v>97</v>
          </cell>
          <cell r="G55">
            <v>137</v>
          </cell>
          <cell r="H55">
            <v>53</v>
          </cell>
          <cell r="I55">
            <v>57</v>
          </cell>
          <cell r="J55"/>
          <cell r="K55">
            <v>3</v>
          </cell>
          <cell r="L55">
            <v>23</v>
          </cell>
          <cell r="M55">
            <v>18</v>
          </cell>
          <cell r="N55">
            <v>1</v>
          </cell>
          <cell r="O55">
            <v>6</v>
          </cell>
          <cell r="P55"/>
          <cell r="Q55">
            <v>1</v>
          </cell>
          <cell r="R55"/>
          <cell r="S55"/>
          <cell r="T55"/>
          <cell r="U55">
            <v>1</v>
          </cell>
          <cell r="V55"/>
          <cell r="W55"/>
          <cell r="X55">
            <v>117</v>
          </cell>
          <cell r="Y55">
            <v>183</v>
          </cell>
          <cell r="Z55">
            <v>300</v>
          </cell>
        </row>
        <row r="56">
          <cell r="D56" t="str">
            <v>UCT</v>
          </cell>
          <cell r="E56">
            <v>51</v>
          </cell>
          <cell r="F56">
            <v>103</v>
          </cell>
          <cell r="G56">
            <v>154</v>
          </cell>
          <cell r="H56">
            <v>62</v>
          </cell>
          <cell r="I56">
            <v>64</v>
          </cell>
          <cell r="J56"/>
          <cell r="K56"/>
          <cell r="L56">
            <v>16</v>
          </cell>
          <cell r="M56">
            <v>20</v>
          </cell>
          <cell r="N56">
            <v>6</v>
          </cell>
          <cell r="O56">
            <v>12</v>
          </cell>
          <cell r="P56"/>
          <cell r="Q56">
            <v>1</v>
          </cell>
          <cell r="R56"/>
          <cell r="S56"/>
          <cell r="T56"/>
          <cell r="U56"/>
          <cell r="V56"/>
          <cell r="W56"/>
          <cell r="X56">
            <v>135</v>
          </cell>
          <cell r="Y56">
            <v>200</v>
          </cell>
          <cell r="Z56">
            <v>335</v>
          </cell>
        </row>
        <row r="57">
          <cell r="D57">
            <v>0</v>
          </cell>
          <cell r="E57">
            <v>1</v>
          </cell>
          <cell r="F57"/>
          <cell r="G57">
            <v>1</v>
          </cell>
          <cell r="H57">
            <v>1</v>
          </cell>
          <cell r="I57">
            <v>1</v>
          </cell>
          <cell r="J57"/>
          <cell r="K57"/>
          <cell r="L57">
            <v>1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3</v>
          </cell>
          <cell r="Y57">
            <v>1</v>
          </cell>
          <cell r="Z57">
            <v>4</v>
          </cell>
        </row>
        <row r="58">
          <cell r="D58" t="str">
            <v>URO</v>
          </cell>
          <cell r="E58">
            <v>17</v>
          </cell>
          <cell r="F58">
            <v>25</v>
          </cell>
          <cell r="G58">
            <v>42</v>
          </cell>
          <cell r="H58">
            <v>3</v>
          </cell>
          <cell r="I58"/>
          <cell r="J58">
            <v>1</v>
          </cell>
          <cell r="K58">
            <v>1</v>
          </cell>
          <cell r="L58">
            <v>3</v>
          </cell>
          <cell r="M58">
            <v>1</v>
          </cell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24</v>
          </cell>
          <cell r="Y58">
            <v>27</v>
          </cell>
          <cell r="Z58">
            <v>51</v>
          </cell>
        </row>
        <row r="59">
          <cell r="D59" t="str">
            <v>URY</v>
          </cell>
          <cell r="E59">
            <v>5</v>
          </cell>
          <cell r="F59">
            <v>12</v>
          </cell>
          <cell r="G59">
            <v>17</v>
          </cell>
          <cell r="H59">
            <v>1</v>
          </cell>
          <cell r="I59">
            <v>2</v>
          </cell>
          <cell r="J59">
            <v>1</v>
          </cell>
          <cell r="K59"/>
          <cell r="L59"/>
          <cell r="M59">
            <v>1</v>
          </cell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7</v>
          </cell>
          <cell r="Y59">
            <v>15</v>
          </cell>
          <cell r="Z59">
            <v>22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 a)"/>
      <sheetName val="Indicador b)"/>
      <sheetName val="Indicador b.1)"/>
      <sheetName val="Indicador c)"/>
      <sheetName val="Indicador c.1)"/>
      <sheetName val="Ind G 2018 con QUINTIL PERFIL"/>
      <sheetName val="Indicador H 2018"/>
      <sheetName val="Indicador I 1) 2018"/>
      <sheetName val="INDICADOR J 2017"/>
    </sheetNames>
    <sheetDataSet>
      <sheetData sheetId="0">
        <row r="34">
          <cell r="C34" t="str">
            <v>UAH</v>
          </cell>
          <cell r="D34" t="str">
            <v>U.PRIVADA</v>
          </cell>
          <cell r="E34">
            <v>151</v>
          </cell>
          <cell r="F34">
            <v>7472</v>
          </cell>
        </row>
        <row r="35">
          <cell r="C35" t="str">
            <v>UCH</v>
          </cell>
          <cell r="D35" t="str">
            <v>CRUCH-ESTATAL</v>
          </cell>
          <cell r="E35">
            <v>1558</v>
          </cell>
          <cell r="F35">
            <v>39108</v>
          </cell>
        </row>
        <row r="36">
          <cell r="C36" t="str">
            <v>USA</v>
          </cell>
          <cell r="D36" t="str">
            <v>CRUCH-ESTATAL</v>
          </cell>
          <cell r="E36">
            <v>639</v>
          </cell>
          <cell r="F36">
            <v>22989</v>
          </cell>
        </row>
        <row r="37">
          <cell r="C37" t="str">
            <v>UVA</v>
          </cell>
          <cell r="D37" t="str">
            <v>CRUCH-ESTATAL</v>
          </cell>
          <cell r="E37">
            <v>563</v>
          </cell>
          <cell r="F37">
            <v>16211</v>
          </cell>
        </row>
        <row r="38">
          <cell r="C38" t="str">
            <v>ANT</v>
          </cell>
          <cell r="D38" t="str">
            <v>CRUCH-ESTATAL</v>
          </cell>
          <cell r="E38">
            <v>315</v>
          </cell>
          <cell r="F38">
            <v>7752</v>
          </cell>
        </row>
        <row r="39">
          <cell r="C39" t="str">
            <v>ULS</v>
          </cell>
          <cell r="D39" t="str">
            <v>CRUCH-ESTATAL</v>
          </cell>
          <cell r="E39">
            <v>232</v>
          </cell>
          <cell r="F39">
            <v>7619</v>
          </cell>
        </row>
        <row r="40">
          <cell r="C40" t="str">
            <v>UBB</v>
          </cell>
          <cell r="D40" t="str">
            <v>CRUCH-ESTATAL</v>
          </cell>
          <cell r="E40">
            <v>461</v>
          </cell>
          <cell r="F40">
            <v>12677</v>
          </cell>
        </row>
        <row r="41">
          <cell r="C41" t="str">
            <v>FRO</v>
          </cell>
          <cell r="D41" t="str">
            <v>CRUCH-ESTATAL</v>
          </cell>
          <cell r="E41">
            <v>320</v>
          </cell>
          <cell r="F41">
            <v>10618</v>
          </cell>
        </row>
        <row r="42">
          <cell r="C42" t="str">
            <v>MAG</v>
          </cell>
          <cell r="D42" t="str">
            <v>CRUCH-ESTATAL</v>
          </cell>
          <cell r="E42">
            <v>188</v>
          </cell>
          <cell r="F42">
            <v>4510</v>
          </cell>
        </row>
        <row r="43">
          <cell r="C43" t="str">
            <v>TAL</v>
          </cell>
          <cell r="D43" t="str">
            <v>CRUCH-ESTATAL</v>
          </cell>
          <cell r="E43">
            <v>364</v>
          </cell>
          <cell r="F43">
            <v>10990</v>
          </cell>
        </row>
        <row r="44">
          <cell r="C44" t="str">
            <v>ATA</v>
          </cell>
          <cell r="D44" t="str">
            <v>CRUCH-ESTATAL</v>
          </cell>
          <cell r="E44">
            <v>311</v>
          </cell>
          <cell r="F44">
            <v>6947</v>
          </cell>
        </row>
        <row r="45">
          <cell r="C45" t="str">
            <v>UTA</v>
          </cell>
          <cell r="D45" t="str">
            <v>CRUCH-ESTATAL</v>
          </cell>
          <cell r="E45">
            <v>319</v>
          </cell>
          <cell r="F45">
            <v>8548</v>
          </cell>
        </row>
        <row r="46">
          <cell r="C46" t="str">
            <v>UAP</v>
          </cell>
          <cell r="D46" t="str">
            <v>CRUCH-ESTATAL</v>
          </cell>
          <cell r="E46">
            <v>272</v>
          </cell>
          <cell r="F46">
            <v>13191</v>
          </cell>
        </row>
        <row r="47">
          <cell r="C47" t="str">
            <v>UMC</v>
          </cell>
          <cell r="D47" t="str">
            <v>CRUCH-ESTATAL</v>
          </cell>
          <cell r="E47">
            <v>240</v>
          </cell>
          <cell r="F47">
            <v>4924</v>
          </cell>
        </row>
        <row r="48">
          <cell r="C48" t="str">
            <v>UPA</v>
          </cell>
          <cell r="D48" t="str">
            <v>CRUCH-ESTATAL</v>
          </cell>
          <cell r="E48">
            <v>314</v>
          </cell>
          <cell r="F48">
            <v>8334</v>
          </cell>
        </row>
        <row r="49">
          <cell r="C49" t="str">
            <v>ULA</v>
          </cell>
          <cell r="D49" t="str">
            <v>CRUCH-ESTATAL</v>
          </cell>
          <cell r="E49">
            <v>293</v>
          </cell>
          <cell r="F49">
            <v>9560</v>
          </cell>
        </row>
        <row r="50">
          <cell r="C50" t="str">
            <v>UTM</v>
          </cell>
          <cell r="D50" t="str">
            <v>CRUCH-ESTATAL</v>
          </cell>
          <cell r="E50">
            <v>195</v>
          </cell>
          <cell r="F50">
            <v>8463</v>
          </cell>
        </row>
        <row r="51">
          <cell r="C51" t="str">
            <v>PUC</v>
          </cell>
          <cell r="D51" t="str">
            <v>CRUCH-PRIVADA</v>
          </cell>
          <cell r="E51">
            <v>1557</v>
          </cell>
          <cell r="F51">
            <v>31802</v>
          </cell>
        </row>
        <row r="52">
          <cell r="C52" t="str">
            <v>UCO</v>
          </cell>
          <cell r="D52" t="str">
            <v>CRUCH-PRIVADA</v>
          </cell>
          <cell r="E52">
            <v>1127</v>
          </cell>
          <cell r="F52">
            <v>26969</v>
          </cell>
        </row>
        <row r="53">
          <cell r="C53" t="str">
            <v>FSM</v>
          </cell>
          <cell r="D53" t="str">
            <v>CRUCH-PRIVADA</v>
          </cell>
          <cell r="E53">
            <v>444</v>
          </cell>
          <cell r="F53">
            <v>19084</v>
          </cell>
        </row>
        <row r="54">
          <cell r="C54" t="str">
            <v>UCV</v>
          </cell>
          <cell r="D54" t="str">
            <v>CRUCH-PRIVADA</v>
          </cell>
          <cell r="E54">
            <v>504</v>
          </cell>
          <cell r="F54">
            <v>15948</v>
          </cell>
        </row>
        <row r="55">
          <cell r="C55" t="str">
            <v>AUS</v>
          </cell>
          <cell r="D55" t="str">
            <v>CRUCH-PRIVADA</v>
          </cell>
          <cell r="E55">
            <v>721</v>
          </cell>
          <cell r="F55">
            <v>15256</v>
          </cell>
        </row>
        <row r="56">
          <cell r="C56" t="str">
            <v>UCN</v>
          </cell>
          <cell r="D56" t="str">
            <v>CRUCH-PRIVADA</v>
          </cell>
          <cell r="E56">
            <v>433</v>
          </cell>
          <cell r="F56">
            <v>11140</v>
          </cell>
        </row>
        <row r="57">
          <cell r="C57" t="str">
            <v>UCM</v>
          </cell>
          <cell r="D57" t="str">
            <v>CRUCH-PRIVADA</v>
          </cell>
          <cell r="E57">
            <v>297</v>
          </cell>
          <cell r="F57">
            <v>8032</v>
          </cell>
        </row>
        <row r="58">
          <cell r="C58" t="str">
            <v>USC</v>
          </cell>
          <cell r="D58" t="str">
            <v>CRUCH-PRIVADA</v>
          </cell>
          <cell r="E58">
            <v>284</v>
          </cell>
          <cell r="F58">
            <v>14145</v>
          </cell>
        </row>
        <row r="59">
          <cell r="C59" t="str">
            <v>UCT</v>
          </cell>
          <cell r="D59" t="str">
            <v>CRUCH-PRIVADA</v>
          </cell>
          <cell r="E59">
            <v>331</v>
          </cell>
          <cell r="F59">
            <v>10915</v>
          </cell>
        </row>
        <row r="60">
          <cell r="D60" t="str">
            <v>U.PRIVADA</v>
          </cell>
          <cell r="E60">
            <v>6</v>
          </cell>
          <cell r="F60">
            <v>439</v>
          </cell>
        </row>
        <row r="61">
          <cell r="C61" t="str">
            <v>URO</v>
          </cell>
          <cell r="D61" t="str">
            <v>CRUCH-ESTATAL</v>
          </cell>
          <cell r="E61">
            <v>27</v>
          </cell>
          <cell r="F61">
            <v>435</v>
          </cell>
        </row>
        <row r="62">
          <cell r="C62" t="str">
            <v>URY</v>
          </cell>
          <cell r="D62" t="str">
            <v>CRUCH-ESTATAL</v>
          </cell>
          <cell r="E62">
            <v>14</v>
          </cell>
          <cell r="F62">
            <v>93</v>
          </cell>
        </row>
      </sheetData>
      <sheetData sheetId="1">
        <row r="35">
          <cell r="C35" t="str">
            <v>UCH</v>
          </cell>
          <cell r="D35" t="str">
            <v>CRUCH-ESTATAL</v>
          </cell>
          <cell r="E35">
            <v>1153.1363636363621</v>
          </cell>
          <cell r="F35">
            <v>2264.2954545454536</v>
          </cell>
        </row>
        <row r="36">
          <cell r="C36" t="str">
            <v>USA</v>
          </cell>
          <cell r="D36" t="str">
            <v>CRUCH-ESTATAL</v>
          </cell>
          <cell r="E36">
            <v>460.11363636363649</v>
          </cell>
          <cell r="F36">
            <v>1142.1363636363694</v>
          </cell>
        </row>
        <row r="37">
          <cell r="C37" t="str">
            <v>UVA</v>
          </cell>
          <cell r="D37" t="str">
            <v>CRUCH-ESTATAL</v>
          </cell>
          <cell r="E37">
            <v>239.5454545454545</v>
          </cell>
          <cell r="F37">
            <v>877.85340909090871</v>
          </cell>
        </row>
        <row r="38">
          <cell r="C38" t="str">
            <v>ANT</v>
          </cell>
          <cell r="D38" t="str">
            <v>CRUCH-ESTATAL</v>
          </cell>
          <cell r="E38">
            <v>138.19318181818181</v>
          </cell>
          <cell r="F38">
            <v>401.21590909090878</v>
          </cell>
        </row>
        <row r="39">
          <cell r="C39" t="str">
            <v>ULS</v>
          </cell>
          <cell r="D39" t="str">
            <v>CRUCH-ESTATAL</v>
          </cell>
          <cell r="E39">
            <v>122.70454545454547</v>
          </cell>
          <cell r="F39">
            <v>373.45454545454504</v>
          </cell>
        </row>
        <row r="40">
          <cell r="C40" t="str">
            <v>UBB</v>
          </cell>
          <cell r="D40" t="str">
            <v>CRUCH-ESTATAL</v>
          </cell>
          <cell r="E40">
            <v>233.2954545454545</v>
          </cell>
          <cell r="F40">
            <v>517.22727272727263</v>
          </cell>
        </row>
        <row r="41">
          <cell r="C41" t="str">
            <v>FRO</v>
          </cell>
          <cell r="D41" t="str">
            <v>CRUCH-ESTATAL</v>
          </cell>
          <cell r="E41">
            <v>207.95454545454547</v>
          </cell>
          <cell r="F41">
            <v>424.27272727272725</v>
          </cell>
        </row>
        <row r="42">
          <cell r="C42" t="str">
            <v>MAG</v>
          </cell>
          <cell r="D42" t="str">
            <v>CRUCH-ESTATAL</v>
          </cell>
          <cell r="E42">
            <v>60.594715909090915</v>
          </cell>
          <cell r="F42">
            <v>270.42346590909085</v>
          </cell>
        </row>
        <row r="43">
          <cell r="C43" t="str">
            <v>TAL</v>
          </cell>
          <cell r="D43" t="str">
            <v>CRUCH-ESTATAL</v>
          </cell>
          <cell r="E43">
            <v>228.5895454545454</v>
          </cell>
          <cell r="F43">
            <v>465.83749999999969</v>
          </cell>
        </row>
        <row r="44">
          <cell r="C44" t="str">
            <v>ATA</v>
          </cell>
          <cell r="D44" t="str">
            <v>CRUCH-ESTATAL</v>
          </cell>
          <cell r="E44">
            <v>70</v>
          </cell>
          <cell r="F44">
            <v>319.06818181818181</v>
          </cell>
        </row>
        <row r="45">
          <cell r="C45" t="str">
            <v>UTA</v>
          </cell>
          <cell r="D45" t="str">
            <v>CRUCH-ESTATAL</v>
          </cell>
          <cell r="E45">
            <v>127.25</v>
          </cell>
          <cell r="F45">
            <v>358.2272727272728</v>
          </cell>
        </row>
        <row r="46">
          <cell r="C46" t="str">
            <v>UAP</v>
          </cell>
          <cell r="D46" t="str">
            <v>CRUCH-ESTATAL</v>
          </cell>
          <cell r="E46">
            <v>72.295454545454533</v>
          </cell>
          <cell r="F46">
            <v>459.56818181818221</v>
          </cell>
        </row>
        <row r="47">
          <cell r="C47" t="str">
            <v>UMC</v>
          </cell>
          <cell r="D47" t="str">
            <v>CRUCH-ESTATAL</v>
          </cell>
          <cell r="E47">
            <v>70.5</v>
          </cell>
          <cell r="F47">
            <v>328.24999999999989</v>
          </cell>
        </row>
        <row r="48">
          <cell r="C48" t="str">
            <v>UPA</v>
          </cell>
          <cell r="D48" t="str">
            <v>CRUCH-ESTATAL</v>
          </cell>
          <cell r="E48">
            <v>125.62954545454545</v>
          </cell>
          <cell r="F48">
            <v>427.83114545454538</v>
          </cell>
        </row>
        <row r="49">
          <cell r="C49" t="str">
            <v>ULA</v>
          </cell>
          <cell r="D49" t="str">
            <v>CRUCH-ESTATAL</v>
          </cell>
          <cell r="E49">
            <v>93.090909090909093</v>
          </cell>
          <cell r="F49">
            <v>432.45227272727323</v>
          </cell>
        </row>
        <row r="50">
          <cell r="C50" t="str">
            <v>UTM</v>
          </cell>
          <cell r="D50" t="str">
            <v>CRUCH-ESTATAL</v>
          </cell>
          <cell r="E50">
            <v>54.148863636363636</v>
          </cell>
          <cell r="F50">
            <v>300.66761363636385</v>
          </cell>
        </row>
        <row r="51">
          <cell r="C51" t="str">
            <v>PUC</v>
          </cell>
          <cell r="D51" t="str">
            <v>CRUCH-PRIVADA</v>
          </cell>
          <cell r="E51">
            <v>1035.5909090909086</v>
          </cell>
          <cell r="F51">
            <v>2236.9999999999982</v>
          </cell>
        </row>
        <row r="52">
          <cell r="C52" t="str">
            <v>UCO</v>
          </cell>
          <cell r="D52" t="str">
            <v>CRUCH-PRIVADA</v>
          </cell>
          <cell r="E52">
            <v>738.72727272727263</v>
          </cell>
          <cell r="F52">
            <v>1434.4999999999998</v>
          </cell>
        </row>
        <row r="53">
          <cell r="C53" t="str">
            <v>FSM</v>
          </cell>
          <cell r="D53" t="str">
            <v>CRUCH-PRIVADA</v>
          </cell>
          <cell r="E53">
            <v>251.55681818181876</v>
          </cell>
          <cell r="F53">
            <v>698.74750000000097</v>
          </cell>
        </row>
        <row r="54">
          <cell r="C54" t="str">
            <v>UCV</v>
          </cell>
          <cell r="D54" t="str">
            <v>CRUCH-PRIVADA</v>
          </cell>
          <cell r="E54">
            <v>379.45454545454584</v>
          </cell>
          <cell r="F54">
            <v>638.65909090909201</v>
          </cell>
        </row>
        <row r="55">
          <cell r="C55" t="str">
            <v>AUS</v>
          </cell>
          <cell r="D55" t="str">
            <v>CRUCH-PRIVADA</v>
          </cell>
          <cell r="E55">
            <v>372.45454545454544</v>
          </cell>
          <cell r="F55">
            <v>911.97727272727263</v>
          </cell>
        </row>
        <row r="56">
          <cell r="C56" t="str">
            <v>UCN</v>
          </cell>
          <cell r="D56" t="str">
            <v>CRUCH-PRIVADA</v>
          </cell>
          <cell r="E56">
            <v>209.61363636363635</v>
          </cell>
          <cell r="F56">
            <v>593.09090909090958</v>
          </cell>
        </row>
        <row r="57">
          <cell r="C57" t="str">
            <v>UCM</v>
          </cell>
          <cell r="D57" t="str">
            <v>CRUCH-PRIVADA</v>
          </cell>
          <cell r="E57">
            <v>132.72727272727269</v>
          </cell>
          <cell r="F57">
            <v>406.86136363636319</v>
          </cell>
        </row>
        <row r="58">
          <cell r="C58" t="str">
            <v>USC</v>
          </cell>
          <cell r="D58" t="str">
            <v>CRUCH-PRIVADA</v>
          </cell>
          <cell r="E58">
            <v>131.70454545454541</v>
          </cell>
          <cell r="F58">
            <v>501.31818181818102</v>
          </cell>
        </row>
        <row r="59">
          <cell r="C59" t="str">
            <v>UCT</v>
          </cell>
          <cell r="D59" t="str">
            <v>CRUCH-PRIVADA</v>
          </cell>
          <cell r="E59">
            <v>149.56863636363636</v>
          </cell>
          <cell r="F59">
            <v>492.53931818181826</v>
          </cell>
        </row>
        <row r="60">
          <cell r="D60" t="str">
            <v>U.PRIVADA</v>
          </cell>
          <cell r="E60">
            <v>3.0909090909090904</v>
          </cell>
          <cell r="F60">
            <v>18.909090909090907</v>
          </cell>
        </row>
        <row r="61">
          <cell r="C61" t="str">
            <v>URO</v>
          </cell>
          <cell r="D61" t="str">
            <v>CRUCH-ESTATAL</v>
          </cell>
          <cell r="E61">
            <v>24.022727272727273</v>
          </cell>
          <cell r="F61">
            <v>35.988636363636367</v>
          </cell>
        </row>
        <row r="62">
          <cell r="C62" t="str">
            <v>URY</v>
          </cell>
          <cell r="D62" t="str">
            <v>CRUCH-ESTATAL</v>
          </cell>
          <cell r="E62">
            <v>7.9090909090909092</v>
          </cell>
          <cell r="F62">
            <v>15.352272727272728</v>
          </cell>
        </row>
      </sheetData>
      <sheetData sheetId="2"/>
      <sheetData sheetId="3">
        <row r="35">
          <cell r="C35" t="str">
            <v>UCH</v>
          </cell>
          <cell r="D35" t="str">
            <v>CRUCH-ESTATAL</v>
          </cell>
          <cell r="E35">
            <v>1153.1363636363621</v>
          </cell>
          <cell r="F35">
            <v>388.90909090909099</v>
          </cell>
          <cell r="G35">
            <v>146.88636363636354</v>
          </cell>
        </row>
        <row r="36">
          <cell r="C36" t="str">
            <v>USA</v>
          </cell>
          <cell r="D36" t="str">
            <v>CRUCH-ESTATAL</v>
          </cell>
          <cell r="E36">
            <v>460.11363636363649</v>
          </cell>
          <cell r="F36">
            <v>278.38636363636539</v>
          </cell>
          <cell r="G36">
            <v>21.909090909090907</v>
          </cell>
        </row>
        <row r="37">
          <cell r="C37" t="str">
            <v>UVA</v>
          </cell>
          <cell r="D37" t="str">
            <v>CRUCH-ESTATAL</v>
          </cell>
          <cell r="E37">
            <v>239.5454545454545</v>
          </cell>
          <cell r="F37">
            <v>330.66977272727263</v>
          </cell>
          <cell r="G37">
            <v>64.159090909090878</v>
          </cell>
        </row>
        <row r="38">
          <cell r="C38" t="str">
            <v>ANT</v>
          </cell>
          <cell r="D38" t="str">
            <v>CRUCH-ESTATAL</v>
          </cell>
          <cell r="E38">
            <v>138.19318181818181</v>
          </cell>
          <cell r="F38">
            <v>121.22159090909088</v>
          </cell>
          <cell r="G38">
            <v>17.494318181818183</v>
          </cell>
        </row>
        <row r="39">
          <cell r="C39" t="str">
            <v>ULS</v>
          </cell>
          <cell r="D39" t="str">
            <v>CRUCH-ESTATAL</v>
          </cell>
          <cell r="E39">
            <v>122.70454545454547</v>
          </cell>
          <cell r="F39">
            <v>96.772727272727224</v>
          </cell>
          <cell r="G39">
            <v>6.0454545454545441</v>
          </cell>
        </row>
        <row r="40">
          <cell r="C40" t="str">
            <v>UBB</v>
          </cell>
          <cell r="D40" t="str">
            <v>CRUCH-ESTATAL</v>
          </cell>
          <cell r="E40">
            <v>233.2954545454545</v>
          </cell>
          <cell r="F40">
            <v>208.25000000000003</v>
          </cell>
          <cell r="G40">
            <v>0</v>
          </cell>
        </row>
        <row r="41">
          <cell r="C41" t="str">
            <v>FRO</v>
          </cell>
          <cell r="D41" t="str">
            <v>CRUCH-ESTATAL</v>
          </cell>
          <cell r="E41">
            <v>207.95454545454547</v>
          </cell>
          <cell r="F41">
            <v>97.568181818181813</v>
          </cell>
          <cell r="G41">
            <v>33.818181818181813</v>
          </cell>
        </row>
        <row r="42">
          <cell r="C42" t="str">
            <v>MAG</v>
          </cell>
          <cell r="D42" t="str">
            <v>CRUCH-ESTATAL</v>
          </cell>
          <cell r="E42">
            <v>60.594715909090915</v>
          </cell>
          <cell r="F42">
            <v>71.279659090909064</v>
          </cell>
          <cell r="G42">
            <v>0.78017045454545464</v>
          </cell>
        </row>
        <row r="43">
          <cell r="C43" t="str">
            <v>TAL</v>
          </cell>
          <cell r="D43" t="str">
            <v>CRUCH-ESTATAL</v>
          </cell>
          <cell r="E43">
            <v>228.5895454545454</v>
          </cell>
          <cell r="F43">
            <v>200.95318181818163</v>
          </cell>
          <cell r="G43">
            <v>20.59090909090909</v>
          </cell>
        </row>
        <row r="44">
          <cell r="C44" t="str">
            <v>ATA</v>
          </cell>
          <cell r="D44" t="str">
            <v>CRUCH-ESTATAL</v>
          </cell>
          <cell r="E44">
            <v>70</v>
          </cell>
          <cell r="F44">
            <v>69.409090909090907</v>
          </cell>
          <cell r="G44">
            <v>0</v>
          </cell>
        </row>
        <row r="45">
          <cell r="C45" t="str">
            <v>UTA</v>
          </cell>
          <cell r="D45" t="str">
            <v>CRUCH-ESTATAL</v>
          </cell>
          <cell r="E45">
            <v>127.25</v>
          </cell>
          <cell r="F45">
            <v>179.06818181818187</v>
          </cell>
          <cell r="G45">
            <v>2.0454545454545454</v>
          </cell>
        </row>
        <row r="46">
          <cell r="C46" t="str">
            <v>UAP</v>
          </cell>
          <cell r="D46" t="str">
            <v>CRUCH-ESTATAL</v>
          </cell>
          <cell r="E46">
            <v>72.295454545454533</v>
          </cell>
          <cell r="F46">
            <v>174.52272727272754</v>
          </cell>
          <cell r="G46">
            <v>0.18181818181818182</v>
          </cell>
        </row>
        <row r="47">
          <cell r="C47" t="str">
            <v>UMC</v>
          </cell>
          <cell r="D47" t="str">
            <v>CRUCH-ESTATAL</v>
          </cell>
          <cell r="E47">
            <v>70.5</v>
          </cell>
          <cell r="F47">
            <v>155.29545454545448</v>
          </cell>
          <cell r="G47">
            <v>0</v>
          </cell>
        </row>
        <row r="48">
          <cell r="C48" t="str">
            <v>UPA</v>
          </cell>
          <cell r="D48" t="str">
            <v>CRUCH-ESTATAL</v>
          </cell>
          <cell r="E48">
            <v>125.62954545454545</v>
          </cell>
          <cell r="F48">
            <v>196.87727272727278</v>
          </cell>
          <cell r="G48">
            <v>0.13636363636363635</v>
          </cell>
        </row>
        <row r="49">
          <cell r="C49" t="str">
            <v>ULA</v>
          </cell>
          <cell r="D49" t="str">
            <v>CRUCH-ESTATAL</v>
          </cell>
          <cell r="E49">
            <v>93.090909090909093</v>
          </cell>
          <cell r="F49">
            <v>163.85454545454553</v>
          </cell>
          <cell r="G49">
            <v>0</v>
          </cell>
        </row>
        <row r="50">
          <cell r="C50" t="str">
            <v>UTM</v>
          </cell>
          <cell r="D50" t="str">
            <v>CRUCH-ESTATAL</v>
          </cell>
          <cell r="E50">
            <v>54.148863636363636</v>
          </cell>
          <cell r="F50">
            <v>133.59431818181827</v>
          </cell>
          <cell r="G50">
            <v>0</v>
          </cell>
        </row>
        <row r="51">
          <cell r="C51" t="str">
            <v>PUC</v>
          </cell>
          <cell r="D51" t="str">
            <v>CRUCH-PRIVADA</v>
          </cell>
          <cell r="E51">
            <v>1035.5909090909086</v>
          </cell>
          <cell r="F51">
            <v>487.06818181818062</v>
          </cell>
          <cell r="G51">
            <v>439.24999999999989</v>
          </cell>
        </row>
        <row r="52">
          <cell r="C52" t="str">
            <v>UCO</v>
          </cell>
          <cell r="D52" t="str">
            <v>CRUCH-PRIVADA</v>
          </cell>
          <cell r="E52">
            <v>738.72727272727263</v>
          </cell>
          <cell r="F52">
            <v>398.09090909090901</v>
          </cell>
          <cell r="G52">
            <v>90.795454545454575</v>
          </cell>
        </row>
        <row r="53">
          <cell r="C53" t="str">
            <v>FSM</v>
          </cell>
          <cell r="D53" t="str">
            <v>CRUCH-PRIVADA</v>
          </cell>
          <cell r="E53">
            <v>251.55681818181876</v>
          </cell>
          <cell r="F53">
            <v>180.05795454545435</v>
          </cell>
          <cell r="G53">
            <v>0</v>
          </cell>
        </row>
        <row r="54">
          <cell r="C54" t="str">
            <v>UCV</v>
          </cell>
          <cell r="D54" t="str">
            <v>CRUCH-PRIVADA</v>
          </cell>
          <cell r="E54">
            <v>379.45454545454584</v>
          </cell>
          <cell r="F54">
            <v>147.40909090909113</v>
          </cell>
          <cell r="G54">
            <v>0.57954545454545459</v>
          </cell>
        </row>
        <row r="55">
          <cell r="C55" t="str">
            <v>AUS</v>
          </cell>
          <cell r="D55" t="str">
            <v>CRUCH-PRIVADA</v>
          </cell>
          <cell r="E55">
            <v>372.45454545454544</v>
          </cell>
          <cell r="F55">
            <v>255.7727272727272</v>
          </cell>
          <cell r="G55">
            <v>60.681818181818215</v>
          </cell>
        </row>
        <row r="56">
          <cell r="C56" t="str">
            <v>UCN</v>
          </cell>
          <cell r="D56" t="str">
            <v>CRUCH-PRIVADA</v>
          </cell>
          <cell r="E56">
            <v>209.61363636363635</v>
          </cell>
          <cell r="F56">
            <v>158.75000000000009</v>
          </cell>
          <cell r="G56">
            <v>21</v>
          </cell>
        </row>
        <row r="57">
          <cell r="C57" t="str">
            <v>UCM</v>
          </cell>
          <cell r="D57" t="str">
            <v>CRUCH-PRIVADA</v>
          </cell>
          <cell r="E57">
            <v>132.72727272727269</v>
          </cell>
          <cell r="F57">
            <v>152.51363636363627</v>
          </cell>
          <cell r="G57">
            <v>34.377272727272732</v>
          </cell>
        </row>
        <row r="58">
          <cell r="C58" t="str">
            <v>USC</v>
          </cell>
          <cell r="D58" t="str">
            <v>CRUCH-PRIVADA</v>
          </cell>
          <cell r="E58">
            <v>131.70454545454541</v>
          </cell>
          <cell r="F58">
            <v>167.84090909090838</v>
          </cell>
          <cell r="G58">
            <v>28.318181818181817</v>
          </cell>
        </row>
        <row r="59">
          <cell r="C59" t="str">
            <v>UCT</v>
          </cell>
          <cell r="D59" t="str">
            <v>CRUCH-PRIVADA</v>
          </cell>
          <cell r="E59">
            <v>149.56863636363636</v>
          </cell>
          <cell r="F59">
            <v>194.43295454545452</v>
          </cell>
          <cell r="G59">
            <v>1.0909090909090908</v>
          </cell>
        </row>
        <row r="60">
          <cell r="D60" t="str">
            <v>U.PRIVADA</v>
          </cell>
          <cell r="E60">
            <v>3.0909090909090904</v>
          </cell>
          <cell r="F60">
            <v>11.113636363636363</v>
          </cell>
          <cell r="G60">
            <v>0</v>
          </cell>
        </row>
        <row r="61">
          <cell r="C61" t="str">
            <v>URO</v>
          </cell>
          <cell r="D61" t="str">
            <v>CRUCH-ESTATAL</v>
          </cell>
          <cell r="E61">
            <v>24.022727272727273</v>
          </cell>
          <cell r="F61">
            <v>6.1363636363636358</v>
          </cell>
          <cell r="G61">
            <v>0.5</v>
          </cell>
        </row>
        <row r="62">
          <cell r="C62" t="str">
            <v>URY</v>
          </cell>
          <cell r="D62" t="str">
            <v>CRUCH-ESTATAL</v>
          </cell>
          <cell r="E62">
            <v>7.9090909090909092</v>
          </cell>
          <cell r="F62">
            <v>3.375</v>
          </cell>
          <cell r="G62">
            <v>1</v>
          </cell>
        </row>
      </sheetData>
      <sheetData sheetId="4">
        <row r="35">
          <cell r="C35" t="str">
            <v>UCH</v>
          </cell>
        </row>
      </sheetData>
      <sheetData sheetId="5">
        <row r="10">
          <cell r="F10" t="str">
            <v>PUC</v>
          </cell>
          <cell r="G10">
            <v>0.20474837662337661</v>
          </cell>
          <cell r="H10">
            <v>0.24707462113945905</v>
          </cell>
          <cell r="I10">
            <v>0.25753792971000578</v>
          </cell>
          <cell r="J10">
            <v>0.23735555976510703</v>
          </cell>
          <cell r="K10">
            <v>0.27635899306822326</v>
          </cell>
          <cell r="L10">
            <v>0.25675189052934821</v>
          </cell>
          <cell r="M10">
            <v>0.25574407917992226</v>
          </cell>
          <cell r="N10">
            <v>4928</v>
          </cell>
          <cell r="O10">
            <v>5213</v>
          </cell>
          <cell r="P10">
            <v>5207</v>
          </cell>
          <cell r="Q10">
            <v>5279</v>
          </cell>
          <cell r="R10">
            <v>5482</v>
          </cell>
          <cell r="S10">
            <v>5554</v>
          </cell>
          <cell r="T10">
            <v>5658</v>
          </cell>
          <cell r="U10">
            <v>1009</v>
          </cell>
          <cell r="V10">
            <v>1288</v>
          </cell>
          <cell r="W10">
            <v>1341</v>
          </cell>
          <cell r="X10">
            <v>1253</v>
          </cell>
          <cell r="Y10">
            <v>1515</v>
          </cell>
          <cell r="Z10">
            <v>1426</v>
          </cell>
          <cell r="AA10">
            <v>1447</v>
          </cell>
        </row>
        <row r="11">
          <cell r="F11" t="str">
            <v>UCV</v>
          </cell>
          <cell r="G11">
            <v>0.55459098497495829</v>
          </cell>
          <cell r="H11">
            <v>0.58203368683718026</v>
          </cell>
          <cell r="I11">
            <v>0.5748987854251012</v>
          </cell>
          <cell r="J11">
            <v>0.57042896257986009</v>
          </cell>
          <cell r="K11">
            <v>0.5692036438436674</v>
          </cell>
          <cell r="L11">
            <v>0.57999431656720657</v>
          </cell>
          <cell r="M11">
            <v>0.5607843137254902</v>
          </cell>
          <cell r="N11">
            <v>2995</v>
          </cell>
          <cell r="O11">
            <v>3206</v>
          </cell>
          <cell r="P11">
            <v>3211</v>
          </cell>
          <cell r="Q11">
            <v>3287</v>
          </cell>
          <cell r="R11">
            <v>3403</v>
          </cell>
          <cell r="S11">
            <v>3519</v>
          </cell>
          <cell r="T11">
            <v>3570</v>
          </cell>
          <cell r="U11">
            <v>1661</v>
          </cell>
          <cell r="V11">
            <v>1866</v>
          </cell>
          <cell r="W11">
            <v>1846</v>
          </cell>
          <cell r="X11">
            <v>1875</v>
          </cell>
          <cell r="Y11">
            <v>1937</v>
          </cell>
          <cell r="Z11">
            <v>2041</v>
          </cell>
          <cell r="AA11">
            <v>2002</v>
          </cell>
        </row>
        <row r="12">
          <cell r="F12" t="str">
            <v>UAP</v>
          </cell>
          <cell r="G12">
            <v>0.52252252252252251</v>
          </cell>
          <cell r="H12">
            <v>0.57024793388429751</v>
          </cell>
          <cell r="I12">
            <v>0.63697967086156826</v>
          </cell>
          <cell r="J12">
            <v>0.64012738853503182</v>
          </cell>
          <cell r="K12">
            <v>0.68143459915611815</v>
          </cell>
          <cell r="L12">
            <v>0.69678714859437751</v>
          </cell>
          <cell r="M12">
            <v>0.59149223497636727</v>
          </cell>
          <cell r="N12">
            <v>999</v>
          </cell>
          <cell r="O12">
            <v>968</v>
          </cell>
          <cell r="P12">
            <v>1033</v>
          </cell>
          <cell r="Q12">
            <v>942</v>
          </cell>
          <cell r="R12">
            <v>948</v>
          </cell>
          <cell r="S12">
            <v>996</v>
          </cell>
          <cell r="T12">
            <v>1481</v>
          </cell>
          <cell r="U12">
            <v>522</v>
          </cell>
          <cell r="V12">
            <v>552</v>
          </cell>
          <cell r="W12">
            <v>658</v>
          </cell>
          <cell r="X12">
            <v>603</v>
          </cell>
          <cell r="Y12">
            <v>646</v>
          </cell>
          <cell r="Z12">
            <v>694</v>
          </cell>
          <cell r="AA12">
            <v>876</v>
          </cell>
        </row>
        <row r="13">
          <cell r="F13" t="str">
            <v>AUS</v>
          </cell>
          <cell r="G13">
            <v>0.62584175084175087</v>
          </cell>
          <cell r="H13">
            <v>0.63309885227693452</v>
          </cell>
          <cell r="I13">
            <v>0.64667393675027263</v>
          </cell>
          <cell r="J13">
            <v>0.61967994552264216</v>
          </cell>
          <cell r="K13">
            <v>0.65958200495926322</v>
          </cell>
          <cell r="L13">
            <v>0.65447957839262183</v>
          </cell>
          <cell r="M13">
            <v>0.64413389665258369</v>
          </cell>
          <cell r="N13">
            <v>2376</v>
          </cell>
          <cell r="O13">
            <v>2701</v>
          </cell>
          <cell r="P13">
            <v>2751</v>
          </cell>
          <cell r="Q13">
            <v>2937</v>
          </cell>
          <cell r="R13">
            <v>2823</v>
          </cell>
          <cell r="S13">
            <v>3036</v>
          </cell>
          <cell r="T13">
            <v>3077</v>
          </cell>
          <cell r="U13">
            <v>1487</v>
          </cell>
          <cell r="V13">
            <v>1710</v>
          </cell>
          <cell r="W13">
            <v>1779</v>
          </cell>
          <cell r="X13">
            <v>1820</v>
          </cell>
          <cell r="Y13">
            <v>1862</v>
          </cell>
          <cell r="Z13">
            <v>1987</v>
          </cell>
          <cell r="AA13">
            <v>1982</v>
          </cell>
        </row>
        <row r="14">
          <cell r="F14" t="str">
            <v>USC</v>
          </cell>
          <cell r="G14">
            <v>0.75</v>
          </cell>
          <cell r="H14">
            <v>0.79628400796284005</v>
          </cell>
          <cell r="I14">
            <v>0.83381924198250734</v>
          </cell>
          <cell r="J14">
            <v>0.77976523197316938</v>
          </cell>
          <cell r="K14">
            <v>0.76919060052219324</v>
          </cell>
          <cell r="L14">
            <v>0.77393617021276595</v>
          </cell>
          <cell r="M14">
            <v>0.76580677794638341</v>
          </cell>
          <cell r="N14">
            <v>1876</v>
          </cell>
          <cell r="O14">
            <v>1507</v>
          </cell>
          <cell r="P14">
            <v>1715</v>
          </cell>
          <cell r="Q14">
            <v>1789</v>
          </cell>
          <cell r="R14">
            <v>1915</v>
          </cell>
          <cell r="S14">
            <v>1880</v>
          </cell>
          <cell r="T14">
            <v>1977</v>
          </cell>
          <cell r="U14">
            <v>1407</v>
          </cell>
          <cell r="V14">
            <v>1200</v>
          </cell>
          <cell r="W14">
            <v>1430</v>
          </cell>
          <cell r="X14">
            <v>1395</v>
          </cell>
          <cell r="Y14">
            <v>1473</v>
          </cell>
          <cell r="Z14">
            <v>1455</v>
          </cell>
          <cell r="AA14">
            <v>1514</v>
          </cell>
        </row>
        <row r="15">
          <cell r="F15" t="str">
            <v>UCT</v>
          </cell>
          <cell r="G15">
            <v>0.76699029126213591</v>
          </cell>
          <cell r="H15">
            <v>0.79551667577911422</v>
          </cell>
          <cell r="I15">
            <v>0.80553918680023573</v>
          </cell>
          <cell r="J15">
            <v>0.7954309449636553</v>
          </cell>
          <cell r="K15">
            <v>0.8040130657956136</v>
          </cell>
          <cell r="L15">
            <v>0.8107559614408929</v>
          </cell>
          <cell r="M15">
            <v>0.79243353783231085</v>
          </cell>
          <cell r="N15">
            <v>1648</v>
          </cell>
          <cell r="O15">
            <v>1829</v>
          </cell>
          <cell r="P15">
            <v>1697</v>
          </cell>
          <cell r="Q15">
            <v>1926</v>
          </cell>
          <cell r="R15">
            <v>2143</v>
          </cell>
          <cell r="S15">
            <v>1971</v>
          </cell>
          <cell r="T15">
            <v>1956</v>
          </cell>
          <cell r="U15">
            <v>1264</v>
          </cell>
          <cell r="V15">
            <v>1455</v>
          </cell>
          <cell r="W15">
            <v>1367</v>
          </cell>
          <cell r="X15">
            <v>1532</v>
          </cell>
          <cell r="Y15">
            <v>1723</v>
          </cell>
          <cell r="Z15">
            <v>1598</v>
          </cell>
          <cell r="AA15">
            <v>1550</v>
          </cell>
        </row>
        <row r="16">
          <cell r="F16" t="str">
            <v>UCM</v>
          </cell>
          <cell r="G16">
            <v>0.75</v>
          </cell>
          <cell r="H16">
            <v>0.765474552957359</v>
          </cell>
          <cell r="I16">
            <v>0.79557195571955719</v>
          </cell>
          <cell r="J16">
            <v>0.77298444130127297</v>
          </cell>
          <cell r="K16">
            <v>0.79132473622508792</v>
          </cell>
          <cell r="L16">
            <v>0.79651162790697672</v>
          </cell>
          <cell r="M16">
            <v>0.7714420358152686</v>
          </cell>
          <cell r="N16">
            <v>1308</v>
          </cell>
          <cell r="O16">
            <v>1454</v>
          </cell>
          <cell r="P16">
            <v>1355</v>
          </cell>
          <cell r="Q16">
            <v>1414</v>
          </cell>
          <cell r="R16">
            <v>1706</v>
          </cell>
          <cell r="S16">
            <v>1892</v>
          </cell>
          <cell r="T16">
            <v>2122</v>
          </cell>
          <cell r="U16">
            <v>981</v>
          </cell>
          <cell r="V16">
            <v>1113</v>
          </cell>
          <cell r="W16">
            <v>1078</v>
          </cell>
          <cell r="X16">
            <v>1093</v>
          </cell>
          <cell r="Y16">
            <v>1350</v>
          </cell>
          <cell r="Z16">
            <v>1507</v>
          </cell>
          <cell r="AA16">
            <v>1637</v>
          </cell>
        </row>
        <row r="17">
          <cell r="F17" t="str">
            <v>UCN</v>
          </cell>
          <cell r="G17">
            <v>0.43885714285714283</v>
          </cell>
          <cell r="H17">
            <v>0.45280082987551867</v>
          </cell>
          <cell r="I17">
            <v>0.4891015417331207</v>
          </cell>
          <cell r="J17">
            <v>0.46512820512820513</v>
          </cell>
          <cell r="K17">
            <v>0.51402321083172142</v>
          </cell>
          <cell r="L17">
            <v>0.49296413980935089</v>
          </cell>
          <cell r="M17">
            <v>0.49516797054763001</v>
          </cell>
          <cell r="N17">
            <v>1750</v>
          </cell>
          <cell r="O17">
            <v>1928</v>
          </cell>
          <cell r="P17">
            <v>1881</v>
          </cell>
          <cell r="Q17">
            <v>1950</v>
          </cell>
          <cell r="R17">
            <v>2068</v>
          </cell>
          <cell r="S17">
            <v>2203</v>
          </cell>
          <cell r="T17">
            <v>2173</v>
          </cell>
          <cell r="U17">
            <v>768</v>
          </cell>
          <cell r="V17">
            <v>873</v>
          </cell>
          <cell r="W17">
            <v>920</v>
          </cell>
          <cell r="X17">
            <v>907</v>
          </cell>
          <cell r="Y17">
            <v>1063</v>
          </cell>
          <cell r="Z17">
            <v>1086</v>
          </cell>
          <cell r="AA17">
            <v>1076</v>
          </cell>
        </row>
        <row r="18">
          <cell r="F18" t="str">
            <v>ANT</v>
          </cell>
          <cell r="G18">
            <v>0.37237237237237236</v>
          </cell>
          <cell r="H18">
            <v>0.41467889908256883</v>
          </cell>
          <cell r="I18">
            <v>0.42173913043478262</v>
          </cell>
          <cell r="J18">
            <v>0.38935810810810811</v>
          </cell>
          <cell r="K18">
            <v>0.46887009992313605</v>
          </cell>
          <cell r="L18">
            <v>0.47344110854503463</v>
          </cell>
          <cell r="M18">
            <v>0.44026548672566373</v>
          </cell>
          <cell r="N18">
            <v>999</v>
          </cell>
          <cell r="O18">
            <v>1090</v>
          </cell>
          <cell r="P18">
            <v>1150</v>
          </cell>
          <cell r="Q18">
            <v>1184</v>
          </cell>
          <cell r="R18">
            <v>1301</v>
          </cell>
          <cell r="S18">
            <v>1299</v>
          </cell>
          <cell r="T18">
            <v>1356</v>
          </cell>
          <cell r="U18">
            <v>372</v>
          </cell>
          <cell r="V18">
            <v>452</v>
          </cell>
          <cell r="W18">
            <v>485</v>
          </cell>
          <cell r="X18">
            <v>461</v>
          </cell>
          <cell r="Y18">
            <v>610</v>
          </cell>
          <cell r="Z18">
            <v>615</v>
          </cell>
          <cell r="AA18">
            <v>597</v>
          </cell>
        </row>
        <row r="19">
          <cell r="F19" t="str">
            <v>ATA</v>
          </cell>
          <cell r="G19">
            <v>0.56559766763848396</v>
          </cell>
          <cell r="H19">
            <v>0.54754754754754753</v>
          </cell>
          <cell r="I19">
            <v>0.56735496558505405</v>
          </cell>
          <cell r="J19">
            <v>0.56243854473942967</v>
          </cell>
          <cell r="K19">
            <v>0.64114832535885169</v>
          </cell>
          <cell r="L19">
            <v>0.6701323251417769</v>
          </cell>
          <cell r="M19">
            <v>0.6644486692015209</v>
          </cell>
          <cell r="N19">
            <v>686</v>
          </cell>
          <cell r="O19">
            <v>999</v>
          </cell>
          <cell r="P19">
            <v>1017</v>
          </cell>
          <cell r="Q19">
            <v>1017</v>
          </cell>
          <cell r="R19">
            <v>1045</v>
          </cell>
          <cell r="S19">
            <v>1058</v>
          </cell>
          <cell r="T19">
            <v>1052</v>
          </cell>
          <cell r="U19">
            <v>388</v>
          </cell>
          <cell r="V19">
            <v>547</v>
          </cell>
          <cell r="W19">
            <v>577</v>
          </cell>
          <cell r="X19">
            <v>572</v>
          </cell>
          <cell r="Y19">
            <v>670</v>
          </cell>
          <cell r="Z19">
            <v>709</v>
          </cell>
          <cell r="AA19">
            <v>699</v>
          </cell>
        </row>
        <row r="20">
          <cell r="F20" t="str">
            <v>URY</v>
          </cell>
          <cell r="G20"/>
          <cell r="H20"/>
          <cell r="I20"/>
          <cell r="J20"/>
          <cell r="K20"/>
          <cell r="L20">
            <v>0.68817204301075274</v>
          </cell>
          <cell r="M20">
            <v>0.69747899159663862</v>
          </cell>
          <cell r="N20"/>
          <cell r="O20"/>
          <cell r="P20"/>
          <cell r="Q20"/>
          <cell r="R20"/>
          <cell r="S20">
            <v>93</v>
          </cell>
          <cell r="T20">
            <v>119</v>
          </cell>
          <cell r="U20"/>
          <cell r="V20"/>
          <cell r="W20"/>
          <cell r="X20"/>
          <cell r="Y20"/>
          <cell r="Z20">
            <v>64</v>
          </cell>
          <cell r="AA20">
            <v>83</v>
          </cell>
        </row>
        <row r="21">
          <cell r="F21" t="str">
            <v>UCH</v>
          </cell>
          <cell r="G21">
            <v>0.41156530408773678</v>
          </cell>
          <cell r="H21">
            <v>0.44507683551508254</v>
          </cell>
          <cell r="I21">
            <v>0.45997140814867765</v>
          </cell>
          <cell r="J21">
            <v>0.45439659407237598</v>
          </cell>
          <cell r="K21">
            <v>0.48905738411166638</v>
          </cell>
          <cell r="L21">
            <v>0.48129423660262893</v>
          </cell>
          <cell r="M21">
            <v>0.42911686586985393</v>
          </cell>
          <cell r="N21">
            <v>5015</v>
          </cell>
          <cell r="O21">
            <v>5271</v>
          </cell>
          <cell r="P21">
            <v>5596</v>
          </cell>
          <cell r="Q21">
            <v>6107</v>
          </cell>
          <cell r="R21">
            <v>5803</v>
          </cell>
          <cell r="S21">
            <v>5934</v>
          </cell>
          <cell r="T21">
            <v>6024</v>
          </cell>
          <cell r="U21">
            <v>2064</v>
          </cell>
          <cell r="V21">
            <v>2346</v>
          </cell>
          <cell r="W21">
            <v>2574</v>
          </cell>
          <cell r="X21">
            <v>2775</v>
          </cell>
          <cell r="Y21">
            <v>2838</v>
          </cell>
          <cell r="Z21">
            <v>2856</v>
          </cell>
          <cell r="AA21">
            <v>2585</v>
          </cell>
        </row>
        <row r="22">
          <cell r="F22" t="str">
            <v>UCO</v>
          </cell>
          <cell r="G22">
            <v>0.68837209302325586</v>
          </cell>
          <cell r="H22">
            <v>0.6852334201562813</v>
          </cell>
          <cell r="I22">
            <v>0.70620748299319724</v>
          </cell>
          <cell r="J22">
            <v>0.67432321575061527</v>
          </cell>
          <cell r="K22">
            <v>0.66373450619752095</v>
          </cell>
          <cell r="L22">
            <v>0.67343173431734316</v>
          </cell>
          <cell r="M22">
            <v>0.64698983580922598</v>
          </cell>
          <cell r="N22">
            <v>4730</v>
          </cell>
          <cell r="O22">
            <v>4991</v>
          </cell>
          <cell r="P22">
            <v>4704</v>
          </cell>
          <cell r="Q22">
            <v>4876</v>
          </cell>
          <cell r="R22">
            <v>5002</v>
          </cell>
          <cell r="S22">
            <v>4878</v>
          </cell>
          <cell r="T22">
            <v>5116</v>
          </cell>
          <cell r="U22">
            <v>3256</v>
          </cell>
          <cell r="V22">
            <v>3420</v>
          </cell>
          <cell r="W22">
            <v>3322</v>
          </cell>
          <cell r="X22">
            <v>3288</v>
          </cell>
          <cell r="Y22">
            <v>3320</v>
          </cell>
          <cell r="Z22">
            <v>3285</v>
          </cell>
          <cell r="AA22">
            <v>3310</v>
          </cell>
        </row>
        <row r="23">
          <cell r="F23" t="str">
            <v>FRO</v>
          </cell>
          <cell r="G23">
            <v>0.66393022062596208</v>
          </cell>
          <cell r="H23">
            <v>0.67006629270780216</v>
          </cell>
          <cell r="I23">
            <v>0.73853452820242493</v>
          </cell>
          <cell r="J23">
            <v>0.70067372473532241</v>
          </cell>
          <cell r="K23">
            <v>0.70987951807228911</v>
          </cell>
          <cell r="L23">
            <v>0.69212635549269208</v>
          </cell>
          <cell r="M23">
            <v>0.67470997679814382</v>
          </cell>
          <cell r="N23">
            <v>1949</v>
          </cell>
          <cell r="O23">
            <v>1961</v>
          </cell>
          <cell r="P23">
            <v>1897</v>
          </cell>
          <cell r="Q23">
            <v>2078</v>
          </cell>
          <cell r="R23">
            <v>2075</v>
          </cell>
          <cell r="S23">
            <v>2121</v>
          </cell>
          <cell r="T23">
            <v>2155</v>
          </cell>
          <cell r="U23">
            <v>1294</v>
          </cell>
          <cell r="V23">
            <v>1314</v>
          </cell>
          <cell r="W23">
            <v>1401</v>
          </cell>
          <cell r="X23">
            <v>1456</v>
          </cell>
          <cell r="Y23">
            <v>1473</v>
          </cell>
          <cell r="Z23">
            <v>1468</v>
          </cell>
          <cell r="AA23">
            <v>1454</v>
          </cell>
        </row>
        <row r="24">
          <cell r="F24" t="str">
            <v>ULS</v>
          </cell>
          <cell r="G24">
            <v>0.62411347517730498</v>
          </cell>
          <cell r="H24">
            <v>0.63164400494437578</v>
          </cell>
          <cell r="I24">
            <v>0.66666666666666663</v>
          </cell>
          <cell r="J24">
            <v>0.64916615194564542</v>
          </cell>
          <cell r="K24">
            <v>0.70626865671641792</v>
          </cell>
          <cell r="L24">
            <v>0.67343485617597287</v>
          </cell>
          <cell r="M24">
            <v>0.64525298465036951</v>
          </cell>
          <cell r="N24">
            <v>1551</v>
          </cell>
          <cell r="O24">
            <v>1618</v>
          </cell>
          <cell r="P24">
            <v>1548</v>
          </cell>
          <cell r="Q24">
            <v>1619</v>
          </cell>
          <cell r="R24">
            <v>1675</v>
          </cell>
          <cell r="S24">
            <v>1773</v>
          </cell>
          <cell r="T24">
            <v>1759</v>
          </cell>
          <cell r="U24">
            <v>968</v>
          </cell>
          <cell r="V24">
            <v>1022</v>
          </cell>
          <cell r="W24">
            <v>1032</v>
          </cell>
          <cell r="X24">
            <v>1051</v>
          </cell>
          <cell r="Y24">
            <v>1183</v>
          </cell>
          <cell r="Z24">
            <v>1194</v>
          </cell>
          <cell r="AA24">
            <v>1135</v>
          </cell>
        </row>
        <row r="25">
          <cell r="F25" t="str">
            <v>ULA</v>
          </cell>
          <cell r="G25">
            <v>0.77881619937694702</v>
          </cell>
          <cell r="H25">
            <v>0.79407806191117092</v>
          </cell>
          <cell r="I25">
            <v>0.81355932203389836</v>
          </cell>
          <cell r="J25">
            <v>0.81936245572609212</v>
          </cell>
          <cell r="K25">
            <v>0.82191780821917804</v>
          </cell>
          <cell r="L25">
            <v>0.83918367346938771</v>
          </cell>
          <cell r="M25">
            <v>0.83551114527286707</v>
          </cell>
          <cell r="N25">
            <v>642</v>
          </cell>
          <cell r="O25">
            <v>743</v>
          </cell>
          <cell r="P25">
            <v>885</v>
          </cell>
          <cell r="Q25">
            <v>847</v>
          </cell>
          <cell r="R25">
            <v>1022</v>
          </cell>
          <cell r="S25">
            <v>1225</v>
          </cell>
          <cell r="T25">
            <v>1301</v>
          </cell>
          <cell r="U25">
            <v>500</v>
          </cell>
          <cell r="V25">
            <v>590</v>
          </cell>
          <cell r="W25">
            <v>720</v>
          </cell>
          <cell r="X25">
            <v>694</v>
          </cell>
          <cell r="Y25">
            <v>840</v>
          </cell>
          <cell r="Z25">
            <v>1028</v>
          </cell>
          <cell r="AA25">
            <v>1087</v>
          </cell>
        </row>
        <row r="26">
          <cell r="F26" t="str">
            <v>MAG</v>
          </cell>
          <cell r="G26">
            <v>0.4375</v>
          </cell>
          <cell r="H26">
            <v>0.48929159802306427</v>
          </cell>
          <cell r="I26">
            <v>0.51520572450805013</v>
          </cell>
          <cell r="J26">
            <v>0.48652694610778441</v>
          </cell>
          <cell r="K26">
            <v>0.5879194630872483</v>
          </cell>
          <cell r="L26">
            <v>0.56091030789825969</v>
          </cell>
          <cell r="M26">
            <v>0.53641456582633051</v>
          </cell>
          <cell r="N26">
            <v>448</v>
          </cell>
          <cell r="O26">
            <v>607</v>
          </cell>
          <cell r="P26">
            <v>559</v>
          </cell>
          <cell r="Q26">
            <v>668</v>
          </cell>
          <cell r="R26">
            <v>745</v>
          </cell>
          <cell r="S26">
            <v>747</v>
          </cell>
          <cell r="T26">
            <v>714</v>
          </cell>
          <cell r="U26">
            <v>196</v>
          </cell>
          <cell r="V26">
            <v>297</v>
          </cell>
          <cell r="W26">
            <v>288</v>
          </cell>
          <cell r="X26">
            <v>325</v>
          </cell>
          <cell r="Y26">
            <v>438</v>
          </cell>
          <cell r="Z26">
            <v>419</v>
          </cell>
          <cell r="AA26">
            <v>383</v>
          </cell>
        </row>
        <row r="27">
          <cell r="F27" t="str">
            <v>URO</v>
          </cell>
          <cell r="G27"/>
          <cell r="H27"/>
          <cell r="I27"/>
          <cell r="J27"/>
          <cell r="K27"/>
          <cell r="L27">
            <v>0.75811209439528027</v>
          </cell>
          <cell r="M27">
            <v>0.75443383356070937</v>
          </cell>
          <cell r="N27"/>
          <cell r="O27"/>
          <cell r="P27"/>
          <cell r="Q27"/>
          <cell r="R27"/>
          <cell r="S27">
            <v>339</v>
          </cell>
          <cell r="T27">
            <v>733</v>
          </cell>
          <cell r="U27"/>
          <cell r="V27"/>
          <cell r="W27"/>
          <cell r="X27"/>
          <cell r="Y27"/>
          <cell r="Z27">
            <v>257</v>
          </cell>
          <cell r="AA27">
            <v>553</v>
          </cell>
        </row>
        <row r="28">
          <cell r="F28" t="str">
            <v>UPA</v>
          </cell>
          <cell r="G28">
            <v>0.73523421588594706</v>
          </cell>
          <cell r="H28">
            <v>0.75209497206703912</v>
          </cell>
          <cell r="I28">
            <v>0.74582172701949856</v>
          </cell>
          <cell r="J28">
            <v>0.71997690531177827</v>
          </cell>
          <cell r="K28">
            <v>0.77956690727373679</v>
          </cell>
          <cell r="L28">
            <v>0.74169096209912533</v>
          </cell>
          <cell r="M28">
            <v>0.71756672873991312</v>
          </cell>
          <cell r="N28">
            <v>1473</v>
          </cell>
          <cell r="O28">
            <v>1432</v>
          </cell>
          <cell r="P28">
            <v>1436</v>
          </cell>
          <cell r="Q28">
            <v>1732</v>
          </cell>
          <cell r="R28">
            <v>1801</v>
          </cell>
          <cell r="S28">
            <v>1715</v>
          </cell>
          <cell r="T28">
            <v>1611</v>
          </cell>
          <cell r="U28">
            <v>1083</v>
          </cell>
          <cell r="V28">
            <v>1077</v>
          </cell>
          <cell r="W28">
            <v>1071</v>
          </cell>
          <cell r="X28">
            <v>1247</v>
          </cell>
          <cell r="Y28">
            <v>1404</v>
          </cell>
          <cell r="Z28">
            <v>1272</v>
          </cell>
          <cell r="AA28">
            <v>1156</v>
          </cell>
        </row>
        <row r="29">
          <cell r="F29" t="str">
            <v>USA</v>
          </cell>
          <cell r="G29">
            <v>0.59645351961311122</v>
          </cell>
          <cell r="H29">
            <v>0.65202598206000617</v>
          </cell>
          <cell r="I29">
            <v>0.70588235294117652</v>
          </cell>
          <cell r="J29">
            <v>0.65954346770276828</v>
          </cell>
          <cell r="K29">
            <v>0.68323504633529908</v>
          </cell>
          <cell r="L29">
            <v>0.68550955414012738</v>
          </cell>
          <cell r="M29">
            <v>0.67204301075268813</v>
          </cell>
          <cell r="N29">
            <v>3722</v>
          </cell>
          <cell r="O29">
            <v>3233</v>
          </cell>
          <cell r="P29">
            <v>3791</v>
          </cell>
          <cell r="Q29">
            <v>4118</v>
          </cell>
          <cell r="R29">
            <v>3561</v>
          </cell>
          <cell r="S29">
            <v>3768</v>
          </cell>
          <cell r="T29">
            <v>3906</v>
          </cell>
          <cell r="U29">
            <v>2220</v>
          </cell>
          <cell r="V29">
            <v>2108</v>
          </cell>
          <cell r="W29">
            <v>2676</v>
          </cell>
          <cell r="X29">
            <v>2716</v>
          </cell>
          <cell r="Y29">
            <v>2433</v>
          </cell>
          <cell r="Z29">
            <v>2583</v>
          </cell>
          <cell r="AA29">
            <v>2625</v>
          </cell>
        </row>
        <row r="30">
          <cell r="F30" t="str">
            <v>TAL</v>
          </cell>
          <cell r="G30">
            <v>0.71533258173618941</v>
          </cell>
          <cell r="H30">
            <v>0.73406694176983034</v>
          </cell>
          <cell r="I30">
            <v>0.73735632183908051</v>
          </cell>
          <cell r="J30">
            <v>0.70734341252699784</v>
          </cell>
          <cell r="K30">
            <v>0.72519893899204246</v>
          </cell>
          <cell r="L30">
            <v>0.74517978113600836</v>
          </cell>
          <cell r="M30">
            <v>0.7247165532879819</v>
          </cell>
          <cell r="N30">
            <v>1774</v>
          </cell>
          <cell r="O30">
            <v>2181</v>
          </cell>
          <cell r="P30">
            <v>1740</v>
          </cell>
          <cell r="Q30">
            <v>1852</v>
          </cell>
          <cell r="R30">
            <v>1885</v>
          </cell>
          <cell r="S30">
            <v>1919</v>
          </cell>
          <cell r="T30">
            <v>2205</v>
          </cell>
          <cell r="U30">
            <v>1269</v>
          </cell>
          <cell r="V30">
            <v>1601</v>
          </cell>
          <cell r="W30">
            <v>1283</v>
          </cell>
          <cell r="X30">
            <v>1310</v>
          </cell>
          <cell r="Y30">
            <v>1367</v>
          </cell>
          <cell r="Z30">
            <v>1430</v>
          </cell>
          <cell r="AA30">
            <v>1598</v>
          </cell>
        </row>
        <row r="31">
          <cell r="F31" t="str">
            <v>UTA</v>
          </cell>
          <cell r="G31">
            <v>0.67118644067796607</v>
          </cell>
          <cell r="H31">
            <v>0.66928618205631962</v>
          </cell>
          <cell r="I31">
            <v>0.6847405112316034</v>
          </cell>
          <cell r="J31">
            <v>0.66709928617780667</v>
          </cell>
          <cell r="K31">
            <v>0.72246153846153849</v>
          </cell>
          <cell r="L31">
            <v>0.72518610421836227</v>
          </cell>
          <cell r="M31">
            <v>0.72972972972972971</v>
          </cell>
          <cell r="N31">
            <v>1475</v>
          </cell>
          <cell r="O31">
            <v>1527</v>
          </cell>
          <cell r="P31">
            <v>1291</v>
          </cell>
          <cell r="Q31">
            <v>1541</v>
          </cell>
          <cell r="R31">
            <v>1625</v>
          </cell>
          <cell r="S31">
            <v>1612</v>
          </cell>
          <cell r="T31">
            <v>1813</v>
          </cell>
          <cell r="U31">
            <v>990</v>
          </cell>
          <cell r="V31">
            <v>1022</v>
          </cell>
          <cell r="W31">
            <v>884</v>
          </cell>
          <cell r="X31">
            <v>1028</v>
          </cell>
          <cell r="Y31">
            <v>1174</v>
          </cell>
          <cell r="Z31">
            <v>1169</v>
          </cell>
          <cell r="AA31">
            <v>1323</v>
          </cell>
        </row>
        <row r="32">
          <cell r="F32" t="str">
            <v>UVA</v>
          </cell>
          <cell r="G32">
            <v>0.62751065124771754</v>
          </cell>
          <cell r="H32">
            <v>0.64366290643662905</v>
          </cell>
          <cell r="I32">
            <v>0.64736842105263159</v>
          </cell>
          <cell r="J32">
            <v>0.60130718954248363</v>
          </cell>
          <cell r="K32">
            <v>0.6721548238012709</v>
          </cell>
          <cell r="L32">
            <v>0.67460778617083095</v>
          </cell>
          <cell r="M32">
            <v>0.64844861941360665</v>
          </cell>
          <cell r="N32">
            <v>3286</v>
          </cell>
          <cell r="O32">
            <v>3014</v>
          </cell>
          <cell r="P32">
            <v>2850</v>
          </cell>
          <cell r="Q32">
            <v>3060</v>
          </cell>
          <cell r="R32">
            <v>3462</v>
          </cell>
          <cell r="S32">
            <v>3442</v>
          </cell>
          <cell r="T32">
            <v>3513</v>
          </cell>
          <cell r="U32">
            <v>2062</v>
          </cell>
          <cell r="V32">
            <v>1940</v>
          </cell>
          <cell r="W32">
            <v>1845</v>
          </cell>
          <cell r="X32">
            <v>1840</v>
          </cell>
          <cell r="Y32">
            <v>2327</v>
          </cell>
          <cell r="Z32">
            <v>2322</v>
          </cell>
          <cell r="AA32">
            <v>2278</v>
          </cell>
        </row>
        <row r="33">
          <cell r="F33" t="str">
            <v>UBB</v>
          </cell>
          <cell r="G33">
            <v>0.79146919431279616</v>
          </cell>
          <cell r="H33">
            <v>0.82854617764030047</v>
          </cell>
          <cell r="I33">
            <v>0.84066193853427895</v>
          </cell>
          <cell r="J33">
            <v>0.79973935708079935</v>
          </cell>
          <cell r="K33">
            <v>0.79578392621870886</v>
          </cell>
          <cell r="L33">
            <v>0.79680940386230059</v>
          </cell>
          <cell r="M33">
            <v>0.7781470710427919</v>
          </cell>
          <cell r="N33">
            <v>2110</v>
          </cell>
          <cell r="O33">
            <v>2263</v>
          </cell>
          <cell r="P33">
            <v>2115</v>
          </cell>
          <cell r="Q33">
            <v>2302</v>
          </cell>
          <cell r="R33">
            <v>2277</v>
          </cell>
          <cell r="S33">
            <v>2382</v>
          </cell>
          <cell r="T33">
            <v>2407</v>
          </cell>
          <cell r="U33">
            <v>1670</v>
          </cell>
          <cell r="V33">
            <v>1875</v>
          </cell>
          <cell r="W33">
            <v>1778</v>
          </cell>
          <cell r="X33">
            <v>1841</v>
          </cell>
          <cell r="Y33">
            <v>1812</v>
          </cell>
          <cell r="Z33">
            <v>1898</v>
          </cell>
          <cell r="AA33">
            <v>1873</v>
          </cell>
        </row>
        <row r="34">
          <cell r="F34" t="str">
            <v>UMC</v>
          </cell>
          <cell r="G34">
            <v>0.65916069600818838</v>
          </cell>
          <cell r="H34">
            <v>0.67375231053604434</v>
          </cell>
          <cell r="I34">
            <v>0.64559386973180077</v>
          </cell>
          <cell r="J34">
            <v>0.65847457627118644</v>
          </cell>
          <cell r="K34">
            <v>0.66479400749063666</v>
          </cell>
          <cell r="L34">
            <v>0.63279857397504458</v>
          </cell>
          <cell r="M34">
            <v>0.61001642036124792</v>
          </cell>
          <cell r="N34">
            <v>977</v>
          </cell>
          <cell r="O34">
            <v>1082</v>
          </cell>
          <cell r="P34">
            <v>1044</v>
          </cell>
          <cell r="Q34">
            <v>1180</v>
          </cell>
          <cell r="R34">
            <v>1068</v>
          </cell>
          <cell r="S34">
            <v>1122</v>
          </cell>
          <cell r="T34">
            <v>1218</v>
          </cell>
          <cell r="U34">
            <v>644</v>
          </cell>
          <cell r="V34">
            <v>729</v>
          </cell>
          <cell r="W34">
            <v>674</v>
          </cell>
          <cell r="X34">
            <v>777</v>
          </cell>
          <cell r="Y34">
            <v>710</v>
          </cell>
          <cell r="Z34">
            <v>710</v>
          </cell>
          <cell r="AA34">
            <v>743</v>
          </cell>
        </row>
        <row r="35">
          <cell r="F35" t="str">
            <v>FSM</v>
          </cell>
          <cell r="G35">
            <v>0.47096774193548385</v>
          </cell>
          <cell r="H35">
            <v>0.49862863411958308</v>
          </cell>
          <cell r="I35">
            <v>0.51072961373390557</v>
          </cell>
          <cell r="J35">
            <v>0.49270664505672607</v>
          </cell>
          <cell r="K35">
            <v>0.54303278688524592</v>
          </cell>
          <cell r="L35">
            <v>0.51407129455909939</v>
          </cell>
          <cell r="M35">
            <v>0.4916077738515901</v>
          </cell>
          <cell r="N35">
            <v>2170</v>
          </cell>
          <cell r="O35">
            <v>1823</v>
          </cell>
          <cell r="P35">
            <v>1864</v>
          </cell>
          <cell r="Q35">
            <v>1851</v>
          </cell>
          <cell r="R35">
            <v>1952</v>
          </cell>
          <cell r="S35">
            <v>2132</v>
          </cell>
          <cell r="T35">
            <v>2264</v>
          </cell>
          <cell r="U35">
            <v>1022</v>
          </cell>
          <cell r="V35">
            <v>909</v>
          </cell>
          <cell r="W35">
            <v>952</v>
          </cell>
          <cell r="X35">
            <v>912</v>
          </cell>
          <cell r="Y35">
            <v>1060</v>
          </cell>
          <cell r="Z35">
            <v>1096</v>
          </cell>
          <cell r="AA35">
            <v>1113</v>
          </cell>
        </row>
        <row r="36">
          <cell r="F36" t="str">
            <v>UTM</v>
          </cell>
          <cell r="G36">
            <v>0.72512755102040816</v>
          </cell>
          <cell r="H36">
            <v>0.75057208237986273</v>
          </cell>
          <cell r="I36">
            <v>0.75785482123510295</v>
          </cell>
          <cell r="J36">
            <v>0.74829600778967864</v>
          </cell>
          <cell r="K36">
            <v>0.75609756097560976</v>
          </cell>
          <cell r="L36">
            <v>0.74795574795574793</v>
          </cell>
          <cell r="M36">
            <v>0.71901565995525729</v>
          </cell>
          <cell r="N36">
            <v>1568</v>
          </cell>
          <cell r="O36">
            <v>1748</v>
          </cell>
          <cell r="P36">
            <v>1846</v>
          </cell>
          <cell r="Q36">
            <v>2054</v>
          </cell>
          <cell r="R36">
            <v>2255</v>
          </cell>
          <cell r="S36">
            <v>2079</v>
          </cell>
          <cell r="T36">
            <v>2235</v>
          </cell>
          <cell r="U36">
            <v>1137</v>
          </cell>
          <cell r="V36">
            <v>1312</v>
          </cell>
          <cell r="W36">
            <v>1399</v>
          </cell>
          <cell r="X36">
            <v>1537</v>
          </cell>
          <cell r="Y36">
            <v>1705</v>
          </cell>
          <cell r="Z36">
            <v>1555</v>
          </cell>
          <cell r="AA36">
            <v>1607</v>
          </cell>
        </row>
      </sheetData>
      <sheetData sheetId="6">
        <row r="11">
          <cell r="E11" t="str">
            <v>PUC</v>
          </cell>
          <cell r="F11">
            <v>0.89298626174981921</v>
          </cell>
          <cell r="G11">
            <v>0.85682372055239642</v>
          </cell>
          <cell r="H11">
            <v>0.86888078325974272</v>
          </cell>
          <cell r="I11">
            <v>0.89136704479907714</v>
          </cell>
          <cell r="J11">
            <v>0.88490709139173307</v>
          </cell>
          <cell r="K11">
            <v>0.85675132468481641</v>
          </cell>
          <cell r="L11">
            <v>0.8836580086580087</v>
          </cell>
          <cell r="M11">
            <v>4149</v>
          </cell>
          <cell r="N11">
            <v>4924</v>
          </cell>
          <cell r="O11">
            <v>5209</v>
          </cell>
          <cell r="P11">
            <v>5201</v>
          </cell>
          <cell r="Q11">
            <v>5274</v>
          </cell>
          <cell r="R11">
            <v>5473</v>
          </cell>
          <cell r="S11">
            <v>5544</v>
          </cell>
          <cell r="T11">
            <v>3705</v>
          </cell>
          <cell r="U11">
            <v>4219</v>
          </cell>
          <cell r="V11">
            <v>4526</v>
          </cell>
          <cell r="W11">
            <v>4636</v>
          </cell>
          <cell r="X11">
            <v>4667</v>
          </cell>
          <cell r="Y11">
            <v>4689</v>
          </cell>
          <cell r="Z11">
            <v>4899</v>
          </cell>
        </row>
        <row r="12">
          <cell r="E12" t="str">
            <v>UCV</v>
          </cell>
          <cell r="F12">
            <v>0.75047558655675328</v>
          </cell>
          <cell r="G12">
            <v>0.75885103540414167</v>
          </cell>
          <cell r="H12">
            <v>0.75530586766541818</v>
          </cell>
          <cell r="I12">
            <v>0.79987492182614128</v>
          </cell>
          <cell r="J12">
            <v>0.79939117199391174</v>
          </cell>
          <cell r="K12">
            <v>0.80376581347455134</v>
          </cell>
          <cell r="L12">
            <v>0.81909547738693467</v>
          </cell>
          <cell r="M12">
            <v>3154</v>
          </cell>
          <cell r="N12">
            <v>2994</v>
          </cell>
          <cell r="O12">
            <v>3204</v>
          </cell>
          <cell r="P12">
            <v>3198</v>
          </cell>
          <cell r="Q12">
            <v>3285</v>
          </cell>
          <cell r="R12">
            <v>3399</v>
          </cell>
          <cell r="S12">
            <v>3383</v>
          </cell>
          <cell r="T12">
            <v>2367</v>
          </cell>
          <cell r="U12">
            <v>2272</v>
          </cell>
          <cell r="V12">
            <v>2420</v>
          </cell>
          <cell r="W12">
            <v>2558</v>
          </cell>
          <cell r="X12">
            <v>2626</v>
          </cell>
          <cell r="Y12">
            <v>2732</v>
          </cell>
          <cell r="Z12">
            <v>2771</v>
          </cell>
        </row>
        <row r="13">
          <cell r="E13" t="str">
            <v>UAP</v>
          </cell>
          <cell r="F13">
            <v>0.59238095238095234</v>
          </cell>
          <cell r="G13">
            <v>0.75375375375375375</v>
          </cell>
          <cell r="H13">
            <v>0.69700103412616343</v>
          </cell>
          <cell r="I13">
            <v>0.74806201550387597</v>
          </cell>
          <cell r="J13">
            <v>0.71413390010626998</v>
          </cell>
          <cell r="K13">
            <v>0.78375527426160341</v>
          </cell>
          <cell r="L13">
            <v>0.81187122736418516</v>
          </cell>
          <cell r="M13">
            <v>1050</v>
          </cell>
          <cell r="N13">
            <v>999</v>
          </cell>
          <cell r="O13">
            <v>967</v>
          </cell>
          <cell r="P13">
            <v>1032</v>
          </cell>
          <cell r="Q13">
            <v>941</v>
          </cell>
          <cell r="R13">
            <v>948</v>
          </cell>
          <cell r="S13">
            <v>994</v>
          </cell>
          <cell r="T13">
            <v>622</v>
          </cell>
          <cell r="U13">
            <v>753</v>
          </cell>
          <cell r="V13">
            <v>674</v>
          </cell>
          <cell r="W13">
            <v>772</v>
          </cell>
          <cell r="X13">
            <v>672</v>
          </cell>
          <cell r="Y13">
            <v>743</v>
          </cell>
          <cell r="Z13">
            <v>807</v>
          </cell>
        </row>
        <row r="14">
          <cell r="E14" t="str">
            <v>AUS</v>
          </cell>
          <cell r="F14">
            <v>0.80495477782147073</v>
          </cell>
          <cell r="G14">
            <v>0.82813816343723679</v>
          </cell>
          <cell r="H14">
            <v>0.82636060718252502</v>
          </cell>
          <cell r="I14">
            <v>0.82806252271901126</v>
          </cell>
          <cell r="J14">
            <v>0.81880108991825618</v>
          </cell>
          <cell r="K14">
            <v>0.83138505136379737</v>
          </cell>
          <cell r="L14">
            <v>0.8569000679809653</v>
          </cell>
          <cell r="M14">
            <v>2543</v>
          </cell>
          <cell r="N14">
            <v>2374</v>
          </cell>
          <cell r="O14">
            <v>2701</v>
          </cell>
          <cell r="P14">
            <v>2751</v>
          </cell>
          <cell r="Q14">
            <v>2936</v>
          </cell>
          <cell r="R14">
            <v>2823</v>
          </cell>
          <cell r="S14">
            <v>2942</v>
          </cell>
          <cell r="T14">
            <v>2047</v>
          </cell>
          <cell r="U14">
            <v>1966</v>
          </cell>
          <cell r="V14">
            <v>2232</v>
          </cell>
          <cell r="W14">
            <v>2278</v>
          </cell>
          <cell r="X14">
            <v>2404</v>
          </cell>
          <cell r="Y14">
            <v>2347</v>
          </cell>
          <cell r="Z14">
            <v>2521</v>
          </cell>
        </row>
        <row r="15">
          <cell r="E15" t="str">
            <v>USC</v>
          </cell>
          <cell r="F15">
            <v>0.81583287520615722</v>
          </cell>
          <cell r="G15">
            <v>0.8288912579957356</v>
          </cell>
          <cell r="H15">
            <v>0.83742534837425353</v>
          </cell>
          <cell r="I15">
            <v>0.85072886297376094</v>
          </cell>
          <cell r="J15">
            <v>0.83566238121855785</v>
          </cell>
          <cell r="K15">
            <v>0.86422976501305482</v>
          </cell>
          <cell r="L15">
            <v>0.88822894168466526</v>
          </cell>
          <cell r="M15">
            <v>1819</v>
          </cell>
          <cell r="N15">
            <v>1876</v>
          </cell>
          <cell r="O15">
            <v>1507</v>
          </cell>
          <cell r="P15">
            <v>1715</v>
          </cell>
          <cell r="Q15">
            <v>1789</v>
          </cell>
          <cell r="R15">
            <v>1915</v>
          </cell>
          <cell r="S15">
            <v>1852</v>
          </cell>
          <cell r="T15">
            <v>1484</v>
          </cell>
          <cell r="U15">
            <v>1555</v>
          </cell>
          <cell r="V15">
            <v>1262</v>
          </cell>
          <cell r="W15">
            <v>1459</v>
          </cell>
          <cell r="X15">
            <v>1495</v>
          </cell>
          <cell r="Y15">
            <v>1655</v>
          </cell>
          <cell r="Z15">
            <v>1645</v>
          </cell>
        </row>
        <row r="16">
          <cell r="E16" t="str">
            <v>UCT</v>
          </cell>
          <cell r="F16">
            <v>0.75808457711442789</v>
          </cell>
          <cell r="G16">
            <v>0.80024286581663628</v>
          </cell>
          <cell r="H16">
            <v>0.82510964912280704</v>
          </cell>
          <cell r="I16">
            <v>0.84678845020624627</v>
          </cell>
          <cell r="J16">
            <v>0.81775700934579443</v>
          </cell>
          <cell r="K16">
            <v>0.79692917285785048</v>
          </cell>
          <cell r="L16">
            <v>0.84444444444444444</v>
          </cell>
          <cell r="M16">
            <v>1608</v>
          </cell>
          <cell r="N16">
            <v>1647</v>
          </cell>
          <cell r="O16">
            <v>1824</v>
          </cell>
          <cell r="P16">
            <v>1697</v>
          </cell>
          <cell r="Q16">
            <v>1926</v>
          </cell>
          <cell r="R16">
            <v>2019</v>
          </cell>
          <cell r="S16">
            <v>1845</v>
          </cell>
          <cell r="T16">
            <v>1219</v>
          </cell>
          <cell r="U16">
            <v>1318</v>
          </cell>
          <cell r="V16">
            <v>1505</v>
          </cell>
          <cell r="W16">
            <v>1437</v>
          </cell>
          <cell r="X16">
            <v>1575</v>
          </cell>
          <cell r="Y16">
            <v>1609</v>
          </cell>
          <cell r="Z16">
            <v>1558</v>
          </cell>
        </row>
        <row r="17">
          <cell r="E17" t="str">
            <v>UCM</v>
          </cell>
          <cell r="F17">
            <v>0.83007047768206732</v>
          </cell>
          <cell r="G17">
            <v>0.90519877675840976</v>
          </cell>
          <cell r="H17">
            <v>0.86107290233837686</v>
          </cell>
          <cell r="I17">
            <v>0.85092250922509227</v>
          </cell>
          <cell r="J17">
            <v>0.8776520509193777</v>
          </cell>
          <cell r="K17">
            <v>0.87089201877934275</v>
          </cell>
          <cell r="L17">
            <v>0.8504273504273504</v>
          </cell>
          <cell r="M17">
            <v>1277</v>
          </cell>
          <cell r="N17">
            <v>1308</v>
          </cell>
          <cell r="O17">
            <v>1454</v>
          </cell>
          <cell r="P17">
            <v>1355</v>
          </cell>
          <cell r="Q17">
            <v>1414</v>
          </cell>
          <cell r="R17">
            <v>1704</v>
          </cell>
          <cell r="S17">
            <v>1872</v>
          </cell>
          <cell r="T17">
            <v>1060</v>
          </cell>
          <cell r="U17">
            <v>1184</v>
          </cell>
          <cell r="V17">
            <v>1252</v>
          </cell>
          <cell r="W17">
            <v>1153</v>
          </cell>
          <cell r="X17">
            <v>1241</v>
          </cell>
          <cell r="Y17">
            <v>1484</v>
          </cell>
          <cell r="Z17">
            <v>1592</v>
          </cell>
        </row>
        <row r="18">
          <cell r="E18" t="str">
            <v>UCN</v>
          </cell>
          <cell r="F18">
            <v>0.74725877192982459</v>
          </cell>
          <cell r="G18">
            <v>0.79702687249857063</v>
          </cell>
          <cell r="H18">
            <v>0.82404997397188962</v>
          </cell>
          <cell r="I18">
            <v>0.80914407230196705</v>
          </cell>
          <cell r="J18">
            <v>0.81589743589743591</v>
          </cell>
          <cell r="K18">
            <v>0.81189555125725343</v>
          </cell>
          <cell r="L18">
            <v>0.80947955390334569</v>
          </cell>
          <cell r="M18">
            <v>1824</v>
          </cell>
          <cell r="N18">
            <v>1749</v>
          </cell>
          <cell r="O18">
            <v>1921</v>
          </cell>
          <cell r="P18">
            <v>1881</v>
          </cell>
          <cell r="Q18">
            <v>1950</v>
          </cell>
          <cell r="R18">
            <v>2068</v>
          </cell>
          <cell r="S18">
            <v>2152</v>
          </cell>
          <cell r="T18">
            <v>1363</v>
          </cell>
          <cell r="U18">
            <v>1394</v>
          </cell>
          <cell r="V18">
            <v>1583</v>
          </cell>
          <cell r="W18">
            <v>1522</v>
          </cell>
          <cell r="X18">
            <v>1591</v>
          </cell>
          <cell r="Y18">
            <v>1679</v>
          </cell>
          <cell r="Z18">
            <v>1742</v>
          </cell>
        </row>
        <row r="19">
          <cell r="E19" t="str">
            <v>ANT</v>
          </cell>
          <cell r="F19">
            <v>0.76744186046511631</v>
          </cell>
          <cell r="G19">
            <v>0.84669338677354711</v>
          </cell>
          <cell r="H19">
            <v>0.81341911764705888</v>
          </cell>
          <cell r="I19">
            <v>0.8433420365535248</v>
          </cell>
          <cell r="J19">
            <v>0.80489864864864868</v>
          </cell>
          <cell r="K19">
            <v>0.82909930715935332</v>
          </cell>
          <cell r="L19">
            <v>0.84079999999999999</v>
          </cell>
          <cell r="M19">
            <v>817</v>
          </cell>
          <cell r="N19">
            <v>998</v>
          </cell>
          <cell r="O19">
            <v>1088</v>
          </cell>
          <cell r="P19">
            <v>1149</v>
          </cell>
          <cell r="Q19">
            <v>1184</v>
          </cell>
          <cell r="R19">
            <v>1299</v>
          </cell>
          <cell r="S19">
            <v>1250</v>
          </cell>
          <cell r="T19">
            <v>627</v>
          </cell>
          <cell r="U19">
            <v>845</v>
          </cell>
          <cell r="V19">
            <v>885</v>
          </cell>
          <cell r="W19">
            <v>969</v>
          </cell>
          <cell r="X19">
            <v>953</v>
          </cell>
          <cell r="Y19">
            <v>1077</v>
          </cell>
          <cell r="Z19">
            <v>1051</v>
          </cell>
        </row>
        <row r="20">
          <cell r="E20" t="str">
            <v>ATA</v>
          </cell>
          <cell r="F20">
            <v>0.67192429022082023</v>
          </cell>
          <cell r="G20">
            <v>0.74014598540145982</v>
          </cell>
          <cell r="H20">
            <v>0.80804020100502516</v>
          </cell>
          <cell r="I20">
            <v>0.70819304152637486</v>
          </cell>
          <cell r="J20">
            <v>0.7467980295566502</v>
          </cell>
          <cell r="K20">
            <v>0.77873563218390807</v>
          </cell>
          <cell r="L20">
            <v>0.7931034482758621</v>
          </cell>
          <cell r="M20">
            <v>634</v>
          </cell>
          <cell r="N20">
            <v>685</v>
          </cell>
          <cell r="O20">
            <v>995</v>
          </cell>
          <cell r="P20">
            <v>891</v>
          </cell>
          <cell r="Q20">
            <v>1015</v>
          </cell>
          <cell r="R20">
            <v>1044</v>
          </cell>
          <cell r="S20">
            <v>1044</v>
          </cell>
          <cell r="T20">
            <v>426</v>
          </cell>
          <cell r="U20">
            <v>507</v>
          </cell>
          <cell r="V20">
            <v>804</v>
          </cell>
          <cell r="W20">
            <v>631</v>
          </cell>
          <cell r="X20">
            <v>758</v>
          </cell>
          <cell r="Y20">
            <v>813</v>
          </cell>
          <cell r="Z20">
            <v>828</v>
          </cell>
        </row>
        <row r="21">
          <cell r="E21" t="str">
            <v>URY</v>
          </cell>
          <cell r="F21"/>
          <cell r="G21"/>
          <cell r="H21"/>
          <cell r="I21"/>
          <cell r="J21"/>
          <cell r="K21"/>
          <cell r="L21">
            <v>0.86021505376344087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93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80</v>
          </cell>
        </row>
        <row r="22">
          <cell r="E22" t="str">
            <v>UCH</v>
          </cell>
          <cell r="F22">
            <v>0.8391969787318625</v>
          </cell>
          <cell r="G22">
            <v>0.84856344772545889</v>
          </cell>
          <cell r="H22">
            <v>0.82985187998480825</v>
          </cell>
          <cell r="I22">
            <v>0.83977110157367663</v>
          </cell>
          <cell r="J22">
            <v>0.83457249070631967</v>
          </cell>
          <cell r="K22">
            <v>0.85093167701863359</v>
          </cell>
          <cell r="L22">
            <v>0.87325130625316028</v>
          </cell>
          <cell r="M22">
            <v>5031</v>
          </cell>
          <cell r="N22">
            <v>5012</v>
          </cell>
          <cell r="O22">
            <v>5266</v>
          </cell>
          <cell r="P22">
            <v>5592</v>
          </cell>
          <cell r="Q22">
            <v>5918</v>
          </cell>
          <cell r="R22">
            <v>5796</v>
          </cell>
          <cell r="S22">
            <v>5933</v>
          </cell>
          <cell r="T22">
            <v>4222</v>
          </cell>
          <cell r="U22">
            <v>4253</v>
          </cell>
          <cell r="V22">
            <v>4370</v>
          </cell>
          <cell r="W22">
            <v>4696</v>
          </cell>
          <cell r="X22">
            <v>4939</v>
          </cell>
          <cell r="Y22">
            <v>4932</v>
          </cell>
          <cell r="Z22">
            <v>5181</v>
          </cell>
        </row>
        <row r="23">
          <cell r="E23" t="str">
            <v>UCO</v>
          </cell>
          <cell r="F23">
            <v>0.79117835073513743</v>
          </cell>
          <cell r="G23">
            <v>0.80757031084795938</v>
          </cell>
          <cell r="H23">
            <v>0.8164328657314629</v>
          </cell>
          <cell r="I23">
            <v>0.80204125026578776</v>
          </cell>
          <cell r="J23">
            <v>0.8</v>
          </cell>
          <cell r="K23">
            <v>0.8104379124175165</v>
          </cell>
          <cell r="L23">
            <v>0.81493775933609958</v>
          </cell>
          <cell r="M23">
            <v>4693</v>
          </cell>
          <cell r="N23">
            <v>4729</v>
          </cell>
          <cell r="O23">
            <v>4990</v>
          </cell>
          <cell r="P23">
            <v>4703</v>
          </cell>
          <cell r="Q23">
            <v>4875</v>
          </cell>
          <cell r="R23">
            <v>5001</v>
          </cell>
          <cell r="S23">
            <v>4820</v>
          </cell>
          <cell r="T23">
            <v>3713</v>
          </cell>
          <cell r="U23">
            <v>3819</v>
          </cell>
          <cell r="V23">
            <v>4074</v>
          </cell>
          <cell r="W23">
            <v>3772</v>
          </cell>
          <cell r="X23">
            <v>3900</v>
          </cell>
          <cell r="Y23">
            <v>4053</v>
          </cell>
          <cell r="Z23">
            <v>3928</v>
          </cell>
        </row>
        <row r="24">
          <cell r="E24" t="str">
            <v>FRO</v>
          </cell>
          <cell r="F24">
            <v>0.82997762863534674</v>
          </cell>
          <cell r="G24">
            <v>0.85479733196511032</v>
          </cell>
          <cell r="H24">
            <v>0.83732789393166751</v>
          </cell>
          <cell r="I24">
            <v>0.84185556141275697</v>
          </cell>
          <cell r="J24">
            <v>0.83824239497827135</v>
          </cell>
          <cell r="K24">
            <v>0.82786885245901642</v>
          </cell>
          <cell r="L24">
            <v>0.84035259549461316</v>
          </cell>
          <cell r="M24">
            <v>1788</v>
          </cell>
          <cell r="N24">
            <v>1949</v>
          </cell>
          <cell r="O24">
            <v>1961</v>
          </cell>
          <cell r="P24">
            <v>1897</v>
          </cell>
          <cell r="Q24">
            <v>2071</v>
          </cell>
          <cell r="R24">
            <v>2074</v>
          </cell>
          <cell r="S24">
            <v>2042</v>
          </cell>
          <cell r="T24">
            <v>1484</v>
          </cell>
          <cell r="U24">
            <v>1666</v>
          </cell>
          <cell r="V24">
            <v>1642</v>
          </cell>
          <cell r="W24">
            <v>1597</v>
          </cell>
          <cell r="X24">
            <v>1736</v>
          </cell>
          <cell r="Y24">
            <v>1717</v>
          </cell>
          <cell r="Z24">
            <v>1716</v>
          </cell>
        </row>
        <row r="25">
          <cell r="E25" t="str">
            <v>ULS</v>
          </cell>
          <cell r="F25">
            <v>0.78412911903160731</v>
          </cell>
          <cell r="G25">
            <v>0.8282763072950291</v>
          </cell>
          <cell r="H25">
            <v>0.78045763760049469</v>
          </cell>
          <cell r="I25">
            <v>0.79430789133247093</v>
          </cell>
          <cell r="J25">
            <v>0.76452410383189118</v>
          </cell>
          <cell r="K25">
            <v>0.80895522388059704</v>
          </cell>
          <cell r="L25">
            <v>0.83060417843026535</v>
          </cell>
          <cell r="M25">
            <v>1487</v>
          </cell>
          <cell r="N25">
            <v>1549</v>
          </cell>
          <cell r="O25">
            <v>1617</v>
          </cell>
          <cell r="P25">
            <v>1546</v>
          </cell>
          <cell r="Q25">
            <v>1618</v>
          </cell>
          <cell r="R25">
            <v>1675</v>
          </cell>
          <cell r="S25">
            <v>1771</v>
          </cell>
          <cell r="T25">
            <v>1166</v>
          </cell>
          <cell r="U25">
            <v>1283</v>
          </cell>
          <cell r="V25">
            <v>1262</v>
          </cell>
          <cell r="W25">
            <v>1228</v>
          </cell>
          <cell r="X25">
            <v>1237</v>
          </cell>
          <cell r="Y25">
            <v>1355</v>
          </cell>
          <cell r="Z25">
            <v>1471</v>
          </cell>
        </row>
        <row r="26">
          <cell r="E26" t="str">
            <v>ULA</v>
          </cell>
          <cell r="F26">
            <v>0.77974683544303802</v>
          </cell>
          <cell r="G26">
            <v>0.85825545171339568</v>
          </cell>
          <cell r="H26">
            <v>0.78331090174966356</v>
          </cell>
          <cell r="I26">
            <v>0.80564971751412429</v>
          </cell>
          <cell r="J26">
            <v>0.83471074380165289</v>
          </cell>
          <cell r="K26">
            <v>0.81782566111655242</v>
          </cell>
          <cell r="L26">
            <v>0.80605564648117844</v>
          </cell>
          <cell r="M26">
            <v>790</v>
          </cell>
          <cell r="N26">
            <v>642</v>
          </cell>
          <cell r="O26">
            <v>743</v>
          </cell>
          <cell r="P26">
            <v>885</v>
          </cell>
          <cell r="Q26">
            <v>847</v>
          </cell>
          <cell r="R26">
            <v>1021</v>
          </cell>
          <cell r="S26">
            <v>1222</v>
          </cell>
          <cell r="T26">
            <v>616</v>
          </cell>
          <cell r="U26">
            <v>551</v>
          </cell>
          <cell r="V26">
            <v>582</v>
          </cell>
          <cell r="W26">
            <v>713</v>
          </cell>
          <cell r="X26">
            <v>707</v>
          </cell>
          <cell r="Y26">
            <v>835</v>
          </cell>
          <cell r="Z26">
            <v>985</v>
          </cell>
        </row>
        <row r="27">
          <cell r="E27" t="str">
            <v>MAG</v>
          </cell>
          <cell r="F27">
            <v>0.80842105263157893</v>
          </cell>
          <cell r="G27">
            <v>0.80090497737556565</v>
          </cell>
          <cell r="H27">
            <v>0.80991735537190079</v>
          </cell>
          <cell r="I27">
            <v>0.83542039355992848</v>
          </cell>
          <cell r="J27">
            <v>0.80059970014992499</v>
          </cell>
          <cell r="K27">
            <v>0.77181208053691275</v>
          </cell>
          <cell r="L27">
            <v>0.82597054886211507</v>
          </cell>
          <cell r="M27">
            <v>475</v>
          </cell>
          <cell r="N27">
            <v>442</v>
          </cell>
          <cell r="O27">
            <v>605</v>
          </cell>
          <cell r="P27">
            <v>559</v>
          </cell>
          <cell r="Q27">
            <v>667</v>
          </cell>
          <cell r="R27">
            <v>745</v>
          </cell>
          <cell r="S27">
            <v>747</v>
          </cell>
          <cell r="T27">
            <v>384</v>
          </cell>
          <cell r="U27">
            <v>354</v>
          </cell>
          <cell r="V27">
            <v>490</v>
          </cell>
          <cell r="W27">
            <v>467</v>
          </cell>
          <cell r="X27">
            <v>534</v>
          </cell>
          <cell r="Y27">
            <v>575</v>
          </cell>
          <cell r="Z27">
            <v>617</v>
          </cell>
        </row>
        <row r="28">
          <cell r="E28" t="str">
            <v>URO</v>
          </cell>
          <cell r="F28"/>
          <cell r="G28"/>
          <cell r="H28"/>
          <cell r="I28"/>
          <cell r="J28"/>
          <cell r="K28"/>
          <cell r="L28">
            <v>0.9056047197640118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339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307</v>
          </cell>
        </row>
        <row r="29">
          <cell r="E29" t="str">
            <v>UPA</v>
          </cell>
          <cell r="F29">
            <v>0.75848416289592757</v>
          </cell>
          <cell r="G29">
            <v>0.80068027210884352</v>
          </cell>
          <cell r="H29">
            <v>0.74563242487770787</v>
          </cell>
          <cell r="I29">
            <v>0.78206026629292225</v>
          </cell>
          <cell r="J29">
            <v>0.76256499133448874</v>
          </cell>
          <cell r="K29">
            <v>0.78789561354802884</v>
          </cell>
          <cell r="L29">
            <v>0.82081280788177335</v>
          </cell>
          <cell r="M29">
            <v>1768</v>
          </cell>
          <cell r="N29">
            <v>1470</v>
          </cell>
          <cell r="O29">
            <v>1431</v>
          </cell>
          <cell r="P29">
            <v>1427</v>
          </cell>
          <cell r="Q29">
            <v>1731</v>
          </cell>
          <cell r="R29">
            <v>1801</v>
          </cell>
          <cell r="S29">
            <v>1624</v>
          </cell>
          <cell r="T29">
            <v>1341</v>
          </cell>
          <cell r="U29">
            <v>1177</v>
          </cell>
          <cell r="V29">
            <v>1067</v>
          </cell>
          <cell r="W29">
            <v>1116</v>
          </cell>
          <cell r="X29">
            <v>1320</v>
          </cell>
          <cell r="Y29">
            <v>1419</v>
          </cell>
          <cell r="Z29">
            <v>1333</v>
          </cell>
        </row>
        <row r="30">
          <cell r="E30" t="str">
            <v>USA</v>
          </cell>
          <cell r="F30">
            <v>0.75928143712574847</v>
          </cell>
          <cell r="G30">
            <v>0.8294005966910768</v>
          </cell>
          <cell r="H30">
            <v>0.80099040544722999</v>
          </cell>
          <cell r="I30">
            <v>0.79994721562417526</v>
          </cell>
          <cell r="J30">
            <v>0.75778210116731515</v>
          </cell>
          <cell r="K30">
            <v>0.78988764044943816</v>
          </cell>
          <cell r="L30">
            <v>0.77579972183588319</v>
          </cell>
          <cell r="M30">
            <v>3340</v>
          </cell>
          <cell r="N30">
            <v>3687</v>
          </cell>
          <cell r="O30">
            <v>3231</v>
          </cell>
          <cell r="P30">
            <v>3789</v>
          </cell>
          <cell r="Q30">
            <v>4112</v>
          </cell>
          <cell r="R30">
            <v>3560</v>
          </cell>
          <cell r="S30">
            <v>3595</v>
          </cell>
          <cell r="T30">
            <v>2536</v>
          </cell>
          <cell r="U30">
            <v>3058</v>
          </cell>
          <cell r="V30">
            <v>2588</v>
          </cell>
          <cell r="W30">
            <v>3031</v>
          </cell>
          <cell r="X30">
            <v>3116</v>
          </cell>
          <cell r="Y30">
            <v>2812</v>
          </cell>
          <cell r="Z30">
            <v>2789</v>
          </cell>
        </row>
        <row r="31">
          <cell r="E31" t="str">
            <v>TAL</v>
          </cell>
          <cell r="F31">
            <v>0.83706563706563708</v>
          </cell>
          <cell r="G31">
            <v>0.86922209695603159</v>
          </cell>
          <cell r="H31">
            <v>0.86737035337310697</v>
          </cell>
          <cell r="I31">
            <v>0.86436781609195401</v>
          </cell>
          <cell r="J31">
            <v>0.85637149028077753</v>
          </cell>
          <cell r="K31">
            <v>0.85039787798408484</v>
          </cell>
          <cell r="L31">
            <v>0.84775808133472363</v>
          </cell>
          <cell r="M31">
            <v>1295</v>
          </cell>
          <cell r="N31">
            <v>1774</v>
          </cell>
          <cell r="O31">
            <v>2179</v>
          </cell>
          <cell r="P31">
            <v>1740</v>
          </cell>
          <cell r="Q31">
            <v>1852</v>
          </cell>
          <cell r="R31">
            <v>1885</v>
          </cell>
          <cell r="S31">
            <v>1918</v>
          </cell>
          <cell r="T31">
            <v>1084</v>
          </cell>
          <cell r="U31">
            <v>1542</v>
          </cell>
          <cell r="V31">
            <v>1890</v>
          </cell>
          <cell r="W31">
            <v>1504</v>
          </cell>
          <cell r="X31">
            <v>1586</v>
          </cell>
          <cell r="Y31">
            <v>1603</v>
          </cell>
          <cell r="Z31">
            <v>1626</v>
          </cell>
        </row>
        <row r="32">
          <cell r="E32" t="str">
            <v>UTA</v>
          </cell>
          <cell r="F32">
            <v>0.75819672131147542</v>
          </cell>
          <cell r="G32">
            <v>0.80529172320217102</v>
          </cell>
          <cell r="H32">
            <v>0.80484610347085794</v>
          </cell>
          <cell r="I32">
            <v>0.80867544539116964</v>
          </cell>
          <cell r="J32">
            <v>0.79753406878650224</v>
          </cell>
          <cell r="K32">
            <v>0.84</v>
          </cell>
          <cell r="L32">
            <v>0.83498759305210923</v>
          </cell>
          <cell r="M32">
            <v>1464</v>
          </cell>
          <cell r="N32">
            <v>1474</v>
          </cell>
          <cell r="O32">
            <v>1527</v>
          </cell>
          <cell r="P32">
            <v>1291</v>
          </cell>
          <cell r="Q32">
            <v>1541</v>
          </cell>
          <cell r="R32">
            <v>1625</v>
          </cell>
          <cell r="S32">
            <v>1612</v>
          </cell>
          <cell r="T32">
            <v>1110</v>
          </cell>
          <cell r="U32">
            <v>1187</v>
          </cell>
          <cell r="V32">
            <v>1229</v>
          </cell>
          <cell r="W32">
            <v>1044</v>
          </cell>
          <cell r="X32">
            <v>1229</v>
          </cell>
          <cell r="Y32">
            <v>1365</v>
          </cell>
          <cell r="Z32">
            <v>1346</v>
          </cell>
        </row>
        <row r="33">
          <cell r="E33" t="str">
            <v>UVA</v>
          </cell>
          <cell r="F33">
            <v>0.78507164278573804</v>
          </cell>
          <cell r="G33">
            <v>0.81516443361753954</v>
          </cell>
          <cell r="H33">
            <v>0.77999335327351282</v>
          </cell>
          <cell r="I33">
            <v>0.80624780624780623</v>
          </cell>
          <cell r="J33">
            <v>0.8253189401373896</v>
          </cell>
          <cell r="K33">
            <v>0.82230569199653281</v>
          </cell>
          <cell r="L33">
            <v>0.82138694638694643</v>
          </cell>
          <cell r="M33">
            <v>3001</v>
          </cell>
          <cell r="N33">
            <v>3284</v>
          </cell>
          <cell r="O33">
            <v>3009</v>
          </cell>
          <cell r="P33">
            <v>2849</v>
          </cell>
          <cell r="Q33">
            <v>3057</v>
          </cell>
          <cell r="R33">
            <v>3461</v>
          </cell>
          <cell r="S33">
            <v>3432</v>
          </cell>
          <cell r="T33">
            <v>2356</v>
          </cell>
          <cell r="U33">
            <v>2677</v>
          </cell>
          <cell r="V33">
            <v>2347</v>
          </cell>
          <cell r="W33">
            <v>2297</v>
          </cell>
          <cell r="X33">
            <v>2523</v>
          </cell>
          <cell r="Y33">
            <v>2846</v>
          </cell>
          <cell r="Z33">
            <v>2819</v>
          </cell>
        </row>
        <row r="34">
          <cell r="E34" t="str">
            <v>UBB</v>
          </cell>
          <cell r="F34">
            <v>0.8360352014821677</v>
          </cell>
          <cell r="G34">
            <v>0.88483412322274879</v>
          </cell>
          <cell r="H34">
            <v>0.86964206805125943</v>
          </cell>
          <cell r="I34">
            <v>0.85059101654846336</v>
          </cell>
          <cell r="J34">
            <v>0.8301476976542137</v>
          </cell>
          <cell r="K34">
            <v>0.86605182257356172</v>
          </cell>
          <cell r="L34">
            <v>0.84684300341296925</v>
          </cell>
          <cell r="M34">
            <v>2159</v>
          </cell>
          <cell r="N34">
            <v>2110</v>
          </cell>
          <cell r="O34">
            <v>2263</v>
          </cell>
          <cell r="P34">
            <v>2115</v>
          </cell>
          <cell r="Q34">
            <v>2302</v>
          </cell>
          <cell r="R34">
            <v>2277</v>
          </cell>
          <cell r="S34">
            <v>2344</v>
          </cell>
          <cell r="T34">
            <v>1805</v>
          </cell>
          <cell r="U34">
            <v>1867</v>
          </cell>
          <cell r="V34">
            <v>1968</v>
          </cell>
          <cell r="W34">
            <v>1799</v>
          </cell>
          <cell r="X34">
            <v>1911</v>
          </cell>
          <cell r="Y34">
            <v>1972</v>
          </cell>
          <cell r="Z34">
            <v>1985</v>
          </cell>
        </row>
        <row r="35">
          <cell r="E35" t="str">
            <v>UMC</v>
          </cell>
          <cell r="F35">
            <v>0.83911368015414256</v>
          </cell>
          <cell r="G35">
            <v>0.82190378710337764</v>
          </cell>
          <cell r="H35">
            <v>0.80499075785582253</v>
          </cell>
          <cell r="I35">
            <v>0.83524904214559392</v>
          </cell>
          <cell r="J35">
            <v>0.78898305084745768</v>
          </cell>
          <cell r="K35">
            <v>0.8230337078651685</v>
          </cell>
          <cell r="L35">
            <v>0.848294434470377</v>
          </cell>
          <cell r="M35">
            <v>1038</v>
          </cell>
          <cell r="N35">
            <v>977</v>
          </cell>
          <cell r="O35">
            <v>1082</v>
          </cell>
          <cell r="P35">
            <v>1044</v>
          </cell>
          <cell r="Q35">
            <v>1180</v>
          </cell>
          <cell r="R35">
            <v>1068</v>
          </cell>
          <cell r="S35">
            <v>1114</v>
          </cell>
          <cell r="T35">
            <v>871</v>
          </cell>
          <cell r="U35">
            <v>803</v>
          </cell>
          <cell r="V35">
            <v>871</v>
          </cell>
          <cell r="W35">
            <v>872</v>
          </cell>
          <cell r="X35">
            <v>931</v>
          </cell>
          <cell r="Y35">
            <v>879</v>
          </cell>
          <cell r="Z35">
            <v>945</v>
          </cell>
        </row>
        <row r="36">
          <cell r="E36" t="str">
            <v>FSM</v>
          </cell>
          <cell r="F36">
            <v>0.83163571000599157</v>
          </cell>
          <cell r="G36">
            <v>0.81988636363636369</v>
          </cell>
          <cell r="H36">
            <v>0.80307185957213389</v>
          </cell>
          <cell r="I36">
            <v>0.80010746910263297</v>
          </cell>
          <cell r="J36">
            <v>0.82059620596205962</v>
          </cell>
          <cell r="K36">
            <v>0.80020491803278693</v>
          </cell>
          <cell r="L36">
            <v>0.81988472622478381</v>
          </cell>
          <cell r="M36">
            <v>1669</v>
          </cell>
          <cell r="N36">
            <v>1760</v>
          </cell>
          <cell r="O36">
            <v>1823</v>
          </cell>
          <cell r="P36">
            <v>1861</v>
          </cell>
          <cell r="Q36">
            <v>1845</v>
          </cell>
          <cell r="R36">
            <v>1952</v>
          </cell>
          <cell r="S36">
            <v>2082</v>
          </cell>
          <cell r="T36">
            <v>1388</v>
          </cell>
          <cell r="U36">
            <v>1443</v>
          </cell>
          <cell r="V36">
            <v>1464</v>
          </cell>
          <cell r="W36">
            <v>1489</v>
          </cell>
          <cell r="X36">
            <v>1514</v>
          </cell>
          <cell r="Y36">
            <v>1562</v>
          </cell>
          <cell r="Z36">
            <v>1707</v>
          </cell>
        </row>
        <row r="37">
          <cell r="E37" t="str">
            <v>UTM</v>
          </cell>
          <cell r="F37">
            <v>0.75558099599313111</v>
          </cell>
          <cell r="G37">
            <v>0.70790816326530615</v>
          </cell>
          <cell r="H37">
            <v>0.73997709049255445</v>
          </cell>
          <cell r="I37">
            <v>0.80552546045503792</v>
          </cell>
          <cell r="J37">
            <v>0.80574488802336908</v>
          </cell>
          <cell r="K37">
            <v>0.75210643015521061</v>
          </cell>
          <cell r="L37">
            <v>0.81192438196800776</v>
          </cell>
          <cell r="M37">
            <v>1747</v>
          </cell>
          <cell r="N37">
            <v>1568</v>
          </cell>
          <cell r="O37">
            <v>1746</v>
          </cell>
          <cell r="P37">
            <v>1846</v>
          </cell>
          <cell r="Q37">
            <v>2054</v>
          </cell>
          <cell r="R37">
            <v>2255</v>
          </cell>
          <cell r="S37">
            <v>2063</v>
          </cell>
          <cell r="T37">
            <v>1320</v>
          </cell>
          <cell r="U37">
            <v>1110</v>
          </cell>
          <cell r="V37">
            <v>1292</v>
          </cell>
          <cell r="W37">
            <v>1487</v>
          </cell>
          <cell r="X37">
            <v>1655</v>
          </cell>
          <cell r="Y37">
            <v>1696</v>
          </cell>
          <cell r="Z37">
            <v>1675</v>
          </cell>
        </row>
      </sheetData>
      <sheetData sheetId="7">
        <row r="11">
          <cell r="D11" t="str">
            <v>PUC</v>
          </cell>
          <cell r="E11">
            <v>0.79674993936454042</v>
          </cell>
          <cell r="F11">
            <v>0.77154356060606055</v>
          </cell>
          <cell r="G11">
            <v>0.76631330977620726</v>
          </cell>
          <cell r="H11">
            <v>0.74095895977245019</v>
          </cell>
          <cell r="I11">
            <v>0.75014403687343956</v>
          </cell>
          <cell r="J11">
            <v>0.75529457065845207</v>
          </cell>
          <cell r="K11">
            <v>0.75730550284629983</v>
          </cell>
          <cell r="L11">
            <v>4123</v>
          </cell>
          <cell r="M11">
            <v>4224</v>
          </cell>
          <cell r="N11">
            <v>4245</v>
          </cell>
          <cell r="O11">
            <v>4922</v>
          </cell>
          <cell r="P11">
            <v>5207</v>
          </cell>
          <cell r="Q11">
            <v>5194</v>
          </cell>
          <cell r="R11">
            <v>5270</v>
          </cell>
          <cell r="S11">
            <v>3285</v>
          </cell>
          <cell r="T11">
            <v>3259</v>
          </cell>
          <cell r="U11">
            <v>3253</v>
          </cell>
          <cell r="V11">
            <v>3647</v>
          </cell>
          <cell r="W11">
            <v>3906</v>
          </cell>
          <cell r="X11">
            <v>3923</v>
          </cell>
          <cell r="Y11">
            <v>3991</v>
          </cell>
        </row>
        <row r="12">
          <cell r="D12" t="str">
            <v>UCV</v>
          </cell>
          <cell r="E12">
            <v>0.59649122807017541</v>
          </cell>
          <cell r="F12">
            <v>0.59691998660863743</v>
          </cell>
          <cell r="G12">
            <v>0.5578813828100222</v>
          </cell>
          <cell r="H12">
            <v>0.57996661101836389</v>
          </cell>
          <cell r="I12">
            <v>0.57053682896379521</v>
          </cell>
          <cell r="J12">
            <v>0.60974086793630966</v>
          </cell>
          <cell r="K12">
            <v>0.65</v>
          </cell>
          <cell r="L12">
            <v>2964</v>
          </cell>
          <cell r="M12">
            <v>2987</v>
          </cell>
          <cell r="N12">
            <v>3153</v>
          </cell>
          <cell r="O12">
            <v>2995</v>
          </cell>
          <cell r="P12">
            <v>3204</v>
          </cell>
          <cell r="Q12">
            <v>3203</v>
          </cell>
          <cell r="R12">
            <v>3180</v>
          </cell>
          <cell r="S12">
            <v>1768</v>
          </cell>
          <cell r="T12">
            <v>1783</v>
          </cell>
          <cell r="U12">
            <v>1759</v>
          </cell>
          <cell r="V12">
            <v>1737</v>
          </cell>
          <cell r="W12">
            <v>1828</v>
          </cell>
          <cell r="X12">
            <v>1953</v>
          </cell>
          <cell r="Y12">
            <v>2067</v>
          </cell>
        </row>
        <row r="13">
          <cell r="D13" t="str">
            <v>UAP</v>
          </cell>
          <cell r="E13">
            <v>0.42909625275532698</v>
          </cell>
          <cell r="F13">
            <v>0.52417061611374405</v>
          </cell>
          <cell r="G13">
            <v>0.48810656517602286</v>
          </cell>
          <cell r="H13">
            <v>0.5701402805611222</v>
          </cell>
          <cell r="I13">
            <v>0.5826446280991735</v>
          </cell>
          <cell r="J13">
            <v>0.62112403100775193</v>
          </cell>
          <cell r="K13">
            <v>0.57729729729729728</v>
          </cell>
          <cell r="L13">
            <v>1361</v>
          </cell>
          <cell r="M13">
            <v>1055</v>
          </cell>
          <cell r="N13">
            <v>1051</v>
          </cell>
          <cell r="O13">
            <v>998</v>
          </cell>
          <cell r="P13">
            <v>968</v>
          </cell>
          <cell r="Q13">
            <v>1032</v>
          </cell>
          <cell r="R13">
            <v>925</v>
          </cell>
          <cell r="S13">
            <v>584</v>
          </cell>
          <cell r="T13">
            <v>553</v>
          </cell>
          <cell r="U13">
            <v>513</v>
          </cell>
          <cell r="V13">
            <v>569</v>
          </cell>
          <cell r="W13">
            <v>564</v>
          </cell>
          <cell r="X13">
            <v>641</v>
          </cell>
          <cell r="Y13">
            <v>534</v>
          </cell>
        </row>
        <row r="14">
          <cell r="D14" t="str">
            <v>AUS</v>
          </cell>
          <cell r="E14">
            <v>0.6459459459459459</v>
          </cell>
          <cell r="F14">
            <v>0.63734076433121023</v>
          </cell>
          <cell r="G14">
            <v>0.63039253789350957</v>
          </cell>
          <cell r="H14">
            <v>0.62969211303247574</v>
          </cell>
          <cell r="I14">
            <v>0.66172656539459063</v>
          </cell>
          <cell r="J14">
            <v>0.67527272727272725</v>
          </cell>
          <cell r="K14">
            <v>0.67984869325997244</v>
          </cell>
          <cell r="L14">
            <v>2220</v>
          </cell>
          <cell r="M14">
            <v>2512</v>
          </cell>
          <cell r="N14">
            <v>2573</v>
          </cell>
          <cell r="O14">
            <v>2371</v>
          </cell>
          <cell r="P14">
            <v>2699</v>
          </cell>
          <cell r="Q14">
            <v>2750</v>
          </cell>
          <cell r="R14">
            <v>2908</v>
          </cell>
          <cell r="S14">
            <v>1434</v>
          </cell>
          <cell r="T14">
            <v>1601</v>
          </cell>
          <cell r="U14">
            <v>1622</v>
          </cell>
          <cell r="V14">
            <v>1493</v>
          </cell>
          <cell r="W14">
            <v>1786</v>
          </cell>
          <cell r="X14">
            <v>1857</v>
          </cell>
          <cell r="Y14">
            <v>1977</v>
          </cell>
        </row>
        <row r="15">
          <cell r="D15" t="str">
            <v>USC</v>
          </cell>
          <cell r="E15">
            <v>0.73894609327680194</v>
          </cell>
          <cell r="F15">
            <v>0.72203579418344521</v>
          </cell>
          <cell r="G15">
            <v>0.68609125893347989</v>
          </cell>
          <cell r="H15">
            <v>0.68763326226012789</v>
          </cell>
          <cell r="I15">
            <v>0.70404777704047772</v>
          </cell>
          <cell r="J15">
            <v>0.70962099125364431</v>
          </cell>
          <cell r="K15">
            <v>0.72696629213483144</v>
          </cell>
          <cell r="L15">
            <v>1651</v>
          </cell>
          <cell r="M15">
            <v>1788</v>
          </cell>
          <cell r="N15">
            <v>1819</v>
          </cell>
          <cell r="O15">
            <v>1876</v>
          </cell>
          <cell r="P15">
            <v>1507</v>
          </cell>
          <cell r="Q15">
            <v>1715</v>
          </cell>
          <cell r="R15">
            <v>1780</v>
          </cell>
          <cell r="S15">
            <v>1220</v>
          </cell>
          <cell r="T15">
            <v>1291</v>
          </cell>
          <cell r="U15">
            <v>1248</v>
          </cell>
          <cell r="V15">
            <v>1290</v>
          </cell>
          <cell r="W15">
            <v>1061</v>
          </cell>
          <cell r="X15">
            <v>1217</v>
          </cell>
          <cell r="Y15">
            <v>1294</v>
          </cell>
        </row>
        <row r="16">
          <cell r="D16" t="str">
            <v>UCT</v>
          </cell>
          <cell r="E16">
            <v>0.64031382015691007</v>
          </cell>
          <cell r="F16">
            <v>0.56772334293948123</v>
          </cell>
          <cell r="G16">
            <v>0.58519900497512434</v>
          </cell>
          <cell r="H16">
            <v>0.63934426229508201</v>
          </cell>
          <cell r="I16">
            <v>0.65571975916803504</v>
          </cell>
          <cell r="J16">
            <v>0.67000589275191513</v>
          </cell>
          <cell r="K16">
            <v>0.66531322505800461</v>
          </cell>
          <cell r="L16">
            <v>1657</v>
          </cell>
          <cell r="M16">
            <v>1735</v>
          </cell>
          <cell r="N16">
            <v>1608</v>
          </cell>
          <cell r="O16">
            <v>1647</v>
          </cell>
          <cell r="P16">
            <v>1827</v>
          </cell>
          <cell r="Q16">
            <v>1697</v>
          </cell>
          <cell r="R16">
            <v>1724</v>
          </cell>
          <cell r="S16">
            <v>1061</v>
          </cell>
          <cell r="T16">
            <v>985</v>
          </cell>
          <cell r="U16">
            <v>941</v>
          </cell>
          <cell r="V16">
            <v>1053</v>
          </cell>
          <cell r="W16">
            <v>1198</v>
          </cell>
          <cell r="X16">
            <v>1137</v>
          </cell>
          <cell r="Y16">
            <v>1147</v>
          </cell>
        </row>
        <row r="17">
          <cell r="D17" t="str">
            <v>UCM</v>
          </cell>
          <cell r="E17">
            <v>0.7963496637848223</v>
          </cell>
          <cell r="F17">
            <v>0.80956678700361007</v>
          </cell>
          <cell r="G17">
            <v>0.75880971025841815</v>
          </cell>
          <cell r="H17">
            <v>0.77064220183486243</v>
          </cell>
          <cell r="I17">
            <v>0.73314993122420913</v>
          </cell>
          <cell r="J17">
            <v>0.72841328413284134</v>
          </cell>
          <cell r="K17">
            <v>0.77353149327671622</v>
          </cell>
          <cell r="L17">
            <v>1041</v>
          </cell>
          <cell r="M17">
            <v>1108</v>
          </cell>
          <cell r="N17">
            <v>1277</v>
          </cell>
          <cell r="O17">
            <v>1308</v>
          </cell>
          <cell r="P17">
            <v>1454</v>
          </cell>
          <cell r="Q17">
            <v>1355</v>
          </cell>
          <cell r="R17">
            <v>1413</v>
          </cell>
          <cell r="S17">
            <v>829</v>
          </cell>
          <cell r="T17">
            <v>897</v>
          </cell>
          <cell r="U17">
            <v>969</v>
          </cell>
          <cell r="V17">
            <v>1008</v>
          </cell>
          <cell r="W17">
            <v>1066</v>
          </cell>
          <cell r="X17">
            <v>987</v>
          </cell>
          <cell r="Y17">
            <v>1093</v>
          </cell>
        </row>
        <row r="18">
          <cell r="D18" t="str">
            <v>UCN</v>
          </cell>
          <cell r="E18">
            <v>0.58977272727272723</v>
          </cell>
          <cell r="F18">
            <v>0.64413722478238611</v>
          </cell>
          <cell r="G18">
            <v>0.58383727322704781</v>
          </cell>
          <cell r="H18">
            <v>0.64928366762177647</v>
          </cell>
          <cell r="I18">
            <v>0.65508298755186722</v>
          </cell>
          <cell r="J18">
            <v>0.65231259968102073</v>
          </cell>
          <cell r="K18">
            <v>0.56695741405849154</v>
          </cell>
          <cell r="L18">
            <v>1760</v>
          </cell>
          <cell r="M18">
            <v>1953</v>
          </cell>
          <cell r="N18">
            <v>1819</v>
          </cell>
          <cell r="O18">
            <v>1745</v>
          </cell>
          <cell r="P18">
            <v>1928</v>
          </cell>
          <cell r="Q18">
            <v>1881</v>
          </cell>
          <cell r="R18">
            <v>1949</v>
          </cell>
          <cell r="S18">
            <v>1038</v>
          </cell>
          <cell r="T18">
            <v>1258</v>
          </cell>
          <cell r="U18">
            <v>1062</v>
          </cell>
          <cell r="V18">
            <v>1133</v>
          </cell>
          <cell r="W18">
            <v>1263</v>
          </cell>
          <cell r="X18">
            <v>1227</v>
          </cell>
          <cell r="Y18">
            <v>1105</v>
          </cell>
        </row>
        <row r="19">
          <cell r="D19" t="str">
            <v>ANT</v>
          </cell>
          <cell r="E19">
            <v>0.63561417971970324</v>
          </cell>
          <cell r="F19">
            <v>0.65701559020044542</v>
          </cell>
          <cell r="G19">
            <v>0.66585067319461444</v>
          </cell>
          <cell r="H19">
            <v>0.68436873747494986</v>
          </cell>
          <cell r="I19">
            <v>0.61865189289012001</v>
          </cell>
          <cell r="J19">
            <v>0.66579177602799655</v>
          </cell>
          <cell r="K19">
            <v>0.65164644714038134</v>
          </cell>
          <cell r="L19">
            <v>1213</v>
          </cell>
          <cell r="M19">
            <v>898</v>
          </cell>
          <cell r="N19">
            <v>817</v>
          </cell>
          <cell r="O19">
            <v>998</v>
          </cell>
          <cell r="P19">
            <v>1083</v>
          </cell>
          <cell r="Q19">
            <v>1143</v>
          </cell>
          <cell r="R19">
            <v>1154</v>
          </cell>
          <cell r="S19">
            <v>771</v>
          </cell>
          <cell r="T19">
            <v>590</v>
          </cell>
          <cell r="U19">
            <v>544</v>
          </cell>
          <cell r="V19">
            <v>683</v>
          </cell>
          <cell r="W19">
            <v>670</v>
          </cell>
          <cell r="X19">
            <v>761</v>
          </cell>
          <cell r="Y19">
            <v>752</v>
          </cell>
        </row>
        <row r="20">
          <cell r="D20" t="str">
            <v>ATA</v>
          </cell>
          <cell r="E20">
            <v>0.44983089064261556</v>
          </cell>
          <cell r="F20">
            <v>0.46313065976714102</v>
          </cell>
          <cell r="G20">
            <v>0.51892744479495267</v>
          </cell>
          <cell r="H20">
            <v>0.44314868804664725</v>
          </cell>
          <cell r="I20">
            <v>0.52705410821643284</v>
          </cell>
          <cell r="J20">
            <v>0.53543307086614178</v>
          </cell>
          <cell r="K20">
            <v>0.5810276679841897</v>
          </cell>
          <cell r="L20">
            <v>887</v>
          </cell>
          <cell r="M20">
            <v>773</v>
          </cell>
          <cell r="N20">
            <v>634</v>
          </cell>
          <cell r="O20">
            <v>686</v>
          </cell>
          <cell r="P20">
            <v>998</v>
          </cell>
          <cell r="Q20">
            <v>1016</v>
          </cell>
          <cell r="R20">
            <v>1012</v>
          </cell>
          <cell r="S20">
            <v>399</v>
          </cell>
          <cell r="T20">
            <v>358</v>
          </cell>
          <cell r="U20">
            <v>329</v>
          </cell>
          <cell r="V20">
            <v>304</v>
          </cell>
          <cell r="W20">
            <v>526</v>
          </cell>
          <cell r="X20">
            <v>544</v>
          </cell>
          <cell r="Y20">
            <v>588</v>
          </cell>
        </row>
        <row r="21">
          <cell r="D21" t="str">
            <v>UCH</v>
          </cell>
          <cell r="E21">
            <v>0.77357237715803451</v>
          </cell>
          <cell r="F21">
            <v>0.68979980934223073</v>
          </cell>
          <cell r="G21">
            <v>0.70239198961616911</v>
          </cell>
          <cell r="H21">
            <v>0.71343045300339258</v>
          </cell>
          <cell r="I21">
            <v>0.72421652421652427</v>
          </cell>
          <cell r="J21">
            <v>0.73257061136932422</v>
          </cell>
          <cell r="K21">
            <v>0.71918743598497781</v>
          </cell>
          <cell r="L21">
            <v>4518</v>
          </cell>
          <cell r="M21">
            <v>5245</v>
          </cell>
          <cell r="N21">
            <v>5393</v>
          </cell>
          <cell r="O21">
            <v>5011</v>
          </cell>
          <cell r="P21">
            <v>5265</v>
          </cell>
          <cell r="Q21">
            <v>5594</v>
          </cell>
          <cell r="R21">
            <v>5858</v>
          </cell>
          <cell r="S21">
            <v>3495</v>
          </cell>
          <cell r="T21">
            <v>3618</v>
          </cell>
          <cell r="U21">
            <v>3788</v>
          </cell>
          <cell r="V21">
            <v>3575</v>
          </cell>
          <cell r="W21">
            <v>3813</v>
          </cell>
          <cell r="X21">
            <v>4098</v>
          </cell>
          <cell r="Y21">
            <v>4213</v>
          </cell>
        </row>
        <row r="22">
          <cell r="D22" t="str">
            <v>UCO</v>
          </cell>
          <cell r="E22">
            <v>0.65728666209105469</v>
          </cell>
          <cell r="F22">
            <v>0.65969345484672748</v>
          </cell>
          <cell r="G22">
            <v>0.65565736202855318</v>
          </cell>
          <cell r="H22">
            <v>0.65961497778718003</v>
          </cell>
          <cell r="I22">
            <v>0.67094188376753505</v>
          </cell>
          <cell r="J22">
            <v>0.65908124202467033</v>
          </cell>
          <cell r="K22">
            <v>0.66556632968846707</v>
          </cell>
          <cell r="L22">
            <v>4371</v>
          </cell>
          <cell r="M22">
            <v>4828</v>
          </cell>
          <cell r="N22">
            <v>4693</v>
          </cell>
          <cell r="O22">
            <v>4727</v>
          </cell>
          <cell r="P22">
            <v>4990</v>
          </cell>
          <cell r="Q22">
            <v>4702</v>
          </cell>
          <cell r="R22">
            <v>4847</v>
          </cell>
          <cell r="S22">
            <v>2873</v>
          </cell>
          <cell r="T22">
            <v>3185</v>
          </cell>
          <cell r="U22">
            <v>3077</v>
          </cell>
          <cell r="V22">
            <v>3118</v>
          </cell>
          <cell r="W22">
            <v>3348</v>
          </cell>
          <cell r="X22">
            <v>3099</v>
          </cell>
          <cell r="Y22">
            <v>3226</v>
          </cell>
        </row>
        <row r="23">
          <cell r="D23" t="str">
            <v>FRO</v>
          </cell>
          <cell r="E23">
            <v>0.70175438596491224</v>
          </cell>
          <cell r="F23">
            <v>0.66843220338983056</v>
          </cell>
          <cell r="G23">
            <v>0.64093959731543626</v>
          </cell>
          <cell r="H23">
            <v>0.66393022062596208</v>
          </cell>
          <cell r="I23">
            <v>0.63789581205311541</v>
          </cell>
          <cell r="J23">
            <v>0.63506355932203384</v>
          </cell>
          <cell r="K23">
            <v>0.63591756624141316</v>
          </cell>
          <cell r="L23">
            <v>1710</v>
          </cell>
          <cell r="M23">
            <v>1888</v>
          </cell>
          <cell r="N23">
            <v>1788</v>
          </cell>
          <cell r="O23">
            <v>1949</v>
          </cell>
          <cell r="P23">
            <v>1958</v>
          </cell>
          <cell r="Q23">
            <v>1888</v>
          </cell>
          <cell r="R23">
            <v>2038</v>
          </cell>
          <cell r="S23">
            <v>1200</v>
          </cell>
          <cell r="T23">
            <v>1262</v>
          </cell>
          <cell r="U23">
            <v>1146</v>
          </cell>
          <cell r="V23">
            <v>1294</v>
          </cell>
          <cell r="W23">
            <v>1249</v>
          </cell>
          <cell r="X23">
            <v>1199</v>
          </cell>
          <cell r="Y23">
            <v>1296</v>
          </cell>
        </row>
        <row r="24">
          <cell r="D24" t="str">
            <v>ULS</v>
          </cell>
          <cell r="E24">
            <v>0.64012944983818765</v>
          </cell>
          <cell r="F24">
            <v>0.61448140900195691</v>
          </cell>
          <cell r="G24">
            <v>0.58439811701412236</v>
          </cell>
          <cell r="H24">
            <v>0.61419354838709672</v>
          </cell>
          <cell r="I24">
            <v>0.59616573902288184</v>
          </cell>
          <cell r="J24">
            <v>0.60672703751617074</v>
          </cell>
          <cell r="K24">
            <v>0.59270704573547595</v>
          </cell>
          <cell r="L24">
            <v>1545</v>
          </cell>
          <cell r="M24">
            <v>1533</v>
          </cell>
          <cell r="N24">
            <v>1487</v>
          </cell>
          <cell r="O24">
            <v>1550</v>
          </cell>
          <cell r="P24">
            <v>1617</v>
          </cell>
          <cell r="Q24">
            <v>1546</v>
          </cell>
          <cell r="R24">
            <v>1618</v>
          </cell>
          <cell r="S24">
            <v>989</v>
          </cell>
          <cell r="T24">
            <v>942</v>
          </cell>
          <cell r="U24">
            <v>869</v>
          </cell>
          <cell r="V24">
            <v>952</v>
          </cell>
          <cell r="W24">
            <v>964</v>
          </cell>
          <cell r="X24">
            <v>938</v>
          </cell>
          <cell r="Y24">
            <v>959</v>
          </cell>
        </row>
        <row r="25">
          <cell r="D25" t="str">
            <v>ULA</v>
          </cell>
          <cell r="E25">
            <v>0.62439024390243902</v>
          </cell>
          <cell r="F25">
            <v>0.62425149700598803</v>
          </cell>
          <cell r="G25">
            <v>0.61742424242424243</v>
          </cell>
          <cell r="H25">
            <v>0.66614664586583461</v>
          </cell>
          <cell r="I25">
            <v>0.60699865410497977</v>
          </cell>
          <cell r="J25">
            <v>0.62669683257918551</v>
          </cell>
          <cell r="K25">
            <v>0.64565992865636146</v>
          </cell>
          <cell r="L25">
            <v>820</v>
          </cell>
          <cell r="M25">
            <v>668</v>
          </cell>
          <cell r="N25">
            <v>792</v>
          </cell>
          <cell r="O25">
            <v>641</v>
          </cell>
          <cell r="P25">
            <v>743</v>
          </cell>
          <cell r="Q25">
            <v>884</v>
          </cell>
          <cell r="R25">
            <v>841</v>
          </cell>
          <cell r="S25">
            <v>512</v>
          </cell>
          <cell r="T25">
            <v>417</v>
          </cell>
          <cell r="U25">
            <v>489</v>
          </cell>
          <cell r="V25">
            <v>427</v>
          </cell>
          <cell r="W25">
            <v>451</v>
          </cell>
          <cell r="X25">
            <v>554</v>
          </cell>
          <cell r="Y25">
            <v>543</v>
          </cell>
        </row>
        <row r="26">
          <cell r="D26" t="str">
            <v>MAG</v>
          </cell>
          <cell r="E26">
            <v>0.6216216216216216</v>
          </cell>
          <cell r="F26">
            <v>0.60493827160493829</v>
          </cell>
          <cell r="G26">
            <v>0.63779527559055116</v>
          </cell>
          <cell r="H26">
            <v>0.63452914798206284</v>
          </cell>
          <cell r="I26">
            <v>0.59834710743801656</v>
          </cell>
          <cell r="J26">
            <v>0.67799642218246869</v>
          </cell>
          <cell r="K26">
            <v>0.6107784431137725</v>
          </cell>
          <cell r="L26">
            <v>666</v>
          </cell>
          <cell r="M26">
            <v>648</v>
          </cell>
          <cell r="N26">
            <v>508</v>
          </cell>
          <cell r="O26">
            <v>446</v>
          </cell>
          <cell r="P26">
            <v>605</v>
          </cell>
          <cell r="Q26">
            <v>559</v>
          </cell>
          <cell r="R26">
            <v>668</v>
          </cell>
          <cell r="S26">
            <v>414</v>
          </cell>
          <cell r="T26">
            <v>392</v>
          </cell>
          <cell r="U26">
            <v>324</v>
          </cell>
          <cell r="V26">
            <v>283</v>
          </cell>
          <cell r="W26">
            <v>362</v>
          </cell>
          <cell r="X26">
            <v>379</v>
          </cell>
          <cell r="Y26">
            <v>408</v>
          </cell>
        </row>
        <row r="27">
          <cell r="D27" t="str">
            <v>UPA</v>
          </cell>
          <cell r="E27">
            <v>0.63931623931623927</v>
          </cell>
          <cell r="F27">
            <v>0.64087193460490466</v>
          </cell>
          <cell r="G27">
            <v>0.59954751131221717</v>
          </cell>
          <cell r="H27">
            <v>0.59619306594153632</v>
          </cell>
          <cell r="I27">
            <v>0.55097765363128492</v>
          </cell>
          <cell r="J27">
            <v>0.59623430962343094</v>
          </cell>
          <cell r="K27">
            <v>0.64819136522753795</v>
          </cell>
          <cell r="L27">
            <v>1755</v>
          </cell>
          <cell r="M27">
            <v>1835</v>
          </cell>
          <cell r="N27">
            <v>1768</v>
          </cell>
          <cell r="O27">
            <v>1471</v>
          </cell>
          <cell r="P27">
            <v>1432</v>
          </cell>
          <cell r="Q27">
            <v>1434</v>
          </cell>
          <cell r="R27">
            <v>1714</v>
          </cell>
          <cell r="S27">
            <v>1122</v>
          </cell>
          <cell r="T27">
            <v>1176</v>
          </cell>
          <cell r="U27">
            <v>1060</v>
          </cell>
          <cell r="V27">
            <v>877</v>
          </cell>
          <cell r="W27">
            <v>789</v>
          </cell>
          <cell r="X27">
            <v>855</v>
          </cell>
          <cell r="Y27">
            <v>1111</v>
          </cell>
        </row>
        <row r="28">
          <cell r="D28" t="str">
            <v>USA</v>
          </cell>
          <cell r="E28">
            <v>0.71329365079365081</v>
          </cell>
          <cell r="F28">
            <v>0.68065573770491805</v>
          </cell>
          <cell r="G28">
            <v>0.55658682634730539</v>
          </cell>
          <cell r="H28">
            <v>0.62788823213326173</v>
          </cell>
          <cell r="I28">
            <v>0.61633663366336633</v>
          </cell>
          <cell r="J28">
            <v>0.5958289334741288</v>
          </cell>
          <cell r="K28">
            <v>0.58877786318216752</v>
          </cell>
          <cell r="L28">
            <v>3024</v>
          </cell>
          <cell r="M28">
            <v>3050</v>
          </cell>
          <cell r="N28">
            <v>3340</v>
          </cell>
          <cell r="O28">
            <v>3722</v>
          </cell>
          <cell r="P28">
            <v>3232</v>
          </cell>
          <cell r="Q28">
            <v>3788</v>
          </cell>
          <cell r="R28">
            <v>3903</v>
          </cell>
          <cell r="S28">
            <v>2157</v>
          </cell>
          <cell r="T28">
            <v>2076</v>
          </cell>
          <cell r="U28">
            <v>1859</v>
          </cell>
          <cell r="V28">
            <v>2337</v>
          </cell>
          <cell r="W28">
            <v>1992</v>
          </cell>
          <cell r="X28">
            <v>2257</v>
          </cell>
          <cell r="Y28">
            <v>2298</v>
          </cell>
        </row>
        <row r="29">
          <cell r="D29" t="str">
            <v>TAL</v>
          </cell>
          <cell r="E29">
            <v>0.76491732566498927</v>
          </cell>
          <cell r="F29">
            <v>0.7556596409055425</v>
          </cell>
          <cell r="G29">
            <v>0.70656370656370659</v>
          </cell>
          <cell r="H29">
            <v>0.70518602029312294</v>
          </cell>
          <cell r="I29">
            <v>0.71880733944954134</v>
          </cell>
          <cell r="J29">
            <v>0.7183908045977011</v>
          </cell>
          <cell r="K29">
            <v>0.74460043196544279</v>
          </cell>
          <cell r="L29">
            <v>1391</v>
          </cell>
          <cell r="M29">
            <v>1281</v>
          </cell>
          <cell r="N29">
            <v>1295</v>
          </cell>
          <cell r="O29">
            <v>1774</v>
          </cell>
          <cell r="P29">
            <v>2180</v>
          </cell>
          <cell r="Q29">
            <v>1740</v>
          </cell>
          <cell r="R29">
            <v>1852</v>
          </cell>
          <cell r="S29">
            <v>1064</v>
          </cell>
          <cell r="T29">
            <v>968</v>
          </cell>
          <cell r="U29">
            <v>915</v>
          </cell>
          <cell r="V29">
            <v>1251</v>
          </cell>
          <cell r="W29">
            <v>1567</v>
          </cell>
          <cell r="X29">
            <v>1250</v>
          </cell>
          <cell r="Y29">
            <v>1379</v>
          </cell>
        </row>
        <row r="30">
          <cell r="D30" t="str">
            <v>UTA</v>
          </cell>
          <cell r="E30">
            <v>0.62388724035608312</v>
          </cell>
          <cell r="F30">
            <v>0.59766963673749141</v>
          </cell>
          <cell r="G30">
            <v>0.63847203274215547</v>
          </cell>
          <cell r="H30">
            <v>0.70169491525423733</v>
          </cell>
          <cell r="I30">
            <v>0.63040629095674972</v>
          </cell>
          <cell r="J30">
            <v>0.62819519752130126</v>
          </cell>
          <cell r="K30">
            <v>0.61081081081081079</v>
          </cell>
          <cell r="L30">
            <v>1348</v>
          </cell>
          <cell r="M30">
            <v>1459</v>
          </cell>
          <cell r="N30">
            <v>1466</v>
          </cell>
          <cell r="O30">
            <v>1475</v>
          </cell>
          <cell r="P30">
            <v>1526</v>
          </cell>
          <cell r="Q30">
            <v>1291</v>
          </cell>
          <cell r="R30">
            <v>1480</v>
          </cell>
          <cell r="S30">
            <v>841</v>
          </cell>
          <cell r="T30">
            <v>872</v>
          </cell>
          <cell r="U30">
            <v>936</v>
          </cell>
          <cell r="V30">
            <v>1035</v>
          </cell>
          <cell r="W30">
            <v>962</v>
          </cell>
          <cell r="X30">
            <v>811</v>
          </cell>
          <cell r="Y30">
            <v>904</v>
          </cell>
        </row>
        <row r="31">
          <cell r="D31" t="str">
            <v>UVA</v>
          </cell>
          <cell r="E31">
            <v>0.67007402185407117</v>
          </cell>
          <cell r="F31">
            <v>0.6637140145523569</v>
          </cell>
          <cell r="G31">
            <v>0.64890073284477012</v>
          </cell>
          <cell r="H31">
            <v>0.64079147640791478</v>
          </cell>
          <cell r="I31">
            <v>0.62412761714855436</v>
          </cell>
          <cell r="J31">
            <v>0.65015806111696528</v>
          </cell>
          <cell r="K31">
            <v>0.67136304062909569</v>
          </cell>
          <cell r="L31">
            <v>2837</v>
          </cell>
          <cell r="M31">
            <v>3161</v>
          </cell>
          <cell r="N31">
            <v>3002</v>
          </cell>
          <cell r="O31">
            <v>3285</v>
          </cell>
          <cell r="P31">
            <v>3009</v>
          </cell>
          <cell r="Q31">
            <v>2847</v>
          </cell>
          <cell r="R31">
            <v>3052</v>
          </cell>
          <cell r="S31">
            <v>1901</v>
          </cell>
          <cell r="T31">
            <v>2098</v>
          </cell>
          <cell r="U31">
            <v>1948</v>
          </cell>
          <cell r="V31">
            <v>2105</v>
          </cell>
          <cell r="W31">
            <v>1878</v>
          </cell>
          <cell r="X31">
            <v>1851</v>
          </cell>
          <cell r="Y31">
            <v>2049</v>
          </cell>
        </row>
        <row r="32">
          <cell r="D32" t="str">
            <v>UBB</v>
          </cell>
          <cell r="E32">
            <v>0.71873589164785556</v>
          </cell>
          <cell r="F32">
            <v>0.76222826086956519</v>
          </cell>
          <cell r="G32">
            <v>0.72163038443723948</v>
          </cell>
          <cell r="H32">
            <v>0.7530805687203791</v>
          </cell>
          <cell r="I32">
            <v>0.73044631020768891</v>
          </cell>
          <cell r="J32">
            <v>0.70874704491725771</v>
          </cell>
          <cell r="K32">
            <v>0.70805812417437253</v>
          </cell>
          <cell r="L32">
            <v>2215</v>
          </cell>
          <cell r="M32">
            <v>2208</v>
          </cell>
          <cell r="N32">
            <v>2159</v>
          </cell>
          <cell r="O32">
            <v>2110</v>
          </cell>
          <cell r="P32">
            <v>2263</v>
          </cell>
          <cell r="Q32">
            <v>2115</v>
          </cell>
          <cell r="R32">
            <v>2271</v>
          </cell>
          <cell r="S32">
            <v>1592</v>
          </cell>
          <cell r="T32">
            <v>1683</v>
          </cell>
          <cell r="U32">
            <v>1558</v>
          </cell>
          <cell r="V32">
            <v>1589</v>
          </cell>
          <cell r="W32">
            <v>1653</v>
          </cell>
          <cell r="X32">
            <v>1499</v>
          </cell>
          <cell r="Y32">
            <v>1608</v>
          </cell>
        </row>
        <row r="33">
          <cell r="D33" t="str">
            <v>UMC</v>
          </cell>
          <cell r="E33">
            <v>0.70460959548447788</v>
          </cell>
          <cell r="F33">
            <v>0.64579256360078274</v>
          </cell>
          <cell r="G33">
            <v>0.65895953757225434</v>
          </cell>
          <cell r="H33">
            <v>0.63561924257932445</v>
          </cell>
          <cell r="I33">
            <v>0.60351201478743066</v>
          </cell>
          <cell r="J33">
            <v>0.64176245210727967</v>
          </cell>
          <cell r="K33">
            <v>0.55785837651122627</v>
          </cell>
          <cell r="L33">
            <v>1063</v>
          </cell>
          <cell r="M33">
            <v>1022</v>
          </cell>
          <cell r="N33">
            <v>1038</v>
          </cell>
          <cell r="O33">
            <v>977</v>
          </cell>
          <cell r="P33">
            <v>1082</v>
          </cell>
          <cell r="Q33">
            <v>1044</v>
          </cell>
          <cell r="R33">
            <v>1158</v>
          </cell>
          <cell r="S33">
            <v>749</v>
          </cell>
          <cell r="T33">
            <v>660</v>
          </cell>
          <cell r="U33">
            <v>684</v>
          </cell>
          <cell r="V33">
            <v>621</v>
          </cell>
          <cell r="W33">
            <v>653</v>
          </cell>
          <cell r="X33">
            <v>670</v>
          </cell>
          <cell r="Y33">
            <v>646</v>
          </cell>
        </row>
        <row r="34">
          <cell r="D34" t="str">
            <v>FSM</v>
          </cell>
          <cell r="E34">
            <v>0.68058968058968061</v>
          </cell>
          <cell r="F34">
            <v>0.66422594142259417</v>
          </cell>
          <cell r="G34">
            <v>0.60167966406718654</v>
          </cell>
          <cell r="H34">
            <v>0.59113034072471604</v>
          </cell>
          <cell r="I34">
            <v>0.61661166116611665</v>
          </cell>
          <cell r="J34">
            <v>0.55633047210300424</v>
          </cell>
          <cell r="K34">
            <v>0.61858454889249059</v>
          </cell>
          <cell r="L34">
            <v>1628</v>
          </cell>
          <cell r="M34">
            <v>1912</v>
          </cell>
          <cell r="N34">
            <v>1667</v>
          </cell>
          <cell r="O34">
            <v>1849</v>
          </cell>
          <cell r="P34">
            <v>1818</v>
          </cell>
          <cell r="Q34">
            <v>1864</v>
          </cell>
          <cell r="R34">
            <v>1851</v>
          </cell>
          <cell r="S34">
            <v>1108</v>
          </cell>
          <cell r="T34">
            <v>1270</v>
          </cell>
          <cell r="U34">
            <v>1003</v>
          </cell>
          <cell r="V34">
            <v>1093</v>
          </cell>
          <cell r="W34">
            <v>1121</v>
          </cell>
          <cell r="X34">
            <v>1037</v>
          </cell>
          <cell r="Y34">
            <v>1145</v>
          </cell>
        </row>
        <row r="35">
          <cell r="D35" t="str">
            <v>UTM</v>
          </cell>
          <cell r="E35">
            <v>0.52498457742134486</v>
          </cell>
          <cell r="F35">
            <v>0.52720207253886009</v>
          </cell>
          <cell r="G35">
            <v>0.51516886090440761</v>
          </cell>
          <cell r="H35">
            <v>0.49744897959183676</v>
          </cell>
          <cell r="I35">
            <v>0.51688609044075562</v>
          </cell>
          <cell r="J35">
            <v>0.5579631635969664</v>
          </cell>
          <cell r="K35">
            <v>0.55143832276938076</v>
          </cell>
          <cell r="L35">
            <v>1621</v>
          </cell>
          <cell r="M35">
            <v>1544</v>
          </cell>
          <cell r="N35">
            <v>1747</v>
          </cell>
          <cell r="O35">
            <v>1568</v>
          </cell>
          <cell r="P35">
            <v>1747</v>
          </cell>
          <cell r="Q35">
            <v>1846</v>
          </cell>
          <cell r="R35">
            <v>2051</v>
          </cell>
          <cell r="S35">
            <v>851</v>
          </cell>
          <cell r="T35">
            <v>814</v>
          </cell>
          <cell r="U35">
            <v>900</v>
          </cell>
          <cell r="V35">
            <v>780</v>
          </cell>
          <cell r="W35">
            <v>903</v>
          </cell>
          <cell r="X35">
            <v>1030</v>
          </cell>
          <cell r="Y35">
            <v>1131</v>
          </cell>
        </row>
      </sheetData>
      <sheetData sheetId="8">
        <row r="8">
          <cell r="F8" t="str">
            <v>PUC</v>
          </cell>
          <cell r="G8">
            <v>171</v>
          </cell>
          <cell r="H8">
            <v>0</v>
          </cell>
          <cell r="I8">
            <v>0</v>
          </cell>
          <cell r="J8">
            <v>1</v>
          </cell>
          <cell r="K8">
            <v>2</v>
          </cell>
          <cell r="L8">
            <v>29</v>
          </cell>
          <cell r="M8">
            <v>0.1871345029239766</v>
          </cell>
          <cell r="N8">
            <v>32</v>
          </cell>
        </row>
        <row r="9">
          <cell r="F9" t="str">
            <v>UCV</v>
          </cell>
          <cell r="G9">
            <v>51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5</v>
          </cell>
          <cell r="M9">
            <v>9.8039215686274508E-2</v>
          </cell>
          <cell r="N9">
            <v>5</v>
          </cell>
        </row>
        <row r="10">
          <cell r="F10" t="str">
            <v>AUS</v>
          </cell>
          <cell r="G10">
            <v>36</v>
          </cell>
          <cell r="H10">
            <v>1</v>
          </cell>
          <cell r="I10">
            <v>1</v>
          </cell>
          <cell r="J10">
            <v>0</v>
          </cell>
          <cell r="K10">
            <v>0</v>
          </cell>
          <cell r="L10">
            <v>8</v>
          </cell>
          <cell r="M10">
            <v>0.27777777777777779</v>
          </cell>
          <cell r="N10">
            <v>10</v>
          </cell>
        </row>
        <row r="11">
          <cell r="F11" t="str">
            <v>UCN</v>
          </cell>
          <cell r="G11">
            <v>12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3</v>
          </cell>
          <cell r="M11">
            <v>0.25</v>
          </cell>
          <cell r="N11">
            <v>3</v>
          </cell>
        </row>
        <row r="12">
          <cell r="F12" t="str">
            <v>ANT</v>
          </cell>
          <cell r="G12">
            <v>8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0.125</v>
          </cell>
          <cell r="N12">
            <v>1</v>
          </cell>
        </row>
        <row r="13">
          <cell r="F13" t="str">
            <v>UCH</v>
          </cell>
          <cell r="G13">
            <v>196</v>
          </cell>
          <cell r="H13">
            <v>0</v>
          </cell>
          <cell r="I13">
            <v>0</v>
          </cell>
          <cell r="J13">
            <v>1</v>
          </cell>
          <cell r="K13">
            <v>2</v>
          </cell>
          <cell r="L13">
            <v>20</v>
          </cell>
          <cell r="M13">
            <v>0.11734693877551021</v>
          </cell>
          <cell r="N13">
            <v>23</v>
          </cell>
        </row>
        <row r="14">
          <cell r="F14" t="str">
            <v>UCO</v>
          </cell>
          <cell r="G14">
            <v>87</v>
          </cell>
          <cell r="H14">
            <v>0</v>
          </cell>
          <cell r="I14">
            <v>0</v>
          </cell>
          <cell r="J14">
            <v>2</v>
          </cell>
          <cell r="K14">
            <v>4</v>
          </cell>
          <cell r="L14">
            <v>17</v>
          </cell>
          <cell r="M14">
            <v>0.26436781609195403</v>
          </cell>
          <cell r="N14">
            <v>23</v>
          </cell>
        </row>
        <row r="15">
          <cell r="F15" t="str">
            <v>FRO</v>
          </cell>
          <cell r="G15">
            <v>31</v>
          </cell>
          <cell r="H15">
            <v>0</v>
          </cell>
          <cell r="I15">
            <v>0</v>
          </cell>
          <cell r="J15">
            <v>1</v>
          </cell>
          <cell r="K15">
            <v>1</v>
          </cell>
          <cell r="L15">
            <v>7</v>
          </cell>
          <cell r="M15">
            <v>0.29032258064516131</v>
          </cell>
          <cell r="N15">
            <v>9</v>
          </cell>
        </row>
        <row r="16">
          <cell r="F16" t="str">
            <v>ULS</v>
          </cell>
          <cell r="G16">
            <v>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F17" t="str">
            <v>ULA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F18" t="str">
            <v>UPA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9.0909090909090912E-2</v>
          </cell>
          <cell r="N18">
            <v>1</v>
          </cell>
        </row>
        <row r="19">
          <cell r="F19" t="str">
            <v>USA</v>
          </cell>
          <cell r="G19">
            <v>52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11</v>
          </cell>
          <cell r="M19">
            <v>0.23076923076923078</v>
          </cell>
          <cell r="N19">
            <v>12</v>
          </cell>
        </row>
        <row r="20">
          <cell r="F20" t="str">
            <v>TAL</v>
          </cell>
          <cell r="G20">
            <v>20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6</v>
          </cell>
          <cell r="M20">
            <v>0.3</v>
          </cell>
          <cell r="N20">
            <v>6</v>
          </cell>
        </row>
        <row r="21">
          <cell r="F21" t="str">
            <v>UVA</v>
          </cell>
          <cell r="G21">
            <v>23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4</v>
          </cell>
          <cell r="M21">
            <v>0.17391304347826086</v>
          </cell>
          <cell r="N21">
            <v>4</v>
          </cell>
        </row>
        <row r="22">
          <cell r="F22" t="str">
            <v>UBB</v>
          </cell>
          <cell r="G22">
            <v>2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F23" t="str">
            <v>UMC</v>
          </cell>
          <cell r="G23">
            <v>7</v>
          </cell>
          <cell r="H23">
            <v>0</v>
          </cell>
          <cell r="I23">
            <v>0</v>
          </cell>
          <cell r="J23">
            <v>0</v>
          </cell>
          <cell r="K23">
            <v>1</v>
          </cell>
          <cell r="L23">
            <v>1</v>
          </cell>
          <cell r="M23">
            <v>0.2857142857142857</v>
          </cell>
          <cell r="N23">
            <v>2</v>
          </cell>
        </row>
        <row r="24">
          <cell r="F24" t="str">
            <v>FSM</v>
          </cell>
          <cell r="G24">
            <v>23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</v>
          </cell>
          <cell r="M24">
            <v>8.6956521739130432E-2</v>
          </cell>
          <cell r="N24">
            <v>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17"/>
    </sheetNames>
    <sheetDataSet>
      <sheetData sheetId="0">
        <row r="5">
          <cell r="B5" t="str">
            <v>ANT</v>
          </cell>
          <cell r="C5">
            <v>3</v>
          </cell>
        </row>
        <row r="6">
          <cell r="B6" t="str">
            <v>TAL</v>
          </cell>
          <cell r="C6">
            <v>2</v>
          </cell>
        </row>
        <row r="7">
          <cell r="B7" t="str">
            <v>UCH</v>
          </cell>
          <cell r="C7">
            <v>9</v>
          </cell>
        </row>
        <row r="8">
          <cell r="B8" t="str">
            <v>USA</v>
          </cell>
          <cell r="C8">
            <v>18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ielo.Chile"/>
      <sheetName val="WOS"/>
      <sheetName val="SCOPUS"/>
    </sheetNames>
    <sheetDataSet>
      <sheetData sheetId="0"/>
      <sheetData sheetId="1"/>
      <sheetData sheetId="2">
        <row r="7">
          <cell r="C7" t="str">
            <v>UCH</v>
          </cell>
          <cell r="D7">
            <v>1980</v>
          </cell>
          <cell r="E7">
            <v>26055</v>
          </cell>
          <cell r="F7">
            <v>2359</v>
          </cell>
          <cell r="G7">
            <v>24426</v>
          </cell>
          <cell r="H7">
            <v>2526</v>
          </cell>
          <cell r="I7">
            <v>18386</v>
          </cell>
          <cell r="J7">
            <v>2712</v>
          </cell>
          <cell r="K7">
            <v>13194</v>
          </cell>
          <cell r="L7">
            <v>2693</v>
          </cell>
          <cell r="M7">
            <v>5352</v>
          </cell>
        </row>
        <row r="8">
          <cell r="C8" t="str">
            <v>PUC</v>
          </cell>
          <cell r="D8">
            <v>1756</v>
          </cell>
          <cell r="E8">
            <v>27398</v>
          </cell>
          <cell r="F8">
            <v>2053</v>
          </cell>
          <cell r="G8">
            <v>24460</v>
          </cell>
          <cell r="H8">
            <v>2086</v>
          </cell>
          <cell r="I8">
            <v>19502</v>
          </cell>
          <cell r="J8">
            <v>2387</v>
          </cell>
          <cell r="K8">
            <v>17228</v>
          </cell>
          <cell r="L8">
            <v>2338</v>
          </cell>
          <cell r="M8">
            <v>6188</v>
          </cell>
        </row>
        <row r="9">
          <cell r="C9" t="str">
            <v>UCO</v>
          </cell>
          <cell r="D9">
            <v>918</v>
          </cell>
          <cell r="E9">
            <v>11576</v>
          </cell>
          <cell r="F9">
            <v>990</v>
          </cell>
          <cell r="G9">
            <v>8831</v>
          </cell>
          <cell r="H9">
            <v>1010</v>
          </cell>
          <cell r="I9">
            <v>6564</v>
          </cell>
          <cell r="J9">
            <v>1137</v>
          </cell>
          <cell r="K9">
            <v>4409</v>
          </cell>
          <cell r="L9">
            <v>1101</v>
          </cell>
          <cell r="M9">
            <v>1871</v>
          </cell>
        </row>
        <row r="10">
          <cell r="C10" t="str">
            <v>USA</v>
          </cell>
          <cell r="D10">
            <v>462</v>
          </cell>
          <cell r="E10">
            <v>3797</v>
          </cell>
          <cell r="F10">
            <v>518</v>
          </cell>
          <cell r="G10">
            <v>3134</v>
          </cell>
          <cell r="H10">
            <v>516</v>
          </cell>
          <cell r="I10">
            <v>2746</v>
          </cell>
          <cell r="J10">
            <v>662</v>
          </cell>
          <cell r="K10">
            <v>2506</v>
          </cell>
          <cell r="L10">
            <v>688</v>
          </cell>
          <cell r="M10">
            <v>899</v>
          </cell>
        </row>
        <row r="11">
          <cell r="C11" t="str">
            <v>UCV</v>
          </cell>
          <cell r="D11">
            <v>383</v>
          </cell>
          <cell r="E11">
            <v>3269</v>
          </cell>
          <cell r="F11">
            <v>466</v>
          </cell>
          <cell r="G11">
            <v>3706</v>
          </cell>
          <cell r="H11">
            <v>541</v>
          </cell>
          <cell r="I11">
            <v>2584</v>
          </cell>
          <cell r="J11">
            <v>658</v>
          </cell>
          <cell r="K11">
            <v>1953</v>
          </cell>
          <cell r="L11">
            <v>608</v>
          </cell>
          <cell r="M11">
            <v>859</v>
          </cell>
        </row>
        <row r="12">
          <cell r="C12" t="str">
            <v>FSM</v>
          </cell>
          <cell r="D12">
            <v>447</v>
          </cell>
          <cell r="E12">
            <v>9138</v>
          </cell>
          <cell r="F12">
            <v>478</v>
          </cell>
          <cell r="G12">
            <v>7044</v>
          </cell>
          <cell r="H12">
            <v>550</v>
          </cell>
          <cell r="I12">
            <v>7021</v>
          </cell>
          <cell r="J12">
            <v>620</v>
          </cell>
          <cell r="K12">
            <v>4978</v>
          </cell>
          <cell r="L12">
            <v>569</v>
          </cell>
          <cell r="M12">
            <v>1580</v>
          </cell>
        </row>
        <row r="13">
          <cell r="C13" t="str">
            <v>AUS</v>
          </cell>
          <cell r="D13">
            <v>449</v>
          </cell>
          <cell r="E13">
            <v>4874</v>
          </cell>
          <cell r="F13">
            <v>465</v>
          </cell>
          <cell r="G13">
            <v>4228</v>
          </cell>
          <cell r="H13">
            <v>489</v>
          </cell>
          <cell r="I13">
            <v>2740</v>
          </cell>
          <cell r="J13">
            <v>543</v>
          </cell>
          <cell r="K13">
            <v>3156</v>
          </cell>
          <cell r="L13">
            <v>548</v>
          </cell>
          <cell r="M13">
            <v>939</v>
          </cell>
        </row>
        <row r="14">
          <cell r="C14" t="str">
            <v>FRO</v>
          </cell>
          <cell r="D14">
            <v>306</v>
          </cell>
          <cell r="E14">
            <v>3489</v>
          </cell>
          <cell r="F14">
            <v>381</v>
          </cell>
          <cell r="G14">
            <v>4099</v>
          </cell>
          <cell r="H14">
            <v>445</v>
          </cell>
          <cell r="I14">
            <v>2686</v>
          </cell>
          <cell r="J14">
            <v>469</v>
          </cell>
          <cell r="K14">
            <v>2029</v>
          </cell>
          <cell r="L14">
            <v>507</v>
          </cell>
          <cell r="M14">
            <v>957</v>
          </cell>
        </row>
        <row r="15">
          <cell r="C15" t="str">
            <v>UVA</v>
          </cell>
          <cell r="D15">
            <v>288</v>
          </cell>
          <cell r="E15">
            <v>3075</v>
          </cell>
          <cell r="F15">
            <v>341</v>
          </cell>
          <cell r="G15">
            <v>2925</v>
          </cell>
          <cell r="H15">
            <v>385</v>
          </cell>
          <cell r="I15">
            <v>2552</v>
          </cell>
          <cell r="J15">
            <v>412</v>
          </cell>
          <cell r="K15">
            <v>2042</v>
          </cell>
          <cell r="L15">
            <v>433</v>
          </cell>
          <cell r="M15">
            <v>1050</v>
          </cell>
        </row>
        <row r="16">
          <cell r="C16" t="str">
            <v>TAL</v>
          </cell>
          <cell r="D16">
            <v>298</v>
          </cell>
          <cell r="E16">
            <v>2599</v>
          </cell>
          <cell r="F16">
            <v>319</v>
          </cell>
          <cell r="G16">
            <v>2120</v>
          </cell>
          <cell r="H16">
            <v>375</v>
          </cell>
          <cell r="I16">
            <v>1950</v>
          </cell>
          <cell r="J16">
            <v>401</v>
          </cell>
          <cell r="K16">
            <v>1317</v>
          </cell>
          <cell r="L16">
            <v>414</v>
          </cell>
          <cell r="M16">
            <v>606</v>
          </cell>
        </row>
        <row r="17">
          <cell r="C17" t="str">
            <v>UCN</v>
          </cell>
          <cell r="D17">
            <v>266</v>
          </cell>
          <cell r="E17">
            <v>2376</v>
          </cell>
          <cell r="F17">
            <v>308</v>
          </cell>
          <cell r="G17">
            <v>2393</v>
          </cell>
          <cell r="H17">
            <v>338</v>
          </cell>
          <cell r="I17">
            <v>1591</v>
          </cell>
          <cell r="J17">
            <v>326</v>
          </cell>
          <cell r="K17">
            <v>940</v>
          </cell>
          <cell r="L17">
            <v>350</v>
          </cell>
          <cell r="M17">
            <v>535</v>
          </cell>
        </row>
        <row r="18">
          <cell r="C18" t="str">
            <v>UBB</v>
          </cell>
          <cell r="D18">
            <v>150</v>
          </cell>
          <cell r="E18">
            <v>1027</v>
          </cell>
          <cell r="F18">
            <v>174</v>
          </cell>
          <cell r="G18">
            <v>1014</v>
          </cell>
          <cell r="H18">
            <v>186</v>
          </cell>
          <cell r="I18">
            <v>643</v>
          </cell>
          <cell r="J18">
            <v>242</v>
          </cell>
          <cell r="K18">
            <v>583</v>
          </cell>
          <cell r="L18">
            <v>253</v>
          </cell>
          <cell r="M18">
            <v>260</v>
          </cell>
        </row>
        <row r="19">
          <cell r="C19" t="str">
            <v>UTA</v>
          </cell>
          <cell r="D19">
            <v>168</v>
          </cell>
          <cell r="E19">
            <v>1208</v>
          </cell>
          <cell r="F19">
            <v>203</v>
          </cell>
          <cell r="G19">
            <v>1397</v>
          </cell>
          <cell r="H19">
            <v>202</v>
          </cell>
          <cell r="I19">
            <v>955</v>
          </cell>
          <cell r="J19">
            <v>213</v>
          </cell>
          <cell r="K19">
            <v>620</v>
          </cell>
          <cell r="L19">
            <v>233</v>
          </cell>
          <cell r="M19">
            <v>266</v>
          </cell>
        </row>
        <row r="20">
          <cell r="C20" t="str">
            <v>ANT</v>
          </cell>
          <cell r="D20">
            <v>115</v>
          </cell>
          <cell r="E20">
            <v>1179</v>
          </cell>
          <cell r="F20">
            <v>138</v>
          </cell>
          <cell r="G20">
            <v>1140</v>
          </cell>
          <cell r="H20">
            <v>159</v>
          </cell>
          <cell r="I20">
            <v>1223</v>
          </cell>
          <cell r="J20">
            <v>203</v>
          </cell>
          <cell r="K20">
            <v>1060</v>
          </cell>
          <cell r="L20">
            <v>207</v>
          </cell>
          <cell r="M20">
            <v>596</v>
          </cell>
        </row>
        <row r="21">
          <cell r="C21" t="str">
            <v>ULS</v>
          </cell>
          <cell r="D21">
            <v>102</v>
          </cell>
          <cell r="E21">
            <v>994</v>
          </cell>
          <cell r="F21">
            <v>111</v>
          </cell>
          <cell r="G21">
            <v>1001</v>
          </cell>
          <cell r="H21">
            <v>113</v>
          </cell>
          <cell r="I21">
            <v>668</v>
          </cell>
          <cell r="J21">
            <v>137</v>
          </cell>
          <cell r="K21">
            <v>643</v>
          </cell>
          <cell r="L21">
            <v>173</v>
          </cell>
          <cell r="M21">
            <v>984</v>
          </cell>
        </row>
        <row r="22">
          <cell r="C22" t="str">
            <v>UCT</v>
          </cell>
          <cell r="D22">
            <v>92</v>
          </cell>
          <cell r="E22">
            <v>438</v>
          </cell>
          <cell r="F22">
            <v>98</v>
          </cell>
          <cell r="G22">
            <v>407</v>
          </cell>
          <cell r="H22">
            <v>120</v>
          </cell>
          <cell r="I22">
            <v>543</v>
          </cell>
          <cell r="J22">
            <v>130</v>
          </cell>
          <cell r="K22">
            <v>273</v>
          </cell>
          <cell r="L22">
            <v>160</v>
          </cell>
          <cell r="M22">
            <v>159</v>
          </cell>
        </row>
        <row r="23">
          <cell r="C23" t="str">
            <v>MAG</v>
          </cell>
          <cell r="D23">
            <v>34</v>
          </cell>
          <cell r="E23">
            <v>168</v>
          </cell>
          <cell r="F23">
            <v>62</v>
          </cell>
          <cell r="G23">
            <v>435</v>
          </cell>
          <cell r="H23">
            <v>87</v>
          </cell>
          <cell r="I23">
            <v>580</v>
          </cell>
          <cell r="J23">
            <v>122</v>
          </cell>
          <cell r="K23">
            <v>685</v>
          </cell>
          <cell r="L23">
            <v>104</v>
          </cell>
          <cell r="M23">
            <v>190</v>
          </cell>
        </row>
        <row r="24">
          <cell r="C24" t="str">
            <v>UPA</v>
          </cell>
          <cell r="D24">
            <v>34</v>
          </cell>
          <cell r="E24">
            <v>144</v>
          </cell>
          <cell r="F24">
            <v>67</v>
          </cell>
          <cell r="G24">
            <v>235</v>
          </cell>
          <cell r="H24">
            <v>115</v>
          </cell>
          <cell r="I24">
            <v>386</v>
          </cell>
          <cell r="J24">
            <v>119</v>
          </cell>
          <cell r="K24">
            <v>171</v>
          </cell>
          <cell r="L24">
            <v>86</v>
          </cell>
          <cell r="M24">
            <v>42</v>
          </cell>
        </row>
        <row r="25">
          <cell r="C25" t="str">
            <v>ULA</v>
          </cell>
          <cell r="D25">
            <v>56</v>
          </cell>
          <cell r="E25">
            <v>483</v>
          </cell>
          <cell r="F25">
            <v>68</v>
          </cell>
          <cell r="G25">
            <v>446</v>
          </cell>
          <cell r="H25">
            <v>92</v>
          </cell>
          <cell r="I25">
            <v>392</v>
          </cell>
          <cell r="J25">
            <v>108</v>
          </cell>
          <cell r="K25">
            <v>338</v>
          </cell>
          <cell r="L25">
            <v>121</v>
          </cell>
          <cell r="M25">
            <v>133</v>
          </cell>
        </row>
        <row r="26">
          <cell r="C26" t="str">
            <v>USC</v>
          </cell>
          <cell r="D26">
            <v>61</v>
          </cell>
          <cell r="E26">
            <v>282</v>
          </cell>
          <cell r="F26">
            <v>72</v>
          </cell>
          <cell r="G26">
            <v>376</v>
          </cell>
          <cell r="H26">
            <v>85</v>
          </cell>
          <cell r="I26">
            <v>257</v>
          </cell>
          <cell r="J26">
            <v>102</v>
          </cell>
          <cell r="K26">
            <v>326</v>
          </cell>
          <cell r="L26">
            <v>144</v>
          </cell>
          <cell r="M26">
            <v>164</v>
          </cell>
        </row>
        <row r="27">
          <cell r="C27" t="str">
            <v>UCM</v>
          </cell>
          <cell r="D27">
            <v>69</v>
          </cell>
          <cell r="E27">
            <v>624</v>
          </cell>
          <cell r="F27">
            <v>73</v>
          </cell>
          <cell r="G27">
            <v>509</v>
          </cell>
          <cell r="H27">
            <v>74</v>
          </cell>
          <cell r="I27">
            <v>236</v>
          </cell>
          <cell r="J27">
            <v>92</v>
          </cell>
          <cell r="K27">
            <v>179</v>
          </cell>
          <cell r="L27">
            <v>138</v>
          </cell>
          <cell r="M27">
            <v>105</v>
          </cell>
        </row>
        <row r="28">
          <cell r="C28" t="str">
            <v>UAP</v>
          </cell>
          <cell r="D28">
            <v>51</v>
          </cell>
          <cell r="E28">
            <v>583</v>
          </cell>
          <cell r="F28">
            <v>63</v>
          </cell>
          <cell r="G28">
            <v>259</v>
          </cell>
          <cell r="H28">
            <v>60</v>
          </cell>
          <cell r="I28">
            <v>298</v>
          </cell>
          <cell r="J28">
            <v>82</v>
          </cell>
          <cell r="K28">
            <v>210</v>
          </cell>
          <cell r="L28">
            <v>65</v>
          </cell>
          <cell r="M28">
            <v>66</v>
          </cell>
        </row>
        <row r="29">
          <cell r="C29" t="str">
            <v>ATA</v>
          </cell>
          <cell r="D29">
            <v>20</v>
          </cell>
          <cell r="E29">
            <v>118</v>
          </cell>
          <cell r="F29">
            <v>29</v>
          </cell>
          <cell r="G29">
            <v>161</v>
          </cell>
          <cell r="H29">
            <v>31</v>
          </cell>
          <cell r="I29">
            <v>162</v>
          </cell>
          <cell r="J29">
            <v>54</v>
          </cell>
          <cell r="K29">
            <v>209</v>
          </cell>
          <cell r="L29">
            <v>93</v>
          </cell>
          <cell r="M29">
            <v>119</v>
          </cell>
        </row>
        <row r="30">
          <cell r="C30" t="str">
            <v>UMC</v>
          </cell>
          <cell r="D30">
            <v>24</v>
          </cell>
          <cell r="E30">
            <v>215</v>
          </cell>
          <cell r="F30">
            <v>24</v>
          </cell>
          <cell r="G30">
            <v>104</v>
          </cell>
          <cell r="H30">
            <v>41</v>
          </cell>
          <cell r="I30">
            <v>180</v>
          </cell>
          <cell r="J30">
            <v>41</v>
          </cell>
          <cell r="K30">
            <v>47</v>
          </cell>
          <cell r="L30">
            <v>35</v>
          </cell>
          <cell r="M30">
            <v>32</v>
          </cell>
        </row>
        <row r="31">
          <cell r="C31" t="str">
            <v>UTM</v>
          </cell>
          <cell r="D31">
            <v>17</v>
          </cell>
          <cell r="E31">
            <v>364</v>
          </cell>
          <cell r="F31">
            <v>11</v>
          </cell>
          <cell r="G31">
            <v>45</v>
          </cell>
          <cell r="H31">
            <v>20</v>
          </cell>
          <cell r="I31">
            <v>57</v>
          </cell>
          <cell r="J31">
            <v>37</v>
          </cell>
          <cell r="K31">
            <v>61</v>
          </cell>
          <cell r="L31">
            <v>60</v>
          </cell>
          <cell r="M31">
            <v>67</v>
          </cell>
        </row>
        <row r="32">
          <cell r="C32" t="str">
            <v>URO</v>
          </cell>
          <cell r="D32"/>
          <cell r="E32"/>
          <cell r="F32"/>
          <cell r="G32"/>
          <cell r="H32"/>
          <cell r="I32"/>
          <cell r="J32">
            <v>1</v>
          </cell>
          <cell r="K32">
            <v>2</v>
          </cell>
          <cell r="L32">
            <v>7</v>
          </cell>
          <cell r="M32">
            <v>12</v>
          </cell>
        </row>
        <row r="33">
          <cell r="C33" t="str">
            <v>URY</v>
          </cell>
          <cell r="D33"/>
          <cell r="E33"/>
          <cell r="F33"/>
          <cell r="G33"/>
          <cell r="H33"/>
          <cell r="I33"/>
          <cell r="J33"/>
          <cell r="K33"/>
          <cell r="L33">
            <v>5</v>
          </cell>
          <cell r="M33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cula_2018_sies_28062018"/>
      <sheetName val="Matrícula pedagogía"/>
      <sheetName val="Matrícula total"/>
      <sheetName val="Hoja1"/>
      <sheetName val="matricula total sin primer año"/>
      <sheetName val="Acreditación programas"/>
      <sheetName val="Postgrado Educación"/>
    </sheetNames>
    <sheetDataSet>
      <sheetData sheetId="0"/>
      <sheetData sheetId="1"/>
      <sheetData sheetId="2">
        <row r="9">
          <cell r="C9" t="str">
            <v>UAP</v>
          </cell>
          <cell r="D9">
            <v>10209</v>
          </cell>
        </row>
        <row r="10">
          <cell r="C10" t="str">
            <v>ANT</v>
          </cell>
          <cell r="D10">
            <v>7871</v>
          </cell>
        </row>
        <row r="11">
          <cell r="C11" t="str">
            <v>ATA</v>
          </cell>
          <cell r="D11">
            <v>7106</v>
          </cell>
        </row>
        <row r="12">
          <cell r="C12" t="str">
            <v>URY</v>
          </cell>
          <cell r="D12">
            <v>199</v>
          </cell>
        </row>
        <row r="13">
          <cell r="C13" t="str">
            <v>UCH</v>
          </cell>
          <cell r="D13">
            <v>29808</v>
          </cell>
        </row>
        <row r="14">
          <cell r="C14" t="str">
            <v>FRO</v>
          </cell>
          <cell r="D14">
            <v>10014</v>
          </cell>
        </row>
        <row r="15">
          <cell r="C15" t="str">
            <v>ULS</v>
          </cell>
          <cell r="D15">
            <v>7517</v>
          </cell>
        </row>
        <row r="16">
          <cell r="C16" t="str">
            <v>ULA</v>
          </cell>
          <cell r="D16">
            <v>8721</v>
          </cell>
        </row>
        <row r="17">
          <cell r="C17" t="str">
            <v>MAG</v>
          </cell>
          <cell r="D17">
            <v>4172</v>
          </cell>
        </row>
        <row r="18">
          <cell r="C18" t="str">
            <v>URO</v>
          </cell>
          <cell r="D18">
            <v>1267</v>
          </cell>
        </row>
        <row r="19">
          <cell r="C19" t="str">
            <v>UPA</v>
          </cell>
          <cell r="D19">
            <v>8158</v>
          </cell>
        </row>
        <row r="20">
          <cell r="C20" t="str">
            <v>USA</v>
          </cell>
          <cell r="D20">
            <v>19224</v>
          </cell>
        </row>
        <row r="21">
          <cell r="C21" t="str">
            <v>TAL</v>
          </cell>
          <cell r="D21">
            <v>10521</v>
          </cell>
        </row>
        <row r="22">
          <cell r="C22" t="str">
            <v>UTA</v>
          </cell>
          <cell r="D22">
            <v>8885</v>
          </cell>
        </row>
        <row r="23">
          <cell r="C23" t="str">
            <v>UVA</v>
          </cell>
          <cell r="D23">
            <v>15481</v>
          </cell>
        </row>
        <row r="24">
          <cell r="C24" t="str">
            <v>UBB</v>
          </cell>
          <cell r="D24">
            <v>11674</v>
          </cell>
        </row>
        <row r="25">
          <cell r="C25" t="str">
            <v>UMC</v>
          </cell>
          <cell r="D25">
            <v>4853</v>
          </cell>
        </row>
        <row r="26">
          <cell r="C26" t="str">
            <v>UTM</v>
          </cell>
          <cell r="D26">
            <v>8906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9"/>
  <sheetViews>
    <sheetView tabSelected="1" zoomScale="90" zoomScaleNormal="90" workbookViewId="0">
      <selection activeCell="A3" sqref="A3"/>
    </sheetView>
  </sheetViews>
  <sheetFormatPr baseColWidth="10" defaultRowHeight="15" x14ac:dyDescent="0.25"/>
  <cols>
    <col min="1" max="1" width="42.7109375" customWidth="1"/>
    <col min="2" max="2" width="11" customWidth="1"/>
    <col min="3" max="3" width="13.42578125" customWidth="1"/>
    <col min="4" max="4" width="11" bestFit="1" customWidth="1"/>
    <col min="5" max="6" width="11.28515625" customWidth="1"/>
    <col min="7" max="7" width="12.7109375" customWidth="1"/>
    <col min="8" max="8" width="11" bestFit="1" customWidth="1"/>
    <col min="9" max="14" width="10.28515625" customWidth="1"/>
    <col min="15" max="15" width="14.5703125" customWidth="1"/>
    <col min="16" max="16" width="14.28515625" customWidth="1"/>
    <col min="17" max="18" width="11.140625" customWidth="1"/>
    <col min="19" max="19" width="13.5703125" customWidth="1"/>
    <col min="20" max="22" width="14.42578125" customWidth="1"/>
    <col min="23" max="23" width="8.42578125" bestFit="1" customWidth="1"/>
    <col min="24" max="24" width="12.85546875" customWidth="1"/>
    <col min="25" max="25" width="8.42578125" bestFit="1" customWidth="1"/>
    <col min="26" max="27" width="12.85546875" customWidth="1"/>
    <col min="28" max="28" width="5.140625" customWidth="1"/>
  </cols>
  <sheetData>
    <row r="1" spans="1:31" ht="18.75" x14ac:dyDescent="0.3">
      <c r="A1" s="108" t="s">
        <v>173</v>
      </c>
    </row>
    <row r="2" spans="1:31" ht="18.75" x14ac:dyDescent="0.3">
      <c r="A2" s="108" t="s">
        <v>248</v>
      </c>
    </row>
    <row r="3" spans="1:31" x14ac:dyDescent="0.25">
      <c r="A3" s="17" t="s">
        <v>223</v>
      </c>
    </row>
    <row r="4" spans="1:31" x14ac:dyDescent="0.25">
      <c r="A4" t="s">
        <v>233</v>
      </c>
    </row>
    <row r="5" spans="1:31" x14ac:dyDescent="0.25">
      <c r="A5" s="17"/>
    </row>
    <row r="6" spans="1:31" s="70" customFormat="1" ht="15.75" thickBot="1" x14ac:dyDescent="0.3">
      <c r="B6" s="70">
        <v>1</v>
      </c>
      <c r="C6" s="70">
        <v>2</v>
      </c>
      <c r="D6" s="70">
        <v>3</v>
      </c>
      <c r="E6" s="70">
        <v>4</v>
      </c>
      <c r="F6" s="70">
        <v>5</v>
      </c>
      <c r="G6" s="70">
        <v>6</v>
      </c>
      <c r="H6" s="70">
        <v>7</v>
      </c>
      <c r="I6" s="70">
        <v>8</v>
      </c>
      <c r="J6" s="70">
        <v>9</v>
      </c>
      <c r="K6" s="70">
        <v>10</v>
      </c>
      <c r="L6" s="70">
        <v>11</v>
      </c>
      <c r="M6" s="70">
        <v>12</v>
      </c>
      <c r="N6" s="70">
        <v>13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  <c r="Y6" s="70">
        <v>24</v>
      </c>
      <c r="Z6" s="70">
        <v>25</v>
      </c>
      <c r="AA6" s="70">
        <v>26</v>
      </c>
    </row>
    <row r="7" spans="1:31" s="70" customFormat="1" ht="15.75" thickBot="1" x14ac:dyDescent="0.3">
      <c r="B7" s="173" t="s">
        <v>238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5"/>
      <c r="X7" s="222" t="s">
        <v>239</v>
      </c>
      <c r="Y7" s="223"/>
      <c r="Z7" s="200" t="s">
        <v>219</v>
      </c>
      <c r="AA7" s="201"/>
    </row>
    <row r="8" spans="1:31" ht="30" customHeight="1" x14ac:dyDescent="0.25">
      <c r="A8" s="162" t="s">
        <v>11</v>
      </c>
      <c r="B8" s="165" t="s">
        <v>1</v>
      </c>
      <c r="C8" s="165" t="s">
        <v>21</v>
      </c>
      <c r="D8" s="176" t="s">
        <v>39</v>
      </c>
      <c r="E8" s="182" t="s">
        <v>244</v>
      </c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54" t="s">
        <v>252</v>
      </c>
      <c r="Q8" s="236" t="s">
        <v>245</v>
      </c>
      <c r="R8" s="237"/>
      <c r="S8" s="238"/>
      <c r="T8" s="239" t="s">
        <v>246</v>
      </c>
      <c r="U8" s="157" t="s">
        <v>228</v>
      </c>
      <c r="V8" s="157" t="s">
        <v>241</v>
      </c>
      <c r="W8" s="151" t="s">
        <v>90</v>
      </c>
      <c r="X8" s="230" t="s">
        <v>240</v>
      </c>
      <c r="Y8" s="224" t="s">
        <v>90</v>
      </c>
      <c r="Z8" s="202" t="s">
        <v>242</v>
      </c>
      <c r="AA8" s="203" t="s">
        <v>90</v>
      </c>
    </row>
    <row r="9" spans="1:31" ht="30" customHeight="1" x14ac:dyDescent="0.25">
      <c r="A9" s="163"/>
      <c r="B9" s="166"/>
      <c r="C9" s="166"/>
      <c r="D9" s="177"/>
      <c r="E9" s="183" t="s">
        <v>77</v>
      </c>
      <c r="F9" s="168"/>
      <c r="G9" s="149" t="s">
        <v>98</v>
      </c>
      <c r="H9" s="160" t="s">
        <v>99</v>
      </c>
      <c r="I9" s="147" t="s">
        <v>108</v>
      </c>
      <c r="J9" s="147"/>
      <c r="K9" s="147"/>
      <c r="L9" s="147"/>
      <c r="M9" s="147"/>
      <c r="N9" s="147"/>
      <c r="O9" s="147"/>
      <c r="P9" s="155"/>
      <c r="Q9" s="215" t="s">
        <v>100</v>
      </c>
      <c r="R9" s="215" t="s">
        <v>101</v>
      </c>
      <c r="S9" s="215" t="s">
        <v>102</v>
      </c>
      <c r="T9" s="217" t="s">
        <v>247</v>
      </c>
      <c r="U9" s="158"/>
      <c r="V9" s="158"/>
      <c r="W9" s="152"/>
      <c r="X9" s="231"/>
      <c r="Y9" s="225"/>
      <c r="Z9" s="204"/>
      <c r="AA9" s="205"/>
    </row>
    <row r="10" spans="1:31" ht="51.75" thickBot="1" x14ac:dyDescent="0.3">
      <c r="A10" s="164"/>
      <c r="B10" s="167"/>
      <c r="C10" s="167"/>
      <c r="D10" s="178"/>
      <c r="E10" s="184" t="s">
        <v>253</v>
      </c>
      <c r="F10" s="103" t="s">
        <v>255</v>
      </c>
      <c r="G10" s="150"/>
      <c r="H10" s="161"/>
      <c r="I10" s="104" t="s">
        <v>256</v>
      </c>
      <c r="J10" s="104" t="s">
        <v>112</v>
      </c>
      <c r="K10" s="104" t="s">
        <v>113</v>
      </c>
      <c r="L10" s="104" t="s">
        <v>114</v>
      </c>
      <c r="M10" s="104" t="s">
        <v>249</v>
      </c>
      <c r="N10" s="104" t="s">
        <v>250</v>
      </c>
      <c r="O10" s="104" t="s">
        <v>251</v>
      </c>
      <c r="P10" s="156"/>
      <c r="Q10" s="216"/>
      <c r="R10" s="216"/>
      <c r="S10" s="216"/>
      <c r="T10" s="218"/>
      <c r="U10" s="159"/>
      <c r="V10" s="159"/>
      <c r="W10" s="153"/>
      <c r="X10" s="232"/>
      <c r="Y10" s="226"/>
      <c r="Z10" s="206"/>
      <c r="AA10" s="207"/>
      <c r="AB10" s="1"/>
      <c r="AC10" s="1"/>
      <c r="AD10" s="1"/>
    </row>
    <row r="11" spans="1:31" x14ac:dyDescent="0.25">
      <c r="A11" s="94" t="str">
        <f>Indicadores!A5</f>
        <v>UNIVERSIDAD DE CHILE</v>
      </c>
      <c r="B11" s="95" t="str">
        <f>Indicadores!B5</f>
        <v>UCH</v>
      </c>
      <c r="C11" s="96" t="str">
        <f>Indicadores!C5</f>
        <v>CRUCH-ESTATAL</v>
      </c>
      <c r="D11" s="179" t="str">
        <f>Indicadores!D5</f>
        <v>Categoría I</v>
      </c>
      <c r="E11" s="185">
        <v>2533255</v>
      </c>
      <c r="F11" s="97">
        <f>E11*(1+$B$38)</f>
        <v>2621918.9249999998</v>
      </c>
      <c r="G11" s="99">
        <v>400000</v>
      </c>
      <c r="H11" s="98"/>
      <c r="I11" s="100">
        <f>IFERROR(VLOOKUP(B11,Publicaciones!B2:E20,4,0),0)</f>
        <v>1179055.4842291295</v>
      </c>
      <c r="J11" s="100">
        <f>IFERROR(VLOOKUP(B11,Acreditación!$B$3:$K$20,10,0),0)</f>
        <v>303705.86497326189</v>
      </c>
      <c r="K11" s="100">
        <f>IFERROR(VLOOKUP(B11,'Doctorado JC '!$B$2:$E$20,4,0),0)</f>
        <v>856123.85299597925</v>
      </c>
      <c r="L11" s="100">
        <f>IFERROR(VLOOKUP(B11,'Programas Doct. Acreditados '!$B$3:$G$20,6,0),0)</f>
        <v>1220290.8709349593</v>
      </c>
      <c r="M11" s="100">
        <f>IFERROR(VLOOKUP(B11,'Académicos JC '!$B$3:$E$20,4,0),0)</f>
        <v>626877.9315790761</v>
      </c>
      <c r="N11" s="100">
        <f>IFERROR(VLOOKUP(B11,'Matrícula Regular Pre '!B3:E20,4,0),0)</f>
        <v>461741.50415268115</v>
      </c>
      <c r="O11" s="100">
        <f>I11+J11+K11+L11+M11+N11</f>
        <v>4647795.5088650873</v>
      </c>
      <c r="P11" s="112">
        <f>SUM(F11:N11)</f>
        <v>7669714.4338650871</v>
      </c>
      <c r="Q11" s="101">
        <v>100000</v>
      </c>
      <c r="R11" s="101">
        <f>IFERROR(VLOOKUP(B11,'[1]Puntaje Final FID'!$C$7:$P$22,11,0),0)</f>
        <v>345032</v>
      </c>
      <c r="S11" s="102">
        <f>Q11+R11</f>
        <v>445032</v>
      </c>
      <c r="T11" s="113">
        <f>IFERROR(VLOOKUP(B11,Indicadores!$B$5:$AH$22,33,0),0)</f>
        <v>3353040</v>
      </c>
      <c r="U11" s="219">
        <f>P11+T11+S11</f>
        <v>11467786.433865087</v>
      </c>
      <c r="V11" s="109">
        <f>ROUND(U11,0)</f>
        <v>11467786</v>
      </c>
      <c r="W11" s="122">
        <f>V11/$V$29</f>
        <v>0.18417906663701458</v>
      </c>
      <c r="X11" s="233"/>
      <c r="Y11" s="234"/>
      <c r="Z11" s="208">
        <f>SUM(V11,X11)</f>
        <v>11467786</v>
      </c>
      <c r="AA11" s="209">
        <f>Z11/$Z$29</f>
        <v>0.17668222823249505</v>
      </c>
      <c r="AB11" s="78" t="str">
        <f>+B11</f>
        <v>UCH</v>
      </c>
      <c r="AC11" s="6"/>
      <c r="AD11" s="6"/>
      <c r="AE11" s="18"/>
    </row>
    <row r="12" spans="1:31" x14ac:dyDescent="0.25">
      <c r="A12" s="41" t="str">
        <f>Indicadores!A6</f>
        <v>UNIVERSIDAD DE SANTIAGO DE CHILE</v>
      </c>
      <c r="B12" s="71" t="str">
        <f>Indicadores!B6</f>
        <v>USA</v>
      </c>
      <c r="C12" s="72" t="str">
        <f>Indicadores!C6</f>
        <v>CRUCH-ESTATAL</v>
      </c>
      <c r="D12" s="180" t="str">
        <f>Indicadores!D6</f>
        <v>Categoría I</v>
      </c>
      <c r="E12" s="186">
        <v>654779</v>
      </c>
      <c r="F12" s="40">
        <f t="shared" ref="F12:F28" si="0">E12*(1+$B$38)</f>
        <v>677696.2649999999</v>
      </c>
      <c r="G12" s="74"/>
      <c r="H12" s="73"/>
      <c r="I12" s="75">
        <f>IFERROR(VLOOKUP(B12,Publicaciones!B3:E21,4,0),0)</f>
        <v>301221.75014839997</v>
      </c>
      <c r="J12" s="75">
        <f>IFERROR(VLOOKUP(B12,Acreditación!$B$3:$K$20,10,0),0)</f>
        <v>289243.68092691607</v>
      </c>
      <c r="K12" s="75">
        <f>IFERROR(VLOOKUP(B12,'Doctorado JC '!$B$2:$E$20,4,0),0)</f>
        <v>338948.66298911447</v>
      </c>
      <c r="L12" s="100">
        <f>IFERROR(VLOOKUP(B12,'Programas Doct. Acreditados '!$B$3:$G$20,6,0),0)</f>
        <v>395770.0121951219</v>
      </c>
      <c r="M12" s="75">
        <f>IFERROR(VLOOKUP(B12,'Académicos JC '!$B$3:$E$20,4,0),0)</f>
        <v>259247.17499755332</v>
      </c>
      <c r="N12" s="75">
        <f>IFERROR(VLOOKUP(B12,'Matrícula Regular Pre '!B4:E21,4,0),0)</f>
        <v>297789.81064919289</v>
      </c>
      <c r="O12" s="75">
        <f t="shared" ref="O12:O28" si="1">I12+J12+K12+L12+M12+N12</f>
        <v>1882221.0919062987</v>
      </c>
      <c r="P12" s="114">
        <f>SUM(F12:N12)</f>
        <v>2559917.3569062985</v>
      </c>
      <c r="Q12" s="76">
        <v>100000</v>
      </c>
      <c r="R12" s="101">
        <f>IFERROR(VLOOKUP(B12,'[1]Puntaje Final FID'!$C$7:$P$22,11,0),0)</f>
        <v>467230</v>
      </c>
      <c r="S12" s="77">
        <f t="shared" ref="S12:S28" si="2">Q12+R12</f>
        <v>567230</v>
      </c>
      <c r="T12" s="113">
        <f>IFERROR(VLOOKUP(B12,Indicadores!$B$5:$AH$22,33,0),0)</f>
        <v>3118912</v>
      </c>
      <c r="U12" s="219">
        <f>P12+T12+S12</f>
        <v>6246059.3569062985</v>
      </c>
      <c r="V12" s="110">
        <f t="shared" ref="V12:V28" si="3">ROUND(U12,0)</f>
        <v>6246059</v>
      </c>
      <c r="W12" s="187">
        <f t="shared" ref="W12:W28" si="4">V12/$V$29</f>
        <v>0.10031520615921197</v>
      </c>
      <c r="X12" s="233"/>
      <c r="Y12" s="234"/>
      <c r="Z12" s="208">
        <f t="shared" ref="Z12:Z28" si="5">SUM(V12,X12)</f>
        <v>6246059</v>
      </c>
      <c r="AA12" s="209">
        <f t="shared" ref="AA12:AA28" si="6">Z12/$Z$29</f>
        <v>9.6231968558850828E-2</v>
      </c>
      <c r="AB12" s="78" t="str">
        <f>+B12</f>
        <v>USA</v>
      </c>
    </row>
    <row r="13" spans="1:31" x14ac:dyDescent="0.25">
      <c r="A13" s="41" t="str">
        <f>Indicadores!A7</f>
        <v>UNIVERSIDAD DE ANTOFAGASTA</v>
      </c>
      <c r="B13" s="71" t="str">
        <f>Indicadores!B7</f>
        <v>ANT</v>
      </c>
      <c r="C13" s="72" t="str">
        <f>Indicadores!C7</f>
        <v>CRUCH-ESTATAL</v>
      </c>
      <c r="D13" s="180" t="str">
        <f>Indicadores!D7</f>
        <v>Categoría II</v>
      </c>
      <c r="E13" s="186">
        <v>64006</v>
      </c>
      <c r="F13" s="40">
        <f t="shared" si="0"/>
        <v>66246.209999999992</v>
      </c>
      <c r="G13" s="74"/>
      <c r="H13" s="73"/>
      <c r="I13" s="75">
        <f>IFERROR(VLOOKUP(B13,Publicaciones!B4:E22,4,0),0)</f>
        <v>90629.218431277317</v>
      </c>
      <c r="J13" s="75">
        <f>IFERROR(VLOOKUP(B13,Acreditación!$B$3:$K$20,10,0),0)</f>
        <v>173546.20855614968</v>
      </c>
      <c r="K13" s="75">
        <f>IFERROR(VLOOKUP(B13,'Doctorado JC '!$B$2:$E$20,4,0),0)</f>
        <v>116961.15835539864</v>
      </c>
      <c r="L13" s="100">
        <f>IFERROR(VLOOKUP(B13,'Programas Doct. Acreditados '!$B$3:$G$20,6,0),0)</f>
        <v>98942.503048780476</v>
      </c>
      <c r="M13" s="75">
        <f>IFERROR(VLOOKUP(B13,'Académicos JC '!$B$3:$E$20,4,0),0)</f>
        <v>132204.14896506164</v>
      </c>
      <c r="N13" s="75">
        <f>IFERROR(VLOOKUP(B13,'Matrícula Regular Pre '!B5:E22,4,0),0)</f>
        <v>121925.90509882427</v>
      </c>
      <c r="O13" s="75">
        <f t="shared" si="1"/>
        <v>734209.14245549205</v>
      </c>
      <c r="P13" s="114">
        <f>SUM(F13:N13)</f>
        <v>800455.35245549201</v>
      </c>
      <c r="Q13" s="76">
        <v>100000</v>
      </c>
      <c r="R13" s="101">
        <f>IFERROR(VLOOKUP(B13,'[1]Puntaje Final FID'!$C$7:$P$22,11,0),0)</f>
        <v>330655</v>
      </c>
      <c r="S13" s="77">
        <f t="shared" si="2"/>
        <v>430655</v>
      </c>
      <c r="T13" s="113">
        <f>IFERROR(VLOOKUP(B13,Indicadores!$B$5:$AH$22,33,0),0)</f>
        <v>2321179</v>
      </c>
      <c r="U13" s="219">
        <f>P13+T13+S13</f>
        <v>3552289.3524554921</v>
      </c>
      <c r="V13" s="110">
        <f t="shared" si="3"/>
        <v>3552289</v>
      </c>
      <c r="W13" s="187">
        <f t="shared" si="4"/>
        <v>5.7051751091704531E-2</v>
      </c>
      <c r="X13" s="233"/>
      <c r="Y13" s="234"/>
      <c r="Z13" s="208">
        <f t="shared" si="5"/>
        <v>3552289</v>
      </c>
      <c r="AA13" s="209">
        <f t="shared" si="6"/>
        <v>5.4729512378917919E-2</v>
      </c>
      <c r="AB13" s="78" t="str">
        <f>+B13</f>
        <v>ANT</v>
      </c>
    </row>
    <row r="14" spans="1:31" x14ac:dyDescent="0.25">
      <c r="A14" s="41" t="str">
        <f>Indicadores!A8</f>
        <v>UNIVERSIDAD DE LA FRONTERA</v>
      </c>
      <c r="B14" s="71" t="str">
        <f>Indicadores!B8</f>
        <v>FRO</v>
      </c>
      <c r="C14" s="72" t="str">
        <f>Indicadores!C8</f>
        <v>CRUCH-ESTATAL</v>
      </c>
      <c r="D14" s="180" t="str">
        <f>Indicadores!D8</f>
        <v>Categoría II</v>
      </c>
      <c r="E14" s="186">
        <v>227255</v>
      </c>
      <c r="F14" s="40">
        <f t="shared" si="0"/>
        <v>235208.92499999999</v>
      </c>
      <c r="G14" s="74"/>
      <c r="H14" s="73">
        <v>50000</v>
      </c>
      <c r="I14" s="75">
        <f>IFERROR(VLOOKUP(B14,Publicaciones!B5:E23,4,0),0)</f>
        <v>221975.91180994007</v>
      </c>
      <c r="J14" s="75">
        <f>IFERROR(VLOOKUP(B14,Acreditación!$B$3:$K$20,10,0),0)</f>
        <v>289243.68092691607</v>
      </c>
      <c r="K14" s="75">
        <f>IFERROR(VLOOKUP(B14,'Doctorado JC '!$B$2:$E$20,4,0),0)</f>
        <v>152765.59458664313</v>
      </c>
      <c r="L14" s="100">
        <f>IFERROR(VLOOKUP(B14,'Programas Doct. Acreditados '!$B$3:$G$20,6,0),0)</f>
        <v>296827.50914634147</v>
      </c>
      <c r="M14" s="75">
        <f>IFERROR(VLOOKUP(B14,'Académicos JC '!$B$3:$E$20,4,0),0)</f>
        <v>127440.03548884322</v>
      </c>
      <c r="N14" s="75">
        <f>IFERROR(VLOOKUP(B14,'Matrícula Regular Pre '!B6:E23,4,0),0)</f>
        <v>155122.095497348</v>
      </c>
      <c r="O14" s="75">
        <f t="shared" si="1"/>
        <v>1243374.8274560319</v>
      </c>
      <c r="P14" s="114">
        <f>SUM(F14:N14)</f>
        <v>1528583.7524560322</v>
      </c>
      <c r="Q14" s="76">
        <v>100000</v>
      </c>
      <c r="R14" s="101">
        <f>IFERROR(VLOOKUP(B14,'[1]Puntaje Final FID'!$C$7:$P$22,11,0),0)</f>
        <v>416913</v>
      </c>
      <c r="S14" s="77">
        <f t="shared" si="2"/>
        <v>516913</v>
      </c>
      <c r="T14" s="113">
        <f>IFERROR(VLOOKUP(B14,Indicadores!$B$5:$AH$22,33,0),0)</f>
        <v>2568203</v>
      </c>
      <c r="U14" s="219">
        <f>P14+T14+S14</f>
        <v>4613699.7524560317</v>
      </c>
      <c r="V14" s="110">
        <f t="shared" si="3"/>
        <v>4613700</v>
      </c>
      <c r="W14" s="187">
        <f t="shared" si="4"/>
        <v>7.4098606282258339E-2</v>
      </c>
      <c r="X14" s="233"/>
      <c r="Y14" s="234"/>
      <c r="Z14" s="208">
        <f t="shared" si="5"/>
        <v>4613700</v>
      </c>
      <c r="AA14" s="209">
        <f t="shared" si="6"/>
        <v>7.1082491109989529E-2</v>
      </c>
      <c r="AB14" s="78" t="str">
        <f>+B14</f>
        <v>FRO</v>
      </c>
    </row>
    <row r="15" spans="1:31" x14ac:dyDescent="0.25">
      <c r="A15" s="41" t="str">
        <f>Indicadores!A9</f>
        <v>UNIVERSIDAD DE TALCA</v>
      </c>
      <c r="B15" s="71" t="str">
        <f>Indicadores!B9</f>
        <v>TAL</v>
      </c>
      <c r="C15" s="72" t="str">
        <f>Indicadores!C9</f>
        <v>CRUCH-ESTATAL</v>
      </c>
      <c r="D15" s="180" t="str">
        <f>Indicadores!D9</f>
        <v>Categoría II</v>
      </c>
      <c r="E15" s="186">
        <v>224727</v>
      </c>
      <c r="F15" s="40">
        <f t="shared" si="0"/>
        <v>232592.44499999998</v>
      </c>
      <c r="G15" s="74"/>
      <c r="H15" s="73">
        <v>50000</v>
      </c>
      <c r="I15" s="75">
        <f>IFERROR(VLOOKUP(B15,Publicaciones!B6:E24,4,0),0)</f>
        <v>181258.43686255463</v>
      </c>
      <c r="J15" s="75">
        <f>IFERROR(VLOOKUP(B15,Acreditación!$B$3:$K$20,10,0),0)</f>
        <v>274781.49688057031</v>
      </c>
      <c r="K15" s="75">
        <f>IFERROR(VLOOKUP(B15,'Doctorado JC '!$B$2:$E$20,4,0),0)</f>
        <v>193343.95564872021</v>
      </c>
      <c r="L15" s="100">
        <f>IFERROR(VLOOKUP(B15,'Programas Doct. Acreditados '!$B$3:$G$20,6,0),0)</f>
        <v>230865.84044715448</v>
      </c>
      <c r="M15" s="75">
        <f>IFERROR(VLOOKUP(B15,'Académicos JC '!$B$3:$E$20,4,0),0)</f>
        <v>166346.96221129378</v>
      </c>
      <c r="N15" s="75">
        <f>IFERROR(VLOOKUP(B15,'Matrícula Regular Pre '!B7:E24,4,0),0)</f>
        <v>162975.79056596747</v>
      </c>
      <c r="O15" s="75">
        <f t="shared" si="1"/>
        <v>1209572.4826162609</v>
      </c>
      <c r="P15" s="114">
        <f>SUM(F15:N15)</f>
        <v>1492164.9276162612</v>
      </c>
      <c r="Q15" s="76">
        <v>100000</v>
      </c>
      <c r="R15" s="101">
        <f>IFERROR(VLOOKUP(B15,'[1]Puntaje Final FID'!$C$7:$P$22,11,0),0)</f>
        <v>330655</v>
      </c>
      <c r="S15" s="77">
        <f t="shared" si="2"/>
        <v>430655</v>
      </c>
      <c r="T15" s="113">
        <f>IFERROR(VLOOKUP(B15,Indicadores!$B$5:$AH$22,33,0),0)</f>
        <v>2677291</v>
      </c>
      <c r="U15" s="219">
        <f>P15+T15+S15</f>
        <v>4600110.9276162609</v>
      </c>
      <c r="V15" s="110">
        <f t="shared" si="3"/>
        <v>4600111</v>
      </c>
      <c r="W15" s="187">
        <f t="shared" si="4"/>
        <v>7.3880359330620912E-2</v>
      </c>
      <c r="X15" s="233"/>
      <c r="Y15" s="234"/>
      <c r="Z15" s="208">
        <f t="shared" si="5"/>
        <v>4600111</v>
      </c>
      <c r="AA15" s="209">
        <f t="shared" si="6"/>
        <v>7.0873127698477367E-2</v>
      </c>
      <c r="AB15" s="78" t="str">
        <f>+B15</f>
        <v>TAL</v>
      </c>
    </row>
    <row r="16" spans="1:31" x14ac:dyDescent="0.25">
      <c r="A16" s="41" t="str">
        <f>Indicadores!A10</f>
        <v>UNIVERSIDAD DE TARAPACÁ</v>
      </c>
      <c r="B16" s="71" t="str">
        <f>Indicadores!B10</f>
        <v>UTA</v>
      </c>
      <c r="C16" s="72" t="str">
        <f>Indicadores!C10</f>
        <v>CRUCH-ESTATAL</v>
      </c>
      <c r="D16" s="180" t="str">
        <f>Indicadores!D10</f>
        <v>Categoría III</v>
      </c>
      <c r="E16" s="186">
        <v>25944</v>
      </c>
      <c r="F16" s="40">
        <f t="shared" si="0"/>
        <v>26852.039999999997</v>
      </c>
      <c r="G16" s="74"/>
      <c r="H16" s="73"/>
      <c r="I16" s="75">
        <f>IFERROR(VLOOKUP(B16,Publicaciones!B7:E25,4,0),0)</f>
        <v>102012.59852409476</v>
      </c>
      <c r="J16" s="75">
        <f>IFERROR(VLOOKUP(B16,Acreditación!$B$3:$K$20,10,0),0)</f>
        <v>173546.20855614968</v>
      </c>
      <c r="K16" s="75">
        <f>IFERROR(VLOOKUP(B16,'Doctorado JC '!$B$2:$E$20,4,0),0)</f>
        <v>101843.72972442873</v>
      </c>
      <c r="L16" s="100">
        <f>IFERROR(VLOOKUP(B16,'Programas Doct. Acreditados '!$B$3:$G$20,6,0),0)</f>
        <v>0</v>
      </c>
      <c r="M16" s="75">
        <f>IFERROR(VLOOKUP(B16,'Académicos JC '!$B$3:$E$20,4,0),0)</f>
        <v>126646.01657614014</v>
      </c>
      <c r="N16" s="75">
        <f>IFERROR(VLOOKUP(B16,'Matrícula Regular Pre '!B8:E25,4,0),0)</f>
        <v>137633.29523606322</v>
      </c>
      <c r="O16" s="75">
        <f t="shared" si="1"/>
        <v>641681.84861687652</v>
      </c>
      <c r="P16" s="114">
        <f>SUM(F16:N16)</f>
        <v>668533.88861687656</v>
      </c>
      <c r="Q16" s="76">
        <v>100000</v>
      </c>
      <c r="R16" s="101">
        <f>IFERROR(VLOOKUP(B16,'[1]Puntaje Final FID'!$C$7:$P$22,11,0),0)</f>
        <v>474419</v>
      </c>
      <c r="S16" s="77">
        <f t="shared" si="2"/>
        <v>574419</v>
      </c>
      <c r="T16" s="113">
        <f>IFERROR(VLOOKUP(B16,Indicadores!$B$5:$AH$22,33,0),0)</f>
        <v>1366586</v>
      </c>
      <c r="U16" s="219">
        <f>P16+T16+S16</f>
        <v>2609538.8886168767</v>
      </c>
      <c r="V16" s="110">
        <f t="shared" si="3"/>
        <v>2609539</v>
      </c>
      <c r="W16" s="187">
        <f t="shared" si="4"/>
        <v>4.1910658027006123E-2</v>
      </c>
      <c r="X16" s="233"/>
      <c r="Y16" s="234"/>
      <c r="Z16" s="208">
        <f t="shared" si="5"/>
        <v>2609539</v>
      </c>
      <c r="AA16" s="209">
        <f t="shared" si="6"/>
        <v>4.0204723490619453E-2</v>
      </c>
      <c r="AB16" s="78" t="str">
        <f>+B16</f>
        <v>UTA</v>
      </c>
    </row>
    <row r="17" spans="1:28" x14ac:dyDescent="0.25">
      <c r="A17" s="41" t="str">
        <f>Indicadores!A11</f>
        <v>UNIVERSIDAD DE VALPARAÍSO</v>
      </c>
      <c r="B17" s="71" t="str">
        <f>Indicadores!B11</f>
        <v>UVA</v>
      </c>
      <c r="C17" s="72" t="str">
        <f>Indicadores!C11</f>
        <v>CRUCH-ESTATAL</v>
      </c>
      <c r="D17" s="180" t="str">
        <f>Indicadores!D11</f>
        <v>Categoría II</v>
      </c>
      <c r="E17" s="186">
        <v>281374</v>
      </c>
      <c r="F17" s="40">
        <f t="shared" si="0"/>
        <v>291222.08999999997</v>
      </c>
      <c r="G17" s="74"/>
      <c r="H17" s="73"/>
      <c r="I17" s="75">
        <f>IFERROR(VLOOKUP(B17,Publicaciones!B8:E26,4,0),0)</f>
        <v>189577.06077653661</v>
      </c>
      <c r="J17" s="75">
        <f>IFERROR(VLOOKUP(B17,Acreditación!$B$3:$K$20,10,0),0)</f>
        <v>274781.49688057031</v>
      </c>
      <c r="K17" s="75">
        <f>IFERROR(VLOOKUP(B17,'Doctorado JC '!$B$2:$E$20,4,0),0)</f>
        <v>189365.68495635971</v>
      </c>
      <c r="L17" s="100">
        <f>IFERROR(VLOOKUP(B17,'Programas Doct. Acreditados '!$B$3:$G$20,6,0),0)</f>
        <v>197885.00609756095</v>
      </c>
      <c r="M17" s="75">
        <f>IFERROR(VLOOKUP(B17,'Académicos JC '!$B$3:$E$20,4,0),0)</f>
        <v>223913.33338226657</v>
      </c>
      <c r="N17" s="75">
        <f>IFERROR(VLOOKUP(B17,'Matrícula Regular Pre '!B9:E26,4,0),0)</f>
        <v>239808.78374220536</v>
      </c>
      <c r="O17" s="75">
        <f t="shared" si="1"/>
        <v>1315331.3658354995</v>
      </c>
      <c r="P17" s="114">
        <f>SUM(F17:N17)</f>
        <v>1606553.4558354993</v>
      </c>
      <c r="Q17" s="76">
        <v>100000</v>
      </c>
      <c r="R17" s="101">
        <f>IFERROR(VLOOKUP(B17,'[1]Puntaje Final FID'!$C$7:$P$22,11,0),0)</f>
        <v>366596</v>
      </c>
      <c r="S17" s="77">
        <f t="shared" si="2"/>
        <v>466596</v>
      </c>
      <c r="T17" s="113">
        <f>IFERROR(VLOOKUP(B17,Indicadores!$B$5:$AH$22,33,0),0)</f>
        <v>2135352</v>
      </c>
      <c r="U17" s="219">
        <f>P17+T17+S17</f>
        <v>4208501.4558354989</v>
      </c>
      <c r="V17" s="110">
        <f t="shared" si="3"/>
        <v>4208501</v>
      </c>
      <c r="W17" s="187">
        <f t="shared" si="4"/>
        <v>6.7590883377222299E-2</v>
      </c>
      <c r="X17" s="233"/>
      <c r="Y17" s="234"/>
      <c r="Z17" s="208">
        <f t="shared" si="5"/>
        <v>4208501</v>
      </c>
      <c r="AA17" s="209">
        <f t="shared" si="6"/>
        <v>6.4839659041307854E-2</v>
      </c>
      <c r="AB17" s="78" t="str">
        <f>+B17</f>
        <v>UVA</v>
      </c>
    </row>
    <row r="18" spans="1:28" x14ac:dyDescent="0.25">
      <c r="A18" s="41" t="str">
        <f>Indicadores!A12</f>
        <v>UNIVERSIDAD DEL BÍO-BÍO</v>
      </c>
      <c r="B18" s="71" t="str">
        <f>Indicadores!B12</f>
        <v>UBB</v>
      </c>
      <c r="C18" s="72" t="str">
        <f>Indicadores!C12</f>
        <v>CRUCH-ESTATAL</v>
      </c>
      <c r="D18" s="180" t="str">
        <f>Indicadores!D12</f>
        <v>Categoría II</v>
      </c>
      <c r="E18" s="186">
        <v>99466</v>
      </c>
      <c r="F18" s="40">
        <f t="shared" si="0"/>
        <v>102947.31</v>
      </c>
      <c r="G18" s="74"/>
      <c r="H18" s="73"/>
      <c r="I18" s="75">
        <f>IFERROR(VLOOKUP(B18,Publicaciones!B9:E27,4,0),0)</f>
        <v>110769.04474933894</v>
      </c>
      <c r="J18" s="75">
        <f>IFERROR(VLOOKUP(B18,Acreditación!$B$3:$K$20,10,0),0)</f>
        <v>173546.20855614968</v>
      </c>
      <c r="K18" s="75">
        <f>IFERROR(VLOOKUP(B18,'Doctorado JC '!$B$2:$E$20,4,0),0)</f>
        <v>191752.64737177602</v>
      </c>
      <c r="L18" s="100">
        <f>IFERROR(VLOOKUP(B18,'Programas Doct. Acreditados '!$B$3:$G$20,6,0),0)</f>
        <v>65961.668699186994</v>
      </c>
      <c r="M18" s="75">
        <f>IFERROR(VLOOKUP(B18,'Académicos JC '!$B$3:$E$20,4,0),0)</f>
        <v>182227.34046535526</v>
      </c>
      <c r="N18" s="75">
        <f>IFERROR(VLOOKUP(B18,'Matrícula Regular Pre '!B10:E27,4,0),0)</f>
        <v>180836.36337487921</v>
      </c>
      <c r="O18" s="75">
        <f t="shared" si="1"/>
        <v>905093.2732166861</v>
      </c>
      <c r="P18" s="114">
        <f>SUM(F18:N18)</f>
        <v>1008040.5832166862</v>
      </c>
      <c r="Q18" s="76">
        <v>100000</v>
      </c>
      <c r="R18" s="101">
        <f>IFERROR(VLOOKUP(B18,'[1]Puntaje Final FID'!$C$7:$P$22,11,0),0)</f>
        <v>524736</v>
      </c>
      <c r="S18" s="77">
        <f>Q18+R18</f>
        <v>624736</v>
      </c>
      <c r="T18" s="113">
        <f>IFERROR(VLOOKUP(B18,Indicadores!$B$5:$AH$22,33,0),0)</f>
        <v>2022505</v>
      </c>
      <c r="U18" s="219">
        <f>P18+T18+S18</f>
        <v>3655281.5832166863</v>
      </c>
      <c r="V18" s="110">
        <f t="shared" si="3"/>
        <v>3655282</v>
      </c>
      <c r="W18" s="187">
        <f t="shared" si="4"/>
        <v>5.8705876361407505E-2</v>
      </c>
      <c r="X18" s="233"/>
      <c r="Y18" s="234"/>
      <c r="Z18" s="208">
        <f t="shared" si="5"/>
        <v>3655282</v>
      </c>
      <c r="AA18" s="209">
        <f t="shared" si="6"/>
        <v>5.6316308010816642E-2</v>
      </c>
      <c r="AB18" s="78" t="str">
        <f>+B18</f>
        <v>UBB</v>
      </c>
    </row>
    <row r="19" spans="1:28" x14ac:dyDescent="0.25">
      <c r="A19" s="41" t="str">
        <f>Indicadores!A13</f>
        <v>UNIVERSIDAD DE LA SERENA</v>
      </c>
      <c r="B19" s="71" t="str">
        <f>Indicadores!B13</f>
        <v>ULS</v>
      </c>
      <c r="C19" s="72" t="str">
        <f>Indicadores!C13</f>
        <v>CRUCH-ESTATAL</v>
      </c>
      <c r="D19" s="180" t="str">
        <f>Indicadores!D13</f>
        <v>Categoría II</v>
      </c>
      <c r="E19" s="186">
        <v>108535</v>
      </c>
      <c r="F19" s="40">
        <f t="shared" si="0"/>
        <v>112333.72499999999</v>
      </c>
      <c r="G19" s="74"/>
      <c r="H19" s="73">
        <v>50000</v>
      </c>
      <c r="I19" s="75">
        <f>IFERROR(VLOOKUP(B19,Publicaciones!B10:E28,4,0),0)</f>
        <v>75743.259848362199</v>
      </c>
      <c r="J19" s="75">
        <f>IFERROR(VLOOKUP(B19,Acreditación!$B$3:$K$20,10,0),0)</f>
        <v>159084.02450980386</v>
      </c>
      <c r="K19" s="75">
        <f>IFERROR(VLOOKUP(B19,'Doctorado JC '!$B$2:$E$20,4,0),0)</f>
        <v>83543.684539570459</v>
      </c>
      <c r="L19" s="100">
        <f>IFERROR(VLOOKUP(B19,'Programas Doct. Acreditados '!$B$3:$G$20,6,0),0)</f>
        <v>131923.33739837399</v>
      </c>
      <c r="M19" s="75">
        <f>IFERROR(VLOOKUP(B19,'Académicos JC '!$B$3:$E$20,4,0),0)</f>
        <v>84563.014202877268</v>
      </c>
      <c r="N19" s="75">
        <f>IFERROR(VLOOKUP(B19,'Matrícula Regular Pre '!B11:E28,4,0),0)</f>
        <v>116442.26002132664</v>
      </c>
      <c r="O19" s="75">
        <f t="shared" si="1"/>
        <v>651299.5805203144</v>
      </c>
      <c r="P19" s="114">
        <f>SUM(F19:N19)</f>
        <v>813633.30552031437</v>
      </c>
      <c r="Q19" s="76">
        <v>100000</v>
      </c>
      <c r="R19" s="101">
        <f>IFERROR(VLOOKUP(B19,'[1]Puntaje Final FID'!$C$7:$P$22,11,0),0)</f>
        <v>460042</v>
      </c>
      <c r="S19" s="77">
        <f t="shared" si="2"/>
        <v>560042</v>
      </c>
      <c r="T19" s="113">
        <f>IFERROR(VLOOKUP(B19,Indicadores!$B$5:$AH$22,33,0),0)</f>
        <v>1851505</v>
      </c>
      <c r="U19" s="219">
        <f>P19+T19+S19</f>
        <v>3225180.3055203143</v>
      </c>
      <c r="V19" s="110">
        <f t="shared" si="3"/>
        <v>3225180</v>
      </c>
      <c r="W19" s="187">
        <f t="shared" si="4"/>
        <v>5.1798197327397523E-2</v>
      </c>
      <c r="X19" s="233"/>
      <c r="Y19" s="234"/>
      <c r="Z19" s="208">
        <f t="shared" si="5"/>
        <v>3225180</v>
      </c>
      <c r="AA19" s="209">
        <f t="shared" si="6"/>
        <v>4.9689799657133327E-2</v>
      </c>
      <c r="AB19" s="78" t="str">
        <f>+B19</f>
        <v>ULS</v>
      </c>
    </row>
    <row r="20" spans="1:28" x14ac:dyDescent="0.25">
      <c r="A20" s="41" t="str">
        <f>Indicadores!A14</f>
        <v>UNIVERSIDAD DE PLAYA ANCHA CS. EDUCACIÓN</v>
      </c>
      <c r="B20" s="71" t="str">
        <f>Indicadores!B14</f>
        <v>UPA</v>
      </c>
      <c r="C20" s="72" t="str">
        <f>Indicadores!C14</f>
        <v>CRUCH-ESTATAL</v>
      </c>
      <c r="D20" s="180" t="str">
        <f>Indicadores!D14</f>
        <v>Categoría III</v>
      </c>
      <c r="E20" s="186">
        <v>24829</v>
      </c>
      <c r="F20" s="40">
        <f t="shared" si="0"/>
        <v>25698.014999999999</v>
      </c>
      <c r="G20" s="74"/>
      <c r="H20" s="73"/>
      <c r="I20" s="75">
        <f>IFERROR(VLOOKUP(B20,Publicaciones!B11:E29,4,0),0)</f>
        <v>37652.718768549996</v>
      </c>
      <c r="J20" s="75">
        <f>IFERROR(VLOOKUP(B20,Acreditación!$B$3:$K$20,10,0),0)</f>
        <v>72310.920231729018</v>
      </c>
      <c r="K20" s="75">
        <f>IFERROR(VLOOKUP(B20,'Doctorado JC '!$B$2:$E$20,4,0),0)</f>
        <v>83543.684539570459</v>
      </c>
      <c r="L20" s="100">
        <f>IFERROR(VLOOKUP(B20,'Programas Doct. Acreditados '!$B$3:$G$20,6,0),0)</f>
        <v>0</v>
      </c>
      <c r="M20" s="75">
        <f>IFERROR(VLOOKUP(B20,'Académicos JC '!$B$3:$E$20,4,0),0)</f>
        <v>114735.73288559404</v>
      </c>
      <c r="N20" s="75">
        <f>IFERROR(VLOOKUP(B20,'Matrícula Regular Pre '!B12:E29,4,0),0)</f>
        <v>126371.68514752996</v>
      </c>
      <c r="O20" s="75">
        <f t="shared" si="1"/>
        <v>434614.74157297343</v>
      </c>
      <c r="P20" s="114">
        <f>SUM(F20:N20)</f>
        <v>460312.75657297345</v>
      </c>
      <c r="Q20" s="76">
        <v>100000</v>
      </c>
      <c r="R20" s="101">
        <f>IFERROR(VLOOKUP(B20,'[1]Puntaje Final FID'!$C$7:$P$22,11,0),0)</f>
        <v>646934</v>
      </c>
      <c r="S20" s="77">
        <f t="shared" si="2"/>
        <v>746934</v>
      </c>
      <c r="T20" s="113">
        <f>IFERROR(VLOOKUP(B20,Indicadores!$B$5:$AH$22,33,0),0)</f>
        <v>1053482</v>
      </c>
      <c r="U20" s="219">
        <f>P20+T20+S20</f>
        <v>2260728.7565729734</v>
      </c>
      <c r="V20" s="110">
        <f t="shared" si="3"/>
        <v>2260729</v>
      </c>
      <c r="W20" s="187">
        <f t="shared" si="4"/>
        <v>3.6308574047268699E-2</v>
      </c>
      <c r="X20" s="233"/>
      <c r="Y20" s="234"/>
      <c r="Z20" s="208">
        <f t="shared" si="5"/>
        <v>2260729</v>
      </c>
      <c r="AA20" s="209">
        <f t="shared" si="6"/>
        <v>3.4830667153173268E-2</v>
      </c>
      <c r="AB20" s="78" t="str">
        <f>+B20</f>
        <v>UPA</v>
      </c>
    </row>
    <row r="21" spans="1:28" x14ac:dyDescent="0.25">
      <c r="A21" s="41" t="str">
        <f>Indicadores!A15</f>
        <v>UNIVERSIDAD ARTURO PRAT</v>
      </c>
      <c r="B21" s="71" t="str">
        <f>Indicadores!B15</f>
        <v>UAP</v>
      </c>
      <c r="C21" s="72" t="str">
        <f>Indicadores!C15</f>
        <v>CRUCH-ESTATAL</v>
      </c>
      <c r="D21" s="180" t="str">
        <f>Indicadores!D15</f>
        <v>Categoría III</v>
      </c>
      <c r="E21" s="186">
        <v>15240</v>
      </c>
      <c r="F21" s="40">
        <f t="shared" si="0"/>
        <v>15773.4</v>
      </c>
      <c r="G21" s="74"/>
      <c r="H21" s="73">
        <v>50000</v>
      </c>
      <c r="I21" s="75">
        <f>IFERROR(VLOOKUP(B21,Publicaciones!B12:E30,4,0),0)</f>
        <v>28458.4502320436</v>
      </c>
      <c r="J21" s="75">
        <f>IFERROR(VLOOKUP(B21,Acreditación!$B$3:$K$20,10,0),0)</f>
        <v>57848.736185383219</v>
      </c>
      <c r="K21" s="75">
        <f>IFERROR(VLOOKUP(B21,'Doctorado JC '!$B$2:$E$20,4,0),0)</f>
        <v>55695.789693046972</v>
      </c>
      <c r="L21" s="100">
        <f>IFERROR(VLOOKUP(B21,'Programas Doct. Acreditados '!$B$3:$G$20,6,0),0)</f>
        <v>0</v>
      </c>
      <c r="M21" s="75">
        <f>IFERROR(VLOOKUP(B21,'Académicos JC '!$B$3:$E$20,4,0),0)</f>
        <v>123469.94092532786</v>
      </c>
      <c r="N21" s="75">
        <f>IFERROR(VLOOKUP(B21,'Matrícula Regular Pre '!B13:E30,4,0),0)</f>
        <v>158142.74744681703</v>
      </c>
      <c r="O21" s="75">
        <f t="shared" si="1"/>
        <v>423615.66448261868</v>
      </c>
      <c r="P21" s="114">
        <f>SUM(F21:N21)</f>
        <v>489389.06448261871</v>
      </c>
      <c r="Q21" s="76">
        <v>100000</v>
      </c>
      <c r="R21" s="101">
        <f>IFERROR(VLOOKUP(B21,'[1]Puntaje Final FID'!$C$7:$P$22,11,0),0)</f>
        <v>316279</v>
      </c>
      <c r="S21" s="77">
        <f t="shared" si="2"/>
        <v>416279</v>
      </c>
      <c r="T21" s="113">
        <f>IFERROR(VLOOKUP(B21,Indicadores!$B$5:$AH$22,33,0),0)</f>
        <v>1078179</v>
      </c>
      <c r="U21" s="219">
        <f>P21+T21+S21</f>
        <v>1983847.0644826186</v>
      </c>
      <c r="V21" s="110">
        <f t="shared" si="3"/>
        <v>1983847</v>
      </c>
      <c r="W21" s="187">
        <f t="shared" si="4"/>
        <v>3.1861694036725265E-2</v>
      </c>
      <c r="X21" s="233"/>
      <c r="Y21" s="234"/>
      <c r="Z21" s="208">
        <f t="shared" si="5"/>
        <v>1983847</v>
      </c>
      <c r="AA21" s="209">
        <f t="shared" si="6"/>
        <v>3.0564793276779894E-2</v>
      </c>
      <c r="AB21" s="78" t="str">
        <f>+B21</f>
        <v>UAP</v>
      </c>
    </row>
    <row r="22" spans="1:28" x14ac:dyDescent="0.25">
      <c r="A22" s="41" t="str">
        <f>Indicadores!A16</f>
        <v>UNIVERSIDAD DE ATACAMA</v>
      </c>
      <c r="B22" s="71" t="str">
        <f>Indicadores!B16</f>
        <v>ATA</v>
      </c>
      <c r="C22" s="72" t="str">
        <f>Indicadores!C16</f>
        <v>CRUCH-ESTATAL</v>
      </c>
      <c r="D22" s="180" t="str">
        <f>Indicadores!D16</f>
        <v>Categoría III</v>
      </c>
      <c r="E22" s="186">
        <v>21261</v>
      </c>
      <c r="F22" s="40">
        <f t="shared" si="0"/>
        <v>22005.134999999998</v>
      </c>
      <c r="G22" s="74"/>
      <c r="H22" s="73"/>
      <c r="I22" s="75">
        <f>IFERROR(VLOOKUP(B22,Publicaciones!B13:E31,4,0),0)</f>
        <v>40717.474947385461</v>
      </c>
      <c r="J22" s="75">
        <f>IFERROR(VLOOKUP(B22,Acreditación!$B$3:$K$20,10,0),0)</f>
        <v>144621.84046345804</v>
      </c>
      <c r="K22" s="75">
        <f>IFERROR(VLOOKUP(B22,'Doctorado JC '!$B$2:$E$20,4,0),0)</f>
        <v>58878.406246935374</v>
      </c>
      <c r="L22" s="100">
        <f>IFERROR(VLOOKUP(B22,'Programas Doct. Acreditados '!$B$3:$G$20,6,0),0)</f>
        <v>0</v>
      </c>
      <c r="M22" s="75">
        <f>IFERROR(VLOOKUP(B22,'Académicos JC '!$B$3:$E$20,4,0),0)</f>
        <v>130219.10168330398</v>
      </c>
      <c r="N22" s="75">
        <f>IFERROR(VLOOKUP(B22,'Matrícula Regular Pre '!B14:E31,4,0),0)</f>
        <v>110075.65514321499</v>
      </c>
      <c r="O22" s="75">
        <f t="shared" si="1"/>
        <v>484512.47848429781</v>
      </c>
      <c r="P22" s="114">
        <f>SUM(F22:N22)</f>
        <v>506517.61348429776</v>
      </c>
      <c r="Q22" s="76">
        <v>100000</v>
      </c>
      <c r="R22" s="101">
        <f>IFERROR(VLOOKUP(B22,'[1]Puntaje Final FID'!$C$7:$P$22,11,0),0)</f>
        <v>294715</v>
      </c>
      <c r="S22" s="77">
        <f t="shared" si="2"/>
        <v>394715</v>
      </c>
      <c r="T22" s="113">
        <f>IFERROR(VLOOKUP(B22,Indicadores!$B$5:$AH$22,33,0),0)</f>
        <v>1116157</v>
      </c>
      <c r="U22" s="219">
        <f>P22+T22+S22</f>
        <v>2017389.6134842979</v>
      </c>
      <c r="V22" s="110">
        <f t="shared" si="3"/>
        <v>2017390</v>
      </c>
      <c r="W22" s="187">
        <f t="shared" si="4"/>
        <v>3.240041340524203E-2</v>
      </c>
      <c r="X22" s="233">
        <v>1320975</v>
      </c>
      <c r="Y22" s="227">
        <f>X22/$X$29</f>
        <v>0.5</v>
      </c>
      <c r="Z22" s="208">
        <f t="shared" si="5"/>
        <v>3338365</v>
      </c>
      <c r="AA22" s="209">
        <f t="shared" si="6"/>
        <v>5.1433621699373648E-2</v>
      </c>
      <c r="AB22" s="78" t="str">
        <f>+B22</f>
        <v>ATA</v>
      </c>
    </row>
    <row r="23" spans="1:28" x14ac:dyDescent="0.25">
      <c r="A23" s="41" t="str">
        <f>Indicadores!A17</f>
        <v>UNIVERSIDAD DE LOS LAGOS</v>
      </c>
      <c r="B23" s="71" t="str">
        <f>Indicadores!B17</f>
        <v>ULA</v>
      </c>
      <c r="C23" s="72" t="str">
        <f>Indicadores!C17</f>
        <v>CRUCH-ESTATAL</v>
      </c>
      <c r="D23" s="180" t="str">
        <f>Indicadores!D17</f>
        <v>Categoría II</v>
      </c>
      <c r="E23" s="186">
        <v>9441</v>
      </c>
      <c r="F23" s="40">
        <f t="shared" si="0"/>
        <v>9771.4349999999995</v>
      </c>
      <c r="G23" s="74"/>
      <c r="H23" s="73">
        <v>50000</v>
      </c>
      <c r="I23" s="75">
        <f>IFERROR(VLOOKUP(B23,Publicaciones!B14:E32,4,0),0)</f>
        <v>52976.499662727314</v>
      </c>
      <c r="J23" s="75">
        <f>IFERROR(VLOOKUP(B23,Acreditación!$B$3:$K$20,10,0),0)</f>
        <v>57848.736185383219</v>
      </c>
      <c r="K23" s="75">
        <f>IFERROR(VLOOKUP(B23,'Doctorado JC '!$B$2:$E$20,4,0),0)</f>
        <v>82748.030401098353</v>
      </c>
      <c r="L23" s="100">
        <f>IFERROR(VLOOKUP(B23,'Programas Doct. Acreditados '!$B$3:$G$20,6,0),0)</f>
        <v>32980.834349593497</v>
      </c>
      <c r="M23" s="75">
        <f>IFERROR(VLOOKUP(B23,'Académicos JC '!$B$3:$E$20,4,0),0)</f>
        <v>129028.07331424937</v>
      </c>
      <c r="N23" s="75">
        <f>IFERROR(VLOOKUP(B23,'Matrícula Regular Pre '!B15:E32,4,0),0)</f>
        <v>135092.84949394566</v>
      </c>
      <c r="O23" s="75">
        <f t="shared" si="1"/>
        <v>490675.02340699738</v>
      </c>
      <c r="P23" s="114">
        <f>SUM(F23:N23)</f>
        <v>550446.45840699738</v>
      </c>
      <c r="Q23" s="76">
        <v>100000</v>
      </c>
      <c r="R23" s="101">
        <f>IFERROR(VLOOKUP(B23,'[1]Puntaje Final FID'!$C$7:$P$22,11,0),0)</f>
        <v>495983</v>
      </c>
      <c r="S23" s="77">
        <f t="shared" si="2"/>
        <v>595983</v>
      </c>
      <c r="T23" s="113">
        <f>IFERROR(VLOOKUP(B23,Indicadores!$B$5:$AH$22,33,0),0)</f>
        <v>1747799</v>
      </c>
      <c r="U23" s="219">
        <f>P23+T23+S23</f>
        <v>2894228.4584069974</v>
      </c>
      <c r="V23" s="110">
        <f t="shared" si="3"/>
        <v>2894228</v>
      </c>
      <c r="W23" s="187">
        <f t="shared" si="4"/>
        <v>4.6482922830502198E-2</v>
      </c>
      <c r="X23" s="233"/>
      <c r="Y23" s="234"/>
      <c r="Z23" s="208">
        <f t="shared" si="5"/>
        <v>2894228</v>
      </c>
      <c r="AA23" s="209">
        <f t="shared" si="6"/>
        <v>4.4590878488042739E-2</v>
      </c>
      <c r="AB23" s="78" t="str">
        <f>+B23</f>
        <v>ULA</v>
      </c>
    </row>
    <row r="24" spans="1:28" x14ac:dyDescent="0.25">
      <c r="A24" s="41" t="str">
        <f>Indicadores!A18</f>
        <v>UNIVERSIDAD DE MAGALLANES</v>
      </c>
      <c r="B24" s="71" t="str">
        <f>Indicadores!B18</f>
        <v>MAG</v>
      </c>
      <c r="C24" s="72" t="str">
        <f>Indicadores!C18</f>
        <v>CRUCH-ESTATAL</v>
      </c>
      <c r="D24" s="180" t="str">
        <f>Indicadores!D18</f>
        <v>Categoría II</v>
      </c>
      <c r="E24" s="186">
        <v>26019</v>
      </c>
      <c r="F24" s="40">
        <f t="shared" si="0"/>
        <v>26929.664999999997</v>
      </c>
      <c r="G24" s="74"/>
      <c r="H24" s="73"/>
      <c r="I24" s="75">
        <f>IFERROR(VLOOKUP(B24,Publicaciones!B15:E33,4,0),0)</f>
        <v>45533.520371269762</v>
      </c>
      <c r="J24" s="75">
        <f>IFERROR(VLOOKUP(B24,Acreditación!$B$3:$K$20,10,0),0)</f>
        <v>159084.02450980386</v>
      </c>
      <c r="K24" s="75">
        <f>IFERROR(VLOOKUP(B24,'Doctorado JC '!$B$2:$E$20,4,0),0)</f>
        <v>58878.406246935374</v>
      </c>
      <c r="L24" s="100">
        <f>IFERROR(VLOOKUP(B24,'Programas Doct. Acreditados '!$B$3:$G$20,6,0),0)</f>
        <v>32980.834349593497</v>
      </c>
      <c r="M24" s="75">
        <f>IFERROR(VLOOKUP(B24,'Académicos JC '!$B$3:$E$20,4,0),0)</f>
        <v>79401.8912703073</v>
      </c>
      <c r="N24" s="75">
        <f>IFERROR(VLOOKUP(B24,'Matrícula Regular Pre '!B16:E33,4,0),0)</f>
        <v>64626.461195819436</v>
      </c>
      <c r="O24" s="75">
        <f t="shared" si="1"/>
        <v>440505.13794372923</v>
      </c>
      <c r="P24" s="114">
        <f>SUM(F24:N24)</f>
        <v>467434.80294372921</v>
      </c>
      <c r="Q24" s="76">
        <v>100000</v>
      </c>
      <c r="R24" s="101">
        <f>IFERROR(VLOOKUP(B24,'[1]Puntaje Final FID'!$C$7:$P$22,11,0),0)</f>
        <v>352220</v>
      </c>
      <c r="S24" s="77">
        <f t="shared" si="2"/>
        <v>452220</v>
      </c>
      <c r="T24" s="113">
        <f>IFERROR(VLOOKUP(B24,Indicadores!$B$5:$AH$22,33,0),0)</f>
        <v>1934705</v>
      </c>
      <c r="U24" s="219">
        <f>P24+T24+S24</f>
        <v>2854359.8029437293</v>
      </c>
      <c r="V24" s="110">
        <f t="shared" si="3"/>
        <v>2854360</v>
      </c>
      <c r="W24" s="187">
        <f t="shared" si="4"/>
        <v>4.584262041914882E-2</v>
      </c>
      <c r="X24" s="233"/>
      <c r="Y24" s="234"/>
      <c r="Z24" s="208">
        <f t="shared" si="5"/>
        <v>2854360</v>
      </c>
      <c r="AA24" s="209">
        <f t="shared" si="6"/>
        <v>4.3976638993586427E-2</v>
      </c>
      <c r="AB24" s="78" t="str">
        <f>+B24</f>
        <v>MAG</v>
      </c>
    </row>
    <row r="25" spans="1:28" x14ac:dyDescent="0.25">
      <c r="A25" s="41" t="str">
        <f>Indicadores!A19</f>
        <v>UNIVERSIDAD METROPOLITANA DE CS.DE LA EDUCACIÓN</v>
      </c>
      <c r="B25" s="71" t="str">
        <f>Indicadores!B19</f>
        <v>UMC</v>
      </c>
      <c r="C25" s="72" t="str">
        <f>Indicadores!C19</f>
        <v>CRUCH-ESTATAL</v>
      </c>
      <c r="D25" s="180" t="str">
        <f>Indicadores!D19</f>
        <v>Categoría III</v>
      </c>
      <c r="E25" s="186">
        <v>102885</v>
      </c>
      <c r="F25" s="40">
        <f t="shared" si="0"/>
        <v>106485.97499999999</v>
      </c>
      <c r="G25" s="74"/>
      <c r="H25" s="73"/>
      <c r="I25" s="75">
        <f>IFERROR(VLOOKUP(B25,Publicaciones!B16:E34,4,0),0)</f>
        <v>15323.780894177324</v>
      </c>
      <c r="J25" s="75">
        <f>IFERROR(VLOOKUP(B25,Acreditación!$B$3:$K$20,10,0),0)</f>
        <v>43386.552139037405</v>
      </c>
      <c r="K25" s="75">
        <f>IFERROR(VLOOKUP(B25,'Doctorado JC '!$B$2:$E$20,4,0),0)</f>
        <v>53308.827277630669</v>
      </c>
      <c r="L25" s="100">
        <f>IFERROR(VLOOKUP(B25,'Programas Doct. Acreditados '!$B$3:$G$20,6,0),0)</f>
        <v>0</v>
      </c>
      <c r="M25" s="75">
        <f>IFERROR(VLOOKUP(B25,'Académicos JC '!$B$3:$E$20,4,0),0)</f>
        <v>90915.165504501856</v>
      </c>
      <c r="N25" s="75">
        <f>IFERROR(VLOOKUP(B25,'Matrícula Regular Pre '!B17:E34,4,0),0)</f>
        <v>75175.507234734352</v>
      </c>
      <c r="O25" s="75">
        <f t="shared" si="1"/>
        <v>278109.83305008162</v>
      </c>
      <c r="P25" s="114">
        <f>SUM(F25:N25)</f>
        <v>384595.8080500816</v>
      </c>
      <c r="Q25" s="76">
        <v>100000</v>
      </c>
      <c r="R25" s="101">
        <f>IFERROR(VLOOKUP(B25,'[1]Puntaje Final FID'!$C$7:$P$22,11,0),0)</f>
        <v>625370</v>
      </c>
      <c r="S25" s="77">
        <f t="shared" si="2"/>
        <v>725370</v>
      </c>
      <c r="T25" s="113">
        <f>IFERROR(VLOOKUP(B25,Indicadores!$B$5:$AH$22,33,0),0)</f>
        <v>1150856</v>
      </c>
      <c r="U25" s="219">
        <f>P25+T25+S25</f>
        <v>2260821.8080500816</v>
      </c>
      <c r="V25" s="110">
        <f t="shared" si="3"/>
        <v>2260822</v>
      </c>
      <c r="W25" s="187">
        <f t="shared" si="4"/>
        <v>3.6310067679361006E-2</v>
      </c>
      <c r="X25" s="233">
        <v>1320975</v>
      </c>
      <c r="Y25" s="227">
        <f>X25/$X$29</f>
        <v>0.5</v>
      </c>
      <c r="Z25" s="208">
        <f t="shared" si="5"/>
        <v>3581797</v>
      </c>
      <c r="AA25" s="209">
        <f t="shared" si="6"/>
        <v>5.5184137115609419E-2</v>
      </c>
      <c r="AB25" s="78" t="str">
        <f>+B25</f>
        <v>UMC</v>
      </c>
    </row>
    <row r="26" spans="1:28" x14ac:dyDescent="0.25">
      <c r="A26" s="41" t="str">
        <f>Indicadores!A20</f>
        <v>UNIVERSIDAD TECNOLÓGICA METROPOLITANA</v>
      </c>
      <c r="B26" s="71" t="str">
        <f>Indicadores!B20</f>
        <v>UTM</v>
      </c>
      <c r="C26" s="72" t="str">
        <f>Indicadores!C20</f>
        <v>CRUCH-ESTATAL</v>
      </c>
      <c r="D26" s="180" t="str">
        <f>Indicadores!D20</f>
        <v>Categoría III</v>
      </c>
      <c r="E26" s="186">
        <v>52483</v>
      </c>
      <c r="F26" s="40">
        <f t="shared" si="0"/>
        <v>54319.904999999999</v>
      </c>
      <c r="G26" s="74"/>
      <c r="H26" s="73"/>
      <c r="I26" s="75">
        <f>IFERROR(VLOOKUP(B26,Publicaciones!B17:E35,4,0),0)</f>
        <v>26269.338675732553</v>
      </c>
      <c r="J26" s="75">
        <f>IFERROR(VLOOKUP(B26,Acreditación!$B$3:$K$20,10,0),0)</f>
        <v>57848.736185383219</v>
      </c>
      <c r="K26" s="75">
        <f>IFERROR(VLOOKUP(B26,'Doctorado JC '!$B$2:$E$20,4,0),0)</f>
        <v>39782.706923604979</v>
      </c>
      <c r="L26" s="100">
        <f>IFERROR(VLOOKUP(B26,'Programas Doct. Acreditados '!$B$3:$G$20,6,0),0)</f>
        <v>0</v>
      </c>
      <c r="M26" s="75">
        <f>IFERROR(VLOOKUP(B26,'Académicos JC '!$B$3:$E$20,4,0),0)</f>
        <v>78210.862901252694</v>
      </c>
      <c r="N26" s="75">
        <f>IFERROR(VLOOKUP(B26,'Matrícula Regular Pre '!B18:E35,4,0),0)</f>
        <v>137958.59621523682</v>
      </c>
      <c r="O26" s="75">
        <f t="shared" si="1"/>
        <v>340070.24090121023</v>
      </c>
      <c r="P26" s="114">
        <f>SUM(F26:N26)</f>
        <v>394390.14590121026</v>
      </c>
      <c r="Q26" s="76">
        <v>0</v>
      </c>
      <c r="R26" s="101">
        <f>IFERROR(VLOOKUP(B26,'[1]Puntaje Final FID'!$C$7:$P$22,11,0),0)</f>
        <v>0</v>
      </c>
      <c r="S26" s="77">
        <f t="shared" si="2"/>
        <v>0</v>
      </c>
      <c r="T26" s="113">
        <f>IFERROR(VLOOKUP(B26,Indicadores!$B$5:$AH$22,33,0),0)</f>
        <v>1119988</v>
      </c>
      <c r="U26" s="219">
        <f>P26+T26+S26</f>
        <v>1514378.1459012101</v>
      </c>
      <c r="V26" s="110">
        <f t="shared" si="3"/>
        <v>1514378</v>
      </c>
      <c r="W26" s="187">
        <f t="shared" si="4"/>
        <v>2.432175893198817E-2</v>
      </c>
      <c r="X26" s="233"/>
      <c r="Y26" s="234"/>
      <c r="Z26" s="208">
        <f t="shared" si="5"/>
        <v>1514378</v>
      </c>
      <c r="AA26" s="209">
        <f t="shared" si="6"/>
        <v>2.333176425042021E-2</v>
      </c>
      <c r="AB26" s="78" t="str">
        <f>+B26</f>
        <v>UTM</v>
      </c>
    </row>
    <row r="27" spans="1:28" x14ac:dyDescent="0.25">
      <c r="A27" s="41" t="s">
        <v>136</v>
      </c>
      <c r="B27" s="71" t="s">
        <v>93</v>
      </c>
      <c r="C27" s="72" t="s">
        <v>22</v>
      </c>
      <c r="D27" s="180" t="s">
        <v>96</v>
      </c>
      <c r="E27" s="186">
        <v>0</v>
      </c>
      <c r="F27" s="40">
        <f t="shared" si="0"/>
        <v>0</v>
      </c>
      <c r="G27" s="74"/>
      <c r="H27" s="73"/>
      <c r="I27" s="75">
        <f>IFERROR(VLOOKUP(B27,Publicaciones!B18:E36,4,0),0)</f>
        <v>3064.7561788354651</v>
      </c>
      <c r="J27" s="75">
        <f>IFERROR(VLOOKUP(B27,Acreditación!$B$3:$K$20,10,0),0)</f>
        <v>0</v>
      </c>
      <c r="K27" s="75">
        <f>IFERROR(VLOOKUP(B27,'Doctorado JC '!$B$2:$E$20,4,0),0)</f>
        <v>33417.473815828183</v>
      </c>
      <c r="L27" s="100">
        <f>IFERROR(VLOOKUP(B27,'Programas Doct. Acreditados '!$B$3:$G$20,6,0),0)</f>
        <v>0</v>
      </c>
      <c r="M27" s="75">
        <f>IFERROR(VLOOKUP(B27,'Académicos JC '!$B$3:$E$20,4,0),0)</f>
        <v>20247.482273928359</v>
      </c>
      <c r="N27" s="75">
        <f>IFERROR(VLOOKUP(B27,'Matrícula Regular Pre '!B19:E36,4,0),0)</f>
        <v>19626.492410139796</v>
      </c>
      <c r="O27" s="75">
        <f t="shared" si="1"/>
        <v>76356.204678731796</v>
      </c>
      <c r="P27" s="114">
        <f>SUM(F27:N27)</f>
        <v>76356.204678731796</v>
      </c>
      <c r="Q27" s="76">
        <v>100000</v>
      </c>
      <c r="R27" s="101">
        <f>IFERROR(VLOOKUP(B27,'[1]Puntaje Final FID'!$C$7:$P$22,11,0),0)</f>
        <v>352220</v>
      </c>
      <c r="S27" s="77">
        <f t="shared" si="2"/>
        <v>452220</v>
      </c>
      <c r="T27" s="113">
        <f>IFERROR(VLOOKUP(B27,Indicadores!$B$5:$AH$22,33,0),0)</f>
        <v>830562</v>
      </c>
      <c r="U27" s="219">
        <f>P27+T27+S27</f>
        <v>1359138.2046787317</v>
      </c>
      <c r="V27" s="110">
        <f t="shared" si="3"/>
        <v>1359138</v>
      </c>
      <c r="W27" s="187">
        <f t="shared" si="4"/>
        <v>2.1828517577054431E-2</v>
      </c>
      <c r="X27" s="233"/>
      <c r="Y27" s="234"/>
      <c r="Z27" s="208">
        <f t="shared" si="5"/>
        <v>1359138</v>
      </c>
      <c r="AA27" s="209">
        <f t="shared" si="6"/>
        <v>2.0940007976732112E-2</v>
      </c>
      <c r="AB27" s="78" t="str">
        <f>+B27</f>
        <v>URO</v>
      </c>
    </row>
    <row r="28" spans="1:28" ht="15.75" thickBot="1" x14ac:dyDescent="0.3">
      <c r="A28" s="80" t="s">
        <v>137</v>
      </c>
      <c r="B28" s="81" t="s">
        <v>95</v>
      </c>
      <c r="C28" s="82" t="s">
        <v>22</v>
      </c>
      <c r="D28" s="181" t="s">
        <v>96</v>
      </c>
      <c r="E28" s="188">
        <v>0</v>
      </c>
      <c r="F28" s="189">
        <f t="shared" si="0"/>
        <v>0</v>
      </c>
      <c r="G28" s="190"/>
      <c r="H28" s="214"/>
      <c r="I28" s="191">
        <f>IFERROR(VLOOKUP(B28,Publicaciones!B19:E37,4,0),0)</f>
        <v>2189.1115563110461</v>
      </c>
      <c r="J28" s="191">
        <f>IFERROR(VLOOKUP(B28,Acreditación!$B$3:$K$20,10,0),0)</f>
        <v>0</v>
      </c>
      <c r="K28" s="191">
        <f>IFERROR(VLOOKUP(B28,'Doctorado JC '!$B$2:$E$20,4,0),0)</f>
        <v>13526.120354025692</v>
      </c>
      <c r="L28" s="192">
        <f>IFERROR(VLOOKUP(B28,'Programas Doct. Acreditados '!$B$3:$G$20,6,0),0)</f>
        <v>0</v>
      </c>
      <c r="M28" s="191">
        <f>IFERROR(VLOOKUP(B28,'Académicos JC '!$B$3:$E$20,4,0),0)</f>
        <v>8734.2080397338032</v>
      </c>
      <c r="N28" s="191">
        <f>IFERROR(VLOOKUP(B28,'Matrícula Regular Pre '!B20:E37,4,0),0)</f>
        <v>3082.614040740189</v>
      </c>
      <c r="O28" s="191">
        <f t="shared" si="1"/>
        <v>27532.053990810731</v>
      </c>
      <c r="P28" s="193">
        <f>SUM(F28:N28)</f>
        <v>27532.053990810731</v>
      </c>
      <c r="Q28" s="195">
        <v>0</v>
      </c>
      <c r="R28" s="196">
        <f>IFERROR(VLOOKUP(B28,'[1]Puntaje Final FID'!$C$7:$P$22,11,0),0)</f>
        <v>0</v>
      </c>
      <c r="S28" s="197">
        <f t="shared" si="2"/>
        <v>0</v>
      </c>
      <c r="T28" s="194">
        <f>IFERROR(VLOOKUP(B28,Indicadores!$B$5:$AH$22,33,0),0)</f>
        <v>913458</v>
      </c>
      <c r="U28" s="220">
        <f>P28+T28+S28</f>
        <v>940990.05399081076</v>
      </c>
      <c r="V28" s="198">
        <f t="shared" si="3"/>
        <v>940990</v>
      </c>
      <c r="W28" s="199">
        <f t="shared" si="4"/>
        <v>1.5112826478865611E-2</v>
      </c>
      <c r="X28" s="233"/>
      <c r="Y28" s="234"/>
      <c r="Z28" s="208">
        <f t="shared" si="5"/>
        <v>940990</v>
      </c>
      <c r="AA28" s="209">
        <f t="shared" si="6"/>
        <v>1.4497672867674328E-2</v>
      </c>
      <c r="AB28" s="78" t="str">
        <f>+B28</f>
        <v>URY</v>
      </c>
    </row>
    <row r="29" spans="1:28" ht="15.75" thickBot="1" x14ac:dyDescent="0.3">
      <c r="A29" s="83" t="s">
        <v>172</v>
      </c>
      <c r="B29" s="84"/>
      <c r="C29" s="85"/>
      <c r="D29" s="85"/>
      <c r="E29" s="86">
        <f>SUM(E11:E28)</f>
        <v>4471499</v>
      </c>
      <c r="F29" s="86">
        <f t="shared" ref="F29:Y29" si="7">SUM(F11:F28)</f>
        <v>4628001.464999998</v>
      </c>
      <c r="G29" s="88">
        <f t="shared" si="7"/>
        <v>400000</v>
      </c>
      <c r="H29" s="87">
        <f t="shared" si="7"/>
        <v>250000</v>
      </c>
      <c r="I29" s="89">
        <f t="shared" si="7"/>
        <v>2704428.416666667</v>
      </c>
      <c r="J29" s="89">
        <f t="shared" si="7"/>
        <v>2704428.4166666646</v>
      </c>
      <c r="K29" s="89">
        <f t="shared" si="7"/>
        <v>2704428.4166666665</v>
      </c>
      <c r="L29" s="89">
        <f t="shared" si="7"/>
        <v>2704428.4166666665</v>
      </c>
      <c r="M29" s="89">
        <f t="shared" si="7"/>
        <v>2704428.4166666665</v>
      </c>
      <c r="N29" s="89">
        <f t="shared" si="7"/>
        <v>2704428.416666666</v>
      </c>
      <c r="O29" s="89">
        <f t="shared" si="7"/>
        <v>16226570.499999994</v>
      </c>
      <c r="P29" s="135">
        <f t="shared" si="7"/>
        <v>21504571.964999996</v>
      </c>
      <c r="Q29" s="91">
        <f t="shared" si="7"/>
        <v>1600000</v>
      </c>
      <c r="R29" s="91">
        <f t="shared" si="7"/>
        <v>6799999</v>
      </c>
      <c r="S29" s="92">
        <f t="shared" si="7"/>
        <v>8399999</v>
      </c>
      <c r="T29" s="90">
        <f>SUM(T11:T28)</f>
        <v>32359759</v>
      </c>
      <c r="U29" s="221">
        <f t="shared" si="7"/>
        <v>62264329.965000011</v>
      </c>
      <c r="V29" s="111">
        <f t="shared" si="7"/>
        <v>62264329</v>
      </c>
      <c r="W29" s="93">
        <f t="shared" si="7"/>
        <v>0.99999999999999989</v>
      </c>
      <c r="X29" s="235">
        <f t="shared" si="7"/>
        <v>2641950</v>
      </c>
      <c r="Y29" s="228">
        <f t="shared" si="7"/>
        <v>1</v>
      </c>
      <c r="Z29" s="229">
        <f>SUM(Z11:Z28)</f>
        <v>64906279</v>
      </c>
      <c r="AA29" s="210">
        <f>SUM(AA11:AA28)</f>
        <v>1</v>
      </c>
      <c r="AB29" s="78"/>
    </row>
    <row r="31" spans="1:28" x14ac:dyDescent="0.25">
      <c r="E31" s="211" t="s">
        <v>230</v>
      </c>
      <c r="F31" s="212"/>
      <c r="G31" s="212"/>
      <c r="H31" s="212"/>
      <c r="I31" s="212"/>
      <c r="J31" s="212"/>
      <c r="K31" s="213"/>
      <c r="L31" s="144" t="s">
        <v>231</v>
      </c>
    </row>
    <row r="32" spans="1:28" x14ac:dyDescent="0.25">
      <c r="E32" s="171" t="s">
        <v>177</v>
      </c>
      <c r="F32" s="171" t="s">
        <v>178</v>
      </c>
      <c r="G32" s="171" t="s">
        <v>179</v>
      </c>
      <c r="H32" s="171" t="s">
        <v>180</v>
      </c>
      <c r="I32" s="171" t="s">
        <v>176</v>
      </c>
      <c r="J32" s="171" t="s">
        <v>182</v>
      </c>
      <c r="K32" s="171" t="s">
        <v>181</v>
      </c>
      <c r="L32" s="171"/>
    </row>
    <row r="33" spans="1:20" ht="25.5" x14ac:dyDescent="0.25">
      <c r="A33" s="106" t="s">
        <v>105</v>
      </c>
      <c r="B33" s="106" t="s">
        <v>168</v>
      </c>
      <c r="C33" s="106" t="s">
        <v>169</v>
      </c>
      <c r="D33" s="106" t="s">
        <v>232</v>
      </c>
      <c r="E33" s="106" t="s">
        <v>138</v>
      </c>
      <c r="F33" s="106" t="s">
        <v>103</v>
      </c>
      <c r="G33" s="106" t="s">
        <v>104</v>
      </c>
      <c r="H33" s="106" t="s">
        <v>108</v>
      </c>
      <c r="I33" s="106" t="s">
        <v>79</v>
      </c>
      <c r="J33" s="106" t="s">
        <v>80</v>
      </c>
      <c r="K33" s="106" t="s">
        <v>76</v>
      </c>
      <c r="L33" s="106" t="s">
        <v>78</v>
      </c>
      <c r="O33" s="39"/>
      <c r="P33" s="39"/>
      <c r="Q33" s="39"/>
      <c r="T33" s="39"/>
    </row>
    <row r="34" spans="1:20" x14ac:dyDescent="0.25">
      <c r="A34" s="41" t="s">
        <v>221</v>
      </c>
      <c r="B34" s="21">
        <v>40730748</v>
      </c>
      <c r="C34" s="21">
        <v>24175534</v>
      </c>
      <c r="D34" s="21">
        <f>B34+C34</f>
        <v>64906282</v>
      </c>
      <c r="E34" s="21">
        <f>F29</f>
        <v>4628001.464999998</v>
      </c>
      <c r="F34" s="21">
        <f>G29</f>
        <v>400000</v>
      </c>
      <c r="G34" s="21">
        <f>H29</f>
        <v>250000</v>
      </c>
      <c r="H34" s="21">
        <f>O29</f>
        <v>16226570.499999994</v>
      </c>
      <c r="I34" s="21">
        <f>P29</f>
        <v>21504571.964999996</v>
      </c>
      <c r="J34" s="21">
        <f>D34-I34-K34-L34</f>
        <v>32359760.035000004</v>
      </c>
      <c r="K34" s="21">
        <v>8400000</v>
      </c>
      <c r="L34" s="172">
        <v>2641950</v>
      </c>
    </row>
    <row r="36" spans="1:20" x14ac:dyDescent="0.25">
      <c r="J36" s="18"/>
    </row>
    <row r="37" spans="1:20" x14ac:dyDescent="0.25">
      <c r="A37" s="19" t="s">
        <v>222</v>
      </c>
      <c r="B37" s="21">
        <f>25%*D34</f>
        <v>16226570.5</v>
      </c>
    </row>
    <row r="38" spans="1:20" x14ac:dyDescent="0.25">
      <c r="A38" s="19" t="s">
        <v>97</v>
      </c>
      <c r="B38" s="20">
        <v>3.5000000000000003E-2</v>
      </c>
    </row>
    <row r="39" spans="1:20" x14ac:dyDescent="0.25">
      <c r="A39" s="2"/>
    </row>
  </sheetData>
  <mergeCells count="26">
    <mergeCell ref="Y8:Y10"/>
    <mergeCell ref="E31:K31"/>
    <mergeCell ref="B7:W7"/>
    <mergeCell ref="X8:X10"/>
    <mergeCell ref="Z8:Z10"/>
    <mergeCell ref="AA8:AA10"/>
    <mergeCell ref="Z7:AA7"/>
    <mergeCell ref="Q8:S8"/>
    <mergeCell ref="Q9:Q10"/>
    <mergeCell ref="R9:R10"/>
    <mergeCell ref="S9:S10"/>
    <mergeCell ref="T9:T10"/>
    <mergeCell ref="X7:Y7"/>
    <mergeCell ref="A8:A10"/>
    <mergeCell ref="B8:B10"/>
    <mergeCell ref="C8:C10"/>
    <mergeCell ref="D8:D10"/>
    <mergeCell ref="E9:F9"/>
    <mergeCell ref="I9:O9"/>
    <mergeCell ref="E8:O8"/>
    <mergeCell ref="H9:H10"/>
    <mergeCell ref="G9:G10"/>
    <mergeCell ref="W8:W10"/>
    <mergeCell ref="P8:P10"/>
    <mergeCell ref="U8:U10"/>
    <mergeCell ref="V8:V10"/>
  </mergeCells>
  <pageMargins left="0.31496062992125984" right="0.31496062992125984" top="0.35433070866141736" bottom="0.35433070866141736" header="0.31496062992125984" footer="0.31496062992125984"/>
  <pageSetup paperSize="14" scale="73" orientation="landscape" verticalDpi="0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C240-7C6A-4753-8C26-BFAAE26C715F}">
  <dimension ref="A1:M33"/>
  <sheetViews>
    <sheetView zoomScale="90" zoomScaleNormal="90" workbookViewId="0">
      <selection activeCell="A22" sqref="A22:A23"/>
    </sheetView>
  </sheetViews>
  <sheetFormatPr baseColWidth="10" defaultRowHeight="15" x14ac:dyDescent="0.25"/>
  <cols>
    <col min="1" max="1" width="46" customWidth="1"/>
    <col min="2" max="2" width="15.28515625" bestFit="1" customWidth="1"/>
    <col min="3" max="3" width="14.5703125" bestFit="1" customWidth="1"/>
    <col min="4" max="4" width="15" customWidth="1"/>
    <col min="5" max="5" width="14.42578125" customWidth="1"/>
    <col min="6" max="6" width="12.85546875" customWidth="1"/>
    <col min="7" max="7" width="6.7109375" customWidth="1"/>
    <col min="8" max="8" width="11.7109375" bestFit="1" customWidth="1"/>
    <col min="9" max="9" width="16" customWidth="1"/>
    <col min="10" max="10" width="12.5703125" bestFit="1" customWidth="1"/>
    <col min="11" max="11" width="10.5703125" customWidth="1"/>
    <col min="12" max="12" width="11.7109375" bestFit="1" customWidth="1"/>
  </cols>
  <sheetData>
    <row r="1" spans="1:13" ht="18.75" x14ac:dyDescent="0.3">
      <c r="A1" s="108" t="s">
        <v>173</v>
      </c>
    </row>
    <row r="2" spans="1:13" x14ac:dyDescent="0.25">
      <c r="A2" s="17" t="s">
        <v>223</v>
      </c>
    </row>
    <row r="3" spans="1:13" x14ac:dyDescent="0.25">
      <c r="A3" s="17" t="s">
        <v>234</v>
      </c>
    </row>
    <row r="4" spans="1:13" s="70" customFormat="1" ht="30.75" thickBot="1" x14ac:dyDescent="0.3">
      <c r="H4" s="1"/>
      <c r="I4" s="141" t="s">
        <v>220</v>
      </c>
      <c r="J4" s="1"/>
      <c r="K4" s="1"/>
      <c r="L4" s="1"/>
    </row>
    <row r="5" spans="1:13" ht="51" x14ac:dyDescent="0.25">
      <c r="A5" s="119" t="s">
        <v>11</v>
      </c>
      <c r="B5" s="120" t="s">
        <v>224</v>
      </c>
      <c r="C5" s="120" t="s">
        <v>21</v>
      </c>
      <c r="D5" s="120" t="s">
        <v>39</v>
      </c>
      <c r="E5" s="139" t="s">
        <v>228</v>
      </c>
      <c r="F5" s="118" t="s">
        <v>90</v>
      </c>
      <c r="G5" s="1"/>
      <c r="H5" s="126" t="s">
        <v>224</v>
      </c>
      <c r="I5" s="126" t="s">
        <v>229</v>
      </c>
      <c r="J5" s="126" t="s">
        <v>243</v>
      </c>
      <c r="K5" s="79" t="s">
        <v>139</v>
      </c>
      <c r="L5" s="126" t="s">
        <v>254</v>
      </c>
    </row>
    <row r="6" spans="1:13" x14ac:dyDescent="0.25">
      <c r="A6" s="121" t="str">
        <f>Indicadores!A5</f>
        <v>UNIVERSIDAD DE CHILE</v>
      </c>
      <c r="B6" s="95" t="s">
        <v>2</v>
      </c>
      <c r="C6" s="96" t="str">
        <f>Indicadores!C5</f>
        <v>CRUCH-ESTATAL</v>
      </c>
      <c r="D6" s="96" t="str">
        <f>Indicadores!D5</f>
        <v>Categoría I</v>
      </c>
      <c r="E6" s="109">
        <f>VLOOKUP($B6,'Montos AIUE 2019'!$B$11:$V$28,21,0)</f>
        <v>11467786</v>
      </c>
      <c r="F6" s="122">
        <f>+E6/$E$24</f>
        <v>0.18417906663701458</v>
      </c>
      <c r="G6" s="6"/>
      <c r="H6" s="144" t="s">
        <v>2</v>
      </c>
      <c r="I6" s="140">
        <f>VLOOKUP(H6,'[2]AIUE_22_08_ 2019'!$AD$17:$AE$34,2,0)</f>
        <v>5538466</v>
      </c>
      <c r="J6" s="117">
        <f>E6-I6</f>
        <v>5929320</v>
      </c>
      <c r="K6" s="127">
        <f>+J6/E6</f>
        <v>0.51704138880861572</v>
      </c>
      <c r="L6" s="125">
        <f>SUM(I6:J6)</f>
        <v>11467786</v>
      </c>
      <c r="M6" s="143">
        <f>+L6-E6</f>
        <v>0</v>
      </c>
    </row>
    <row r="7" spans="1:13" x14ac:dyDescent="0.25">
      <c r="A7" s="123" t="str">
        <f>Indicadores!A6</f>
        <v>UNIVERSIDAD DE SANTIAGO DE CHILE</v>
      </c>
      <c r="B7" s="71" t="s">
        <v>3</v>
      </c>
      <c r="C7" s="72" t="str">
        <f>Indicadores!C6</f>
        <v>CRUCH-ESTATAL</v>
      </c>
      <c r="D7" s="72" t="str">
        <f>Indicadores!D6</f>
        <v>Categoría I</v>
      </c>
      <c r="E7" s="109">
        <f>VLOOKUP($B7,'Montos AIUE 2019'!$B$11:$V$28,21,0)</f>
        <v>6246059</v>
      </c>
      <c r="F7" s="122">
        <f t="shared" ref="F7:F23" si="0">+E7/$E$24</f>
        <v>0.10031520615921197</v>
      </c>
      <c r="H7" s="144" t="s">
        <v>3</v>
      </c>
      <c r="I7" s="140">
        <f>VLOOKUP(H7,'[2]AIUE_22_08_ 2019'!$AD$17:$AE$34,2,0)</f>
        <v>2848171</v>
      </c>
      <c r="J7" s="117">
        <f t="shared" ref="J7:J23" si="1">E7-I7</f>
        <v>3397888</v>
      </c>
      <c r="K7" s="127">
        <f>+J7/E7</f>
        <v>0.54400510786081269</v>
      </c>
      <c r="L7" s="125">
        <f>SUM(I7:J7)</f>
        <v>6246059</v>
      </c>
      <c r="M7" s="143">
        <f>+L7-E7</f>
        <v>0</v>
      </c>
    </row>
    <row r="8" spans="1:13" x14ac:dyDescent="0.25">
      <c r="A8" s="123" t="str">
        <f>Indicadores!A7</f>
        <v>UNIVERSIDAD DE ANTOFAGASTA</v>
      </c>
      <c r="B8" s="71" t="s">
        <v>9</v>
      </c>
      <c r="C8" s="72" t="str">
        <f>Indicadores!C7</f>
        <v>CRUCH-ESTATAL</v>
      </c>
      <c r="D8" s="72" t="str">
        <f>Indicadores!D7</f>
        <v>Categoría II</v>
      </c>
      <c r="E8" s="109">
        <f>VLOOKUP($B8,'Montos AIUE 2019'!$B$11:$V$28,21,0)</f>
        <v>3552289</v>
      </c>
      <c r="F8" s="122">
        <f t="shared" si="0"/>
        <v>5.7051751091704531E-2</v>
      </c>
      <c r="H8" s="144" t="s">
        <v>9</v>
      </c>
      <c r="I8" s="140">
        <f>VLOOKUP(H8,'[2]AIUE_22_08_ 2019'!$AD$17:$AE$34,2,0)</f>
        <v>1538465</v>
      </c>
      <c r="J8" s="117">
        <f t="shared" si="1"/>
        <v>2013824</v>
      </c>
      <c r="K8" s="127">
        <f>+J8/E8</f>
        <v>0.56690882977145163</v>
      </c>
      <c r="L8" s="125">
        <f>SUM(I8:J8)</f>
        <v>3552289</v>
      </c>
      <c r="M8" s="143">
        <f>+L8-E8</f>
        <v>0</v>
      </c>
    </row>
    <row r="9" spans="1:13" x14ac:dyDescent="0.25">
      <c r="A9" s="123" t="str">
        <f>Indicadores!A8</f>
        <v>UNIVERSIDAD DE LA FRONTERA</v>
      </c>
      <c r="B9" s="71" t="s">
        <v>6</v>
      </c>
      <c r="C9" s="72" t="str">
        <f>Indicadores!C8</f>
        <v>CRUCH-ESTATAL</v>
      </c>
      <c r="D9" s="72" t="str">
        <f>Indicadores!D8</f>
        <v>Categoría II</v>
      </c>
      <c r="E9" s="109">
        <f>VLOOKUP($B9,'Montos AIUE 2019'!$B$11:$V$28,21,0)</f>
        <v>4613700</v>
      </c>
      <c r="F9" s="122">
        <f t="shared" si="0"/>
        <v>7.4098606282258339E-2</v>
      </c>
      <c r="H9" s="144" t="s">
        <v>6</v>
      </c>
      <c r="I9" s="142">
        <f>VLOOKUP(H9,'[2]AIUE_22_08_ 2019'!$AD$17:$AE$34,2,0)</f>
        <v>2099715</v>
      </c>
      <c r="J9" s="117">
        <f t="shared" si="1"/>
        <v>2513985</v>
      </c>
      <c r="K9" s="127">
        <f>+J9/E9</f>
        <v>0.54489563690747123</v>
      </c>
      <c r="L9" s="125">
        <f>SUM(I9:J9)</f>
        <v>4613700</v>
      </c>
      <c r="M9" s="143">
        <f>+L9-E9</f>
        <v>0</v>
      </c>
    </row>
    <row r="10" spans="1:13" x14ac:dyDescent="0.25">
      <c r="A10" s="123" t="str">
        <f>Indicadores!A9</f>
        <v>UNIVERSIDAD DE TALCA</v>
      </c>
      <c r="B10" s="71" t="s">
        <v>5</v>
      </c>
      <c r="C10" s="72" t="str">
        <f>Indicadores!C9</f>
        <v>CRUCH-ESTATAL</v>
      </c>
      <c r="D10" s="72" t="str">
        <f>Indicadores!D9</f>
        <v>Categoría II</v>
      </c>
      <c r="E10" s="109">
        <f>VLOOKUP($B10,'Montos AIUE 2019'!$B$11:$V$28,21,0)</f>
        <v>4600111</v>
      </c>
      <c r="F10" s="122">
        <f t="shared" si="0"/>
        <v>7.3880359330620912E-2</v>
      </c>
      <c r="H10" s="144" t="s">
        <v>5</v>
      </c>
      <c r="I10" s="142">
        <f>VLOOKUP(H10,'[2]AIUE_22_08_ 2019'!$AD$17:$AE$34,2,0)</f>
        <v>2113302</v>
      </c>
      <c r="J10" s="117">
        <f t="shared" si="1"/>
        <v>2486809</v>
      </c>
      <c r="K10" s="127">
        <f>+J10/E10</f>
        <v>0.54059760731860595</v>
      </c>
      <c r="L10" s="125">
        <f>SUM(I10:J10)</f>
        <v>4600111</v>
      </c>
      <c r="M10" s="143">
        <f>+L10-E10</f>
        <v>0</v>
      </c>
    </row>
    <row r="11" spans="1:13" x14ac:dyDescent="0.25">
      <c r="A11" s="123" t="str">
        <f>Indicadores!A10</f>
        <v>UNIVERSIDAD DE TARAPACÁ</v>
      </c>
      <c r="B11" s="71" t="s">
        <v>10</v>
      </c>
      <c r="C11" s="72" t="str">
        <f>Indicadores!C10</f>
        <v>CRUCH-ESTATAL</v>
      </c>
      <c r="D11" s="72" t="str">
        <f>Indicadores!D10</f>
        <v>Categoría III</v>
      </c>
      <c r="E11" s="109">
        <f>VLOOKUP($B11,'Montos AIUE 2019'!$B$11:$V$28,21,0)</f>
        <v>2609539</v>
      </c>
      <c r="F11" s="122">
        <f t="shared" si="0"/>
        <v>4.1910658027006123E-2</v>
      </c>
      <c r="H11" s="144" t="s">
        <v>10</v>
      </c>
      <c r="I11" s="142">
        <f>VLOOKUP(H11,'[2]AIUE_22_08_ 2019'!$AD$17:$AE$34,2,0)</f>
        <v>1484405</v>
      </c>
      <c r="J11" s="117">
        <f t="shared" si="1"/>
        <v>1125134</v>
      </c>
      <c r="K11" s="127">
        <f>+J11/E11</f>
        <v>0.43116197918482918</v>
      </c>
      <c r="L11" s="125">
        <f>SUM(I11:J11)</f>
        <v>2609539</v>
      </c>
      <c r="M11" s="143">
        <f>+L11-E11</f>
        <v>0</v>
      </c>
    </row>
    <row r="12" spans="1:13" x14ac:dyDescent="0.25">
      <c r="A12" s="123" t="str">
        <f>Indicadores!A11</f>
        <v>UNIVERSIDAD DE VALPARAÍSO</v>
      </c>
      <c r="B12" s="71" t="s">
        <v>4</v>
      </c>
      <c r="C12" s="72" t="str">
        <f>Indicadores!C11</f>
        <v>CRUCH-ESTATAL</v>
      </c>
      <c r="D12" s="72" t="str">
        <f>Indicadores!D11</f>
        <v>Categoría II</v>
      </c>
      <c r="E12" s="109">
        <f>VLOOKUP($B12,'Montos AIUE 2019'!$B$11:$V$28,21,0)</f>
        <v>4208501</v>
      </c>
      <c r="F12" s="122">
        <f t="shared" si="0"/>
        <v>6.7590883377222299E-2</v>
      </c>
      <c r="H12" s="144" t="s">
        <v>4</v>
      </c>
      <c r="I12" s="142">
        <f>VLOOKUP(H12,'[2]AIUE_22_08_ 2019'!$AD$17:$AE$34,2,0)</f>
        <v>1931778</v>
      </c>
      <c r="J12" s="117">
        <f t="shared" si="1"/>
        <v>2276723</v>
      </c>
      <c r="K12" s="127">
        <f>+J12/E12</f>
        <v>0.54098193157135999</v>
      </c>
      <c r="L12" s="125">
        <f>SUM(I12:J12)</f>
        <v>4208501</v>
      </c>
      <c r="M12" s="143">
        <f>+L12-E12</f>
        <v>0</v>
      </c>
    </row>
    <row r="13" spans="1:13" x14ac:dyDescent="0.25">
      <c r="A13" s="123" t="str">
        <f>Indicadores!A12</f>
        <v>UNIVERSIDAD DEL BÍO-BÍO</v>
      </c>
      <c r="B13" s="71" t="s">
        <v>8</v>
      </c>
      <c r="C13" s="72" t="str">
        <f>Indicadores!C12</f>
        <v>CRUCH-ESTATAL</v>
      </c>
      <c r="D13" s="72" t="str">
        <f>Indicadores!D12</f>
        <v>Categoría II</v>
      </c>
      <c r="E13" s="109">
        <f>VLOOKUP($B13,'Montos AIUE 2019'!$B$11:$V$28,21,0)</f>
        <v>3655282</v>
      </c>
      <c r="F13" s="122">
        <f t="shared" si="0"/>
        <v>5.8705876361407505E-2</v>
      </c>
      <c r="H13" s="144" t="s">
        <v>8</v>
      </c>
      <c r="I13" s="142">
        <f>VLOOKUP(H13,'[2]AIUE_22_08_ 2019'!$AD$17:$AE$34,2,0)</f>
        <v>1731417</v>
      </c>
      <c r="J13" s="117">
        <f t="shared" si="1"/>
        <v>1923865</v>
      </c>
      <c r="K13" s="127">
        <f>+J13/E13</f>
        <v>0.52632464471961393</v>
      </c>
      <c r="L13" s="125">
        <f>SUM(I13:J13)</f>
        <v>3655282</v>
      </c>
      <c r="M13" s="143">
        <f>+L13-E13</f>
        <v>0</v>
      </c>
    </row>
    <row r="14" spans="1:13" x14ac:dyDescent="0.25">
      <c r="A14" s="123" t="str">
        <f>Indicadores!A13</f>
        <v>UNIVERSIDAD DE LA SERENA</v>
      </c>
      <c r="B14" s="71" t="s">
        <v>7</v>
      </c>
      <c r="C14" s="72" t="str">
        <f>Indicadores!C13</f>
        <v>CRUCH-ESTATAL</v>
      </c>
      <c r="D14" s="72" t="str">
        <f>Indicadores!D13</f>
        <v>Categoría II</v>
      </c>
      <c r="E14" s="109">
        <f>VLOOKUP($B14,'Montos AIUE 2019'!$B$11:$V$28,21,0)</f>
        <v>3225180</v>
      </c>
      <c r="F14" s="122">
        <f t="shared" si="0"/>
        <v>5.1798197327397523E-2</v>
      </c>
      <c r="H14" s="144" t="s">
        <v>7</v>
      </c>
      <c r="I14" s="142">
        <f>VLOOKUP(H14,'[2]AIUE_22_08_ 2019'!$AD$17:$AE$34,2,0)</f>
        <v>1445434</v>
      </c>
      <c r="J14" s="117">
        <f t="shared" si="1"/>
        <v>1779746</v>
      </c>
      <c r="K14" s="127">
        <f>+J14/E14</f>
        <v>0.55182842508015062</v>
      </c>
      <c r="L14" s="125">
        <f>SUM(I14:J14)</f>
        <v>3225180</v>
      </c>
      <c r="M14" s="143">
        <f>+L14-E14</f>
        <v>0</v>
      </c>
    </row>
    <row r="15" spans="1:13" x14ac:dyDescent="0.25">
      <c r="A15" s="123" t="str">
        <f>Indicadores!A14</f>
        <v>UNIVERSIDAD DE PLAYA ANCHA CS. EDUCACIÓN</v>
      </c>
      <c r="B15" s="71" t="s">
        <v>27</v>
      </c>
      <c r="C15" s="72" t="str">
        <f>Indicadores!C14</f>
        <v>CRUCH-ESTATAL</v>
      </c>
      <c r="D15" s="72" t="str">
        <f>Indicadores!D14</f>
        <v>Categoría III</v>
      </c>
      <c r="E15" s="109">
        <f>VLOOKUP($B15,'Montos AIUE 2019'!$B$11:$V$28,21,0)</f>
        <v>2260729</v>
      </c>
      <c r="F15" s="122">
        <f t="shared" si="0"/>
        <v>3.6308574047268699E-2</v>
      </c>
      <c r="H15" s="144" t="s">
        <v>27</v>
      </c>
      <c r="I15" s="142">
        <f>VLOOKUP(H15,'[2]AIUE_22_08_ 2019'!$AD$17:$AE$34,2,0)</f>
        <v>1347379</v>
      </c>
      <c r="J15" s="117">
        <f t="shared" si="1"/>
        <v>913350</v>
      </c>
      <c r="K15" s="127">
        <f>+J15/E15</f>
        <v>0.40400684911813844</v>
      </c>
      <c r="L15" s="125">
        <f>SUM(I15:J15)</f>
        <v>2260729</v>
      </c>
      <c r="M15" s="143">
        <f>+L15-E15</f>
        <v>0</v>
      </c>
    </row>
    <row r="16" spans="1:13" x14ac:dyDescent="0.25">
      <c r="A16" s="123" t="str">
        <f>Indicadores!A15</f>
        <v>UNIVERSIDAD ARTURO PRAT</v>
      </c>
      <c r="B16" s="71" t="s">
        <v>23</v>
      </c>
      <c r="C16" s="72" t="str">
        <f>Indicadores!C15</f>
        <v>CRUCH-ESTATAL</v>
      </c>
      <c r="D16" s="72" t="str">
        <f>Indicadores!D15</f>
        <v>Categoría III</v>
      </c>
      <c r="E16" s="109">
        <f>VLOOKUP($B16,'Montos AIUE 2019'!$B$11:$V$28,21,0)</f>
        <v>1983847</v>
      </c>
      <c r="F16" s="122">
        <f t="shared" si="0"/>
        <v>3.1861694036725265E-2</v>
      </c>
      <c r="H16" s="144" t="s">
        <v>23</v>
      </c>
      <c r="I16" s="142">
        <f>VLOOKUP(H16,'[2]AIUE_22_08_ 2019'!$AD$17:$AE$34,2,0)</f>
        <v>1670422</v>
      </c>
      <c r="J16" s="117">
        <f t="shared" si="1"/>
        <v>313425</v>
      </c>
      <c r="K16" s="127">
        <f>+J16/E16</f>
        <v>0.15798849407237553</v>
      </c>
      <c r="L16" s="125">
        <f>SUM(I16:J16)</f>
        <v>1983847</v>
      </c>
      <c r="M16" s="143">
        <f>+L16-E16</f>
        <v>0</v>
      </c>
    </row>
    <row r="17" spans="1:13" x14ac:dyDescent="0.25">
      <c r="A17" s="123" t="str">
        <f>Indicadores!A16</f>
        <v>UNIVERSIDAD DE ATACAMA</v>
      </c>
      <c r="B17" s="71" t="s">
        <v>24</v>
      </c>
      <c r="C17" s="72" t="str">
        <f>Indicadores!C16</f>
        <v>CRUCH-ESTATAL</v>
      </c>
      <c r="D17" s="72" t="str">
        <f>Indicadores!D16</f>
        <v>Categoría III</v>
      </c>
      <c r="E17" s="109">
        <f>VLOOKUP($B17,'Montos AIUE 2019'!$B$11:$V$28,21,0)</f>
        <v>2017390</v>
      </c>
      <c r="F17" s="122">
        <f t="shared" si="0"/>
        <v>3.240041340524203E-2</v>
      </c>
      <c r="H17" s="144" t="s">
        <v>24</v>
      </c>
      <c r="I17" s="142">
        <f>VLOOKUP(H17,'[2]AIUE_22_08_ 2019'!$AD$17:$AE$34,2,0)</f>
        <v>1044135</v>
      </c>
      <c r="J17" s="117">
        <f t="shared" si="1"/>
        <v>973255</v>
      </c>
      <c r="K17" s="127">
        <f>+J17/E17</f>
        <v>0.48243274726255209</v>
      </c>
      <c r="L17" s="125">
        <f>SUM(I17:J17)</f>
        <v>2017390</v>
      </c>
      <c r="M17" s="143">
        <f>+L17-E17</f>
        <v>0</v>
      </c>
    </row>
    <row r="18" spans="1:13" x14ac:dyDescent="0.25">
      <c r="A18" s="123" t="str">
        <f>Indicadores!A17</f>
        <v>UNIVERSIDAD DE LOS LAGOS</v>
      </c>
      <c r="B18" s="71" t="s">
        <v>25</v>
      </c>
      <c r="C18" s="72" t="str">
        <f>Indicadores!C17</f>
        <v>CRUCH-ESTATAL</v>
      </c>
      <c r="D18" s="72" t="str">
        <f>Indicadores!D17</f>
        <v>Categoría II</v>
      </c>
      <c r="E18" s="109">
        <f>VLOOKUP($B18,'Montos AIUE 2019'!$B$11:$V$28,21,0)</f>
        <v>2894228</v>
      </c>
      <c r="F18" s="122">
        <f t="shared" si="0"/>
        <v>4.6482922830502198E-2</v>
      </c>
      <c r="H18" s="144" t="s">
        <v>25</v>
      </c>
      <c r="I18" s="142">
        <f>VLOOKUP(H18,'[2]AIUE_22_08_ 2019'!$AD$17:$AE$34,2,0)</f>
        <v>1392852</v>
      </c>
      <c r="J18" s="117">
        <f t="shared" si="1"/>
        <v>1501376</v>
      </c>
      <c r="K18" s="127">
        <f>+J18/E18</f>
        <v>0.51874835016453436</v>
      </c>
      <c r="L18" s="125">
        <f>SUM(I18:J18)</f>
        <v>2894228</v>
      </c>
      <c r="M18" s="143">
        <f>+L18-E18</f>
        <v>0</v>
      </c>
    </row>
    <row r="19" spans="1:13" x14ac:dyDescent="0.25">
      <c r="A19" s="123" t="str">
        <f>Indicadores!A18</f>
        <v>UNIVERSIDAD DE MAGALLANES</v>
      </c>
      <c r="B19" s="71" t="s">
        <v>26</v>
      </c>
      <c r="C19" s="72" t="str">
        <f>Indicadores!C18</f>
        <v>CRUCH-ESTATAL</v>
      </c>
      <c r="D19" s="72" t="str">
        <f>Indicadores!D18</f>
        <v>Categoría II</v>
      </c>
      <c r="E19" s="109">
        <f>VLOOKUP($B19,'Montos AIUE 2019'!$B$11:$V$28,21,0)</f>
        <v>2854360</v>
      </c>
      <c r="F19" s="122">
        <f t="shared" si="0"/>
        <v>4.584262041914882E-2</v>
      </c>
      <c r="H19" s="144" t="s">
        <v>26</v>
      </c>
      <c r="I19" s="142">
        <f>VLOOKUP(H19,'[2]AIUE_22_08_ 2019'!$AD$17:$AE$34,2,0)</f>
        <v>1202386</v>
      </c>
      <c r="J19" s="117">
        <f t="shared" si="1"/>
        <v>1651974</v>
      </c>
      <c r="K19" s="127">
        <f>+J19/E19</f>
        <v>0.57875460698720549</v>
      </c>
      <c r="L19" s="125">
        <f>SUM(I19:J19)</f>
        <v>2854360</v>
      </c>
      <c r="M19" s="143">
        <f>+L19-E19</f>
        <v>0</v>
      </c>
    </row>
    <row r="20" spans="1:13" x14ac:dyDescent="0.25">
      <c r="A20" s="123" t="str">
        <f>Indicadores!A19</f>
        <v>UNIVERSIDAD METROPOLITANA DE CS.DE LA EDUCACIÓN</v>
      </c>
      <c r="B20" s="71" t="s">
        <v>28</v>
      </c>
      <c r="C20" s="72" t="str">
        <f>Indicadores!C19</f>
        <v>CRUCH-ESTATAL</v>
      </c>
      <c r="D20" s="72" t="str">
        <f>Indicadores!D19</f>
        <v>Categoría III</v>
      </c>
      <c r="E20" s="109">
        <f>VLOOKUP($B20,'Montos AIUE 2019'!$B$11:$V$28,21,0)</f>
        <v>2260822</v>
      </c>
      <c r="F20" s="122">
        <f t="shared" si="0"/>
        <v>3.6310067679361006E-2</v>
      </c>
      <c r="H20" s="144" t="s">
        <v>28</v>
      </c>
      <c r="I20" s="142">
        <f>VLOOKUP(H20,'[2]AIUE_22_08_ 2019'!$AD$17:$AE$34,2,0)</f>
        <v>1861409</v>
      </c>
      <c r="J20" s="117">
        <f t="shared" si="1"/>
        <v>399413</v>
      </c>
      <c r="K20" s="127">
        <f>+J20/E20</f>
        <v>0.17666715911292441</v>
      </c>
      <c r="L20" s="125">
        <f>SUM(I20:J20)</f>
        <v>2260822</v>
      </c>
      <c r="M20" s="143">
        <f>+L20-E20</f>
        <v>0</v>
      </c>
    </row>
    <row r="21" spans="1:13" x14ac:dyDescent="0.25">
      <c r="A21" s="123" t="str">
        <f>Indicadores!A20</f>
        <v>UNIVERSIDAD TECNOLÓGICA METROPOLITANA</v>
      </c>
      <c r="B21" s="71" t="s">
        <v>29</v>
      </c>
      <c r="C21" s="72" t="str">
        <f>Indicadores!C20</f>
        <v>CRUCH-ESTATAL</v>
      </c>
      <c r="D21" s="72" t="str">
        <f>Indicadores!D20</f>
        <v>Categoría III</v>
      </c>
      <c r="E21" s="109">
        <f>VLOOKUP($B21,'Montos AIUE 2019'!$B$11:$V$28,21,0)</f>
        <v>1514378</v>
      </c>
      <c r="F21" s="122">
        <f t="shared" si="0"/>
        <v>2.432175893198817E-2</v>
      </c>
      <c r="H21" s="144" t="s">
        <v>29</v>
      </c>
      <c r="I21" s="142">
        <f>VLOOKUP(H21,'[2]AIUE_22_08_ 2019'!$AD$17:$AE$34,2,0)</f>
        <v>809990</v>
      </c>
      <c r="J21" s="117">
        <f t="shared" si="1"/>
        <v>704388</v>
      </c>
      <c r="K21" s="127">
        <f>+J21/E21</f>
        <v>0.46513353997482793</v>
      </c>
      <c r="L21" s="125">
        <f>SUM(I21:J21)</f>
        <v>1514378</v>
      </c>
      <c r="M21" s="143">
        <f>+L21-E21</f>
        <v>0</v>
      </c>
    </row>
    <row r="22" spans="1:13" x14ac:dyDescent="0.25">
      <c r="A22" s="123" t="s">
        <v>136</v>
      </c>
      <c r="B22" s="71" t="s">
        <v>93</v>
      </c>
      <c r="C22" s="72" t="s">
        <v>22</v>
      </c>
      <c r="D22" s="72" t="s">
        <v>96</v>
      </c>
      <c r="E22" s="109">
        <f>VLOOKUP($B22,'Montos AIUE 2019'!$B$11:$V$28,21,0)</f>
        <v>1359138</v>
      </c>
      <c r="F22" s="122">
        <f t="shared" si="0"/>
        <v>2.1828517577054431E-2</v>
      </c>
      <c r="H22" s="144" t="s">
        <v>93</v>
      </c>
      <c r="I22" s="142">
        <f>VLOOKUP(H22,'[2]AIUE_22_08_ 2019'!$AD$17:$AE$34,2,0)</f>
        <v>658311</v>
      </c>
      <c r="J22" s="117">
        <f t="shared" si="1"/>
        <v>700827</v>
      </c>
      <c r="K22" s="127">
        <f>+J22/E22</f>
        <v>0.51564079585737432</v>
      </c>
      <c r="L22" s="125">
        <f>SUM(I22:J22)</f>
        <v>1359138</v>
      </c>
      <c r="M22" s="143">
        <f>+L22-E22</f>
        <v>0</v>
      </c>
    </row>
    <row r="23" spans="1:13" ht="15.75" thickBot="1" x14ac:dyDescent="0.3">
      <c r="A23" s="124" t="s">
        <v>137</v>
      </c>
      <c r="B23" s="81" t="s">
        <v>95</v>
      </c>
      <c r="C23" s="82" t="s">
        <v>22</v>
      </c>
      <c r="D23" s="82" t="s">
        <v>96</v>
      </c>
      <c r="E23" s="109">
        <f>VLOOKUP($B23,'Montos AIUE 2019'!$B$11:$V$28,21,0)</f>
        <v>940990</v>
      </c>
      <c r="F23" s="122">
        <f t="shared" si="0"/>
        <v>1.5112826478865611E-2</v>
      </c>
      <c r="H23" s="144" t="s">
        <v>95</v>
      </c>
      <c r="I23" s="142">
        <f>VLOOKUP(H23,'[2]AIUE_22_08_ 2019'!$AD$17:$AE$34,2,0)</f>
        <v>414129</v>
      </c>
      <c r="J23" s="117">
        <f t="shared" si="1"/>
        <v>526861</v>
      </c>
      <c r="K23" s="127">
        <f>+J23/E23</f>
        <v>0.55990074283467417</v>
      </c>
      <c r="L23" s="125">
        <f>SUM(I23:J23)</f>
        <v>940990</v>
      </c>
      <c r="M23" s="143">
        <f>+L23-E23</f>
        <v>0</v>
      </c>
    </row>
    <row r="24" spans="1:13" ht="15.75" thickBot="1" x14ac:dyDescent="0.3">
      <c r="A24" s="83" t="s">
        <v>227</v>
      </c>
      <c r="B24" s="84"/>
      <c r="C24" s="85"/>
      <c r="D24" s="85"/>
      <c r="E24" s="111">
        <f>SUM(E6:E23)</f>
        <v>62264329</v>
      </c>
      <c r="F24" s="93">
        <f>SUM(F6:F23)</f>
        <v>0.99999999999999989</v>
      </c>
      <c r="H24" s="145" t="s">
        <v>225</v>
      </c>
      <c r="I24" s="125">
        <f>SUM(I6:I23)</f>
        <v>31132166</v>
      </c>
      <c r="J24" s="117">
        <f>SUM(J6:J23)</f>
        <v>31132163</v>
      </c>
      <c r="K24" s="125"/>
      <c r="L24" s="125">
        <f>SUM(L6:L23)</f>
        <v>62264329</v>
      </c>
    </row>
    <row r="25" spans="1:13" x14ac:dyDescent="0.25">
      <c r="J25" s="146">
        <f>SUM(I24:J24)</f>
        <v>62264329</v>
      </c>
    </row>
    <row r="26" spans="1:13" x14ac:dyDescent="0.25">
      <c r="J26" s="146">
        <f>+B28-J25</f>
        <v>2641953</v>
      </c>
    </row>
    <row r="27" spans="1:13" x14ac:dyDescent="0.25">
      <c r="A27" s="106" t="s">
        <v>226</v>
      </c>
      <c r="B27" s="106" t="s">
        <v>170</v>
      </c>
    </row>
    <row r="28" spans="1:13" x14ac:dyDescent="0.25">
      <c r="A28" s="41" t="s">
        <v>227</v>
      </c>
      <c r="B28" s="21">
        <v>64906282</v>
      </c>
    </row>
    <row r="29" spans="1:13" x14ac:dyDescent="0.25">
      <c r="A29" s="41" t="s">
        <v>237</v>
      </c>
      <c r="B29" s="21">
        <v>2641950</v>
      </c>
    </row>
    <row r="30" spans="1:13" x14ac:dyDescent="0.25">
      <c r="A30" s="41" t="s">
        <v>235</v>
      </c>
      <c r="B30" s="21">
        <f>+B28-2641950</f>
        <v>62264332</v>
      </c>
    </row>
    <row r="31" spans="1:13" x14ac:dyDescent="0.25">
      <c r="A31" s="41" t="s">
        <v>236</v>
      </c>
      <c r="B31" s="21">
        <f>B30*0.5</f>
        <v>31132166</v>
      </c>
    </row>
    <row r="32" spans="1:13" x14ac:dyDescent="0.25">
      <c r="B32" s="18"/>
    </row>
    <row r="33" spans="2:2" x14ac:dyDescent="0.25">
      <c r="B33" s="18"/>
    </row>
  </sheetData>
  <pageMargins left="0.70866141732283472" right="0.70866141732283472" top="0.74803149606299213" bottom="0.74803149606299213" header="0.31496062992125984" footer="0.31496062992125984"/>
  <pageSetup paperSize="14" scale="74" orientation="landscape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topLeftCell="A7" workbookViewId="0">
      <selection activeCell="B32" sqref="B32"/>
    </sheetView>
  </sheetViews>
  <sheetFormatPr baseColWidth="10" defaultRowHeight="15" x14ac:dyDescent="0.25"/>
  <cols>
    <col min="1" max="1" width="47" customWidth="1"/>
    <col min="2" max="2" width="14.140625" customWidth="1"/>
    <col min="3" max="3" width="11.28515625" customWidth="1"/>
    <col min="4" max="4" width="14.42578125" customWidth="1"/>
    <col min="5" max="5" width="12.28515625" customWidth="1"/>
    <col min="6" max="12" width="6" customWidth="1"/>
    <col min="13" max="13" width="8.140625" customWidth="1"/>
    <col min="14" max="21" width="6.28515625" customWidth="1"/>
    <col min="22" max="27" width="11.28515625" customWidth="1"/>
    <col min="28" max="28" width="23.42578125" bestFit="1" customWidth="1"/>
  </cols>
  <sheetData>
    <row r="1" spans="1:28" x14ac:dyDescent="0.25">
      <c r="A1" s="17" t="s">
        <v>174</v>
      </c>
    </row>
    <row r="2" spans="1:28" x14ac:dyDescent="0.2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</row>
    <row r="3" spans="1:28" s="116" customFormat="1" ht="25.5" customHeight="1" x14ac:dyDescent="0.25">
      <c r="D3" s="166" t="s">
        <v>143</v>
      </c>
      <c r="E3" s="166"/>
      <c r="F3" s="166"/>
      <c r="G3" s="166"/>
      <c r="H3" s="166"/>
      <c r="I3" s="166"/>
      <c r="J3" s="166"/>
      <c r="K3" s="166"/>
      <c r="L3" s="166"/>
      <c r="M3" s="166"/>
      <c r="N3" s="166" t="s">
        <v>144</v>
      </c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9" t="s">
        <v>207</v>
      </c>
    </row>
    <row r="4" spans="1:28" ht="39" customHeight="1" x14ac:dyDescent="0.25">
      <c r="A4" s="23" t="s">
        <v>11</v>
      </c>
      <c r="B4" s="23" t="s">
        <v>1</v>
      </c>
      <c r="C4" s="23" t="s">
        <v>21</v>
      </c>
      <c r="D4" s="129">
        <v>2</v>
      </c>
      <c r="E4" s="129">
        <v>3</v>
      </c>
      <c r="F4" s="129">
        <v>4</v>
      </c>
      <c r="G4" s="129">
        <v>5</v>
      </c>
      <c r="H4" s="129">
        <v>6</v>
      </c>
      <c r="I4" s="129">
        <v>7</v>
      </c>
      <c r="J4" s="129">
        <v>8</v>
      </c>
      <c r="K4" s="129">
        <v>9</v>
      </c>
      <c r="L4" s="129">
        <v>10</v>
      </c>
      <c r="M4" s="130" t="s">
        <v>37</v>
      </c>
      <c r="N4" s="129">
        <v>2</v>
      </c>
      <c r="O4" s="129">
        <v>3</v>
      </c>
      <c r="P4" s="129">
        <v>4</v>
      </c>
      <c r="Q4" s="129">
        <v>5</v>
      </c>
      <c r="R4" s="129">
        <v>6</v>
      </c>
      <c r="S4" s="129">
        <v>7</v>
      </c>
      <c r="T4" s="129">
        <v>8</v>
      </c>
      <c r="U4" s="129">
        <v>9</v>
      </c>
      <c r="V4" s="130" t="s">
        <v>145</v>
      </c>
      <c r="W4" s="130" t="s">
        <v>146</v>
      </c>
      <c r="X4" s="130" t="s">
        <v>149</v>
      </c>
      <c r="Y4" s="130" t="s">
        <v>38</v>
      </c>
      <c r="Z4" s="170"/>
      <c r="AA4" s="23" t="s">
        <v>39</v>
      </c>
      <c r="AB4" s="23" t="s">
        <v>70</v>
      </c>
    </row>
    <row r="5" spans="1:28" x14ac:dyDescent="0.25">
      <c r="A5" s="1" t="s">
        <v>12</v>
      </c>
      <c r="B5" s="1" t="s">
        <v>2</v>
      </c>
      <c r="C5" s="3" t="s">
        <v>22</v>
      </c>
      <c r="D5" s="1">
        <v>0</v>
      </c>
      <c r="E5" s="1">
        <f>IFERROR(VLOOKUP(B5,'[3]Acreditación Doctorados'!$D$6:$J$16,2,0),0)</f>
        <v>0</v>
      </c>
      <c r="F5" s="1">
        <f>IFERROR(VLOOKUP(B5,'[3]Acreditación Doctorados'!$D$6:$J$16,3,0),0)</f>
        <v>0</v>
      </c>
      <c r="G5" s="1">
        <f>IFERROR(VLOOKUP(B5,'[3]Acreditación Doctorados'!$D$6:$J$16,4,0),0)</f>
        <v>0</v>
      </c>
      <c r="H5" s="1">
        <f>IFERROR(VLOOKUP(B5,'[3]Acreditación Doctorados'!$D$6:$J$16,5,0),0)</f>
        <v>2</v>
      </c>
      <c r="I5" s="1">
        <v>0</v>
      </c>
      <c r="J5" s="1">
        <v>0</v>
      </c>
      <c r="K5" s="1">
        <f>IFERROR(VLOOKUP(B5,'[3]Acreditación Doctorados'!$D$6:$J$16,6,0),0)</f>
        <v>1</v>
      </c>
      <c r="L5" s="1">
        <v>0</v>
      </c>
      <c r="M5" s="8">
        <f>SUM(D5:L5)</f>
        <v>3</v>
      </c>
      <c r="N5" s="1">
        <f>IFERROR(VLOOKUP(B5,'[3]Acreditación Doctorados'!$D$6:$S$16,9,0),0)</f>
        <v>3</v>
      </c>
      <c r="O5" s="1">
        <f>IFERROR(VLOOKUP(B5,'[3]Acreditación Doctorados'!$D$6:$S$16,10,0),0)</f>
        <v>7</v>
      </c>
      <c r="P5" s="1">
        <f>IFERROR(VLOOKUP(B5,'[3]Acreditación Doctorados'!$D$6:$S$16,11,0),0)</f>
        <v>6</v>
      </c>
      <c r="Q5" s="1">
        <f>IFERROR(VLOOKUP(B5,'[3]Acreditación Doctorados'!$D$6:$S$16,12,0),0)</f>
        <v>3</v>
      </c>
      <c r="R5" s="1">
        <f>IFERROR(VLOOKUP(B5,'[3]Acreditación Doctorados'!$D$6:$S$16,13,0),0)</f>
        <v>4</v>
      </c>
      <c r="S5" s="1">
        <f>IFERROR(VLOOKUP(B5,'[3]Acreditación Doctorados'!$D$6:$S$16,14,0),0)</f>
        <v>6</v>
      </c>
      <c r="T5" s="1">
        <f>IFERROR(VLOOKUP(B5,'[3]Acreditación Doctorados'!$D$6:$S$16,15,0),0)</f>
        <v>4</v>
      </c>
      <c r="U5" s="1">
        <f>IFERROR(VLOOKUP(B5,'[3]Acreditación Doctorados'!$D$6:$S$16,16,0),0)</f>
        <v>1</v>
      </c>
      <c r="V5" s="8">
        <f>SUM(N5:U5)</f>
        <v>34</v>
      </c>
      <c r="W5" s="8">
        <f>M5+V5</f>
        <v>37</v>
      </c>
      <c r="X5" s="8">
        <f>SUM(G5:L5)</f>
        <v>3</v>
      </c>
      <c r="Y5" s="8">
        <f>V5+X5</f>
        <v>37</v>
      </c>
      <c r="Z5" s="1">
        <f>IFERROR(VLOOKUP(B5,[4]SCOPUS!$C$7:$M$33,10,0),0)</f>
        <v>2693</v>
      </c>
      <c r="AA5" s="1" t="str">
        <f>IF(AND(Y5&gt;=10,Z5&gt;=300),"Categoría I",IF(AND(Y5&gt;=1,Z5&gt;=100),"Categoría II","Categoría III"))</f>
        <v>Categoría I</v>
      </c>
      <c r="AB5" s="1" t="str">
        <f t="shared" ref="AB5:AB22" si="0">CONCATENATE(C5,AA5)</f>
        <v>CRUCH-ESTATALCategoría I</v>
      </c>
    </row>
    <row r="6" spans="1:28" x14ac:dyDescent="0.25">
      <c r="A6" s="1" t="s">
        <v>13</v>
      </c>
      <c r="B6" s="1" t="s">
        <v>3</v>
      </c>
      <c r="C6" s="3" t="s">
        <v>22</v>
      </c>
      <c r="D6" s="1">
        <v>0</v>
      </c>
      <c r="E6" s="1">
        <f>IFERROR(VLOOKUP(B6,'[3]Acreditación Doctorados'!$D$6:$J$16,2,0),0)</f>
        <v>0</v>
      </c>
      <c r="F6" s="1">
        <f>IFERROR(VLOOKUP(B6,'[3]Acreditación Doctorados'!$D$6:$J$16,3,0),0)</f>
        <v>0</v>
      </c>
      <c r="G6" s="1">
        <f>IFERROR(VLOOKUP(B6,'[3]Acreditación Doctorados'!$D$6:$J$16,4,0),0)</f>
        <v>0</v>
      </c>
      <c r="H6" s="1">
        <f>IFERROR(VLOOKUP(B6,'[3]Acreditación Doctorados'!$D$6:$J$16,5,0),0)</f>
        <v>0</v>
      </c>
      <c r="I6" s="1">
        <v>0</v>
      </c>
      <c r="J6" s="1">
        <v>0</v>
      </c>
      <c r="K6" s="1">
        <f>IFERROR(VLOOKUP(B6,'[3]Acreditación Doctorados'!$D$6:$J$16,6,0),0)</f>
        <v>1</v>
      </c>
      <c r="L6" s="1">
        <v>0</v>
      </c>
      <c r="M6" s="8">
        <f t="shared" ref="M6:M20" si="1">SUM(D6:L6)</f>
        <v>1</v>
      </c>
      <c r="N6" s="1">
        <f>IFERROR(VLOOKUP(B6,'[3]Acreditación Doctorados'!$D$6:$S$16,9,0),0)</f>
        <v>1</v>
      </c>
      <c r="O6" s="1">
        <f>IFERROR(VLOOKUP(B6,'[3]Acreditación Doctorados'!$D$6:$S$16,10,0),0)</f>
        <v>4</v>
      </c>
      <c r="P6" s="1">
        <f>IFERROR(VLOOKUP(B6,'[3]Acreditación Doctorados'!$D$6:$S$16,11,0),0)</f>
        <v>0</v>
      </c>
      <c r="Q6" s="1">
        <f>IFERROR(VLOOKUP(B6,'[3]Acreditación Doctorados'!$D$6:$S$16,12,0),0)</f>
        <v>1</v>
      </c>
      <c r="R6" s="1">
        <f>IFERROR(VLOOKUP(B6,'[3]Acreditación Doctorados'!$D$6:$S$16,13,0),0)</f>
        <v>3</v>
      </c>
      <c r="S6" s="1">
        <f>IFERROR(VLOOKUP(B6,'[3]Acreditación Doctorados'!$D$6:$S$16,14,0),0)</f>
        <v>1</v>
      </c>
      <c r="T6" s="1">
        <f>IFERROR(VLOOKUP(B6,'[3]Acreditación Doctorados'!$D$6:$S$16,15,0),0)</f>
        <v>0</v>
      </c>
      <c r="U6" s="1">
        <f>IFERROR(VLOOKUP(B6,'[3]Acreditación Doctorados'!$D$6:$S$16,16,0),0)</f>
        <v>1</v>
      </c>
      <c r="V6" s="8">
        <f t="shared" ref="V6:V20" si="2">SUM(N6:U6)</f>
        <v>11</v>
      </c>
      <c r="W6" s="8">
        <f t="shared" ref="W6:W20" si="3">M6+V6</f>
        <v>12</v>
      </c>
      <c r="X6" s="8">
        <f t="shared" ref="X6:X20" si="4">SUM(G6:L6)</f>
        <v>1</v>
      </c>
      <c r="Y6" s="8">
        <f t="shared" ref="Y6:Y20" si="5">V6+X6</f>
        <v>12</v>
      </c>
      <c r="Z6" s="1">
        <f>IFERROR(VLOOKUP(B6,[4]SCOPUS!$C$7:$M$33,10,0),0)</f>
        <v>688</v>
      </c>
      <c r="AA6" s="1" t="str">
        <f t="shared" ref="AA6:AA22" si="6">IF(AND(Y6&gt;=10,Z6&gt;=300),"Categoría I",IF(AND(Y6&gt;=1,Z6&gt;=100),"Categoría II","Categoría III"))</f>
        <v>Categoría I</v>
      </c>
      <c r="AB6" s="1" t="str">
        <f t="shared" si="0"/>
        <v>CRUCH-ESTATALCategoría I</v>
      </c>
    </row>
    <row r="7" spans="1:28" x14ac:dyDescent="0.25">
      <c r="A7" s="1" t="s">
        <v>19</v>
      </c>
      <c r="B7" s="1" t="s">
        <v>9</v>
      </c>
      <c r="C7" s="3" t="s">
        <v>22</v>
      </c>
      <c r="D7" s="1">
        <v>0</v>
      </c>
      <c r="E7" s="1">
        <f>IFERROR(VLOOKUP(B7,'[3]Acreditación Doctorados'!$D$6:$J$16,2,0),0)</f>
        <v>0</v>
      </c>
      <c r="F7" s="1">
        <f>IFERROR(VLOOKUP(B7,'[3]Acreditación Doctorados'!$D$6:$J$16,3,0),0)</f>
        <v>0</v>
      </c>
      <c r="G7" s="1">
        <f>IFERROR(VLOOKUP(B7,'[3]Acreditación Doctorados'!$D$6:$J$16,4,0),0)</f>
        <v>0</v>
      </c>
      <c r="H7" s="1">
        <f>IFERROR(VLOOKUP(B7,'[3]Acreditación Doctorados'!$D$6:$J$16,5,0),0)</f>
        <v>0</v>
      </c>
      <c r="I7" s="1">
        <v>0</v>
      </c>
      <c r="J7" s="1">
        <v>0</v>
      </c>
      <c r="K7" s="1">
        <f>IFERROR(VLOOKUP(B7,'[3]Acreditación Doctorados'!$D$6:$J$16,6,0),0)</f>
        <v>0</v>
      </c>
      <c r="L7" s="1">
        <v>0</v>
      </c>
      <c r="M7" s="8">
        <f t="shared" si="1"/>
        <v>0</v>
      </c>
      <c r="N7" s="1">
        <f>IFERROR(VLOOKUP(B7,'[3]Acreditación Doctorados'!$D$6:$S$16,9,0),0)</f>
        <v>2</v>
      </c>
      <c r="O7" s="1">
        <f>IFERROR(VLOOKUP(B7,'[3]Acreditación Doctorados'!$D$6:$S$16,10,0),0)</f>
        <v>0</v>
      </c>
      <c r="P7" s="1">
        <f>IFERROR(VLOOKUP(B7,'[3]Acreditación Doctorados'!$D$6:$S$16,11,0),0)</f>
        <v>0</v>
      </c>
      <c r="Q7" s="1">
        <f>IFERROR(VLOOKUP(B7,'[3]Acreditación Doctorados'!$D$6:$S$16,12,0),0)</f>
        <v>0</v>
      </c>
      <c r="R7" s="1">
        <f>IFERROR(VLOOKUP(B7,'[3]Acreditación Doctorados'!$D$6:$S$16,13,0),0)</f>
        <v>1</v>
      </c>
      <c r="S7" s="1">
        <f>IFERROR(VLOOKUP(B7,'[3]Acreditación Doctorados'!$D$6:$S$16,14,0),0)</f>
        <v>0</v>
      </c>
      <c r="T7" s="1">
        <f>IFERROR(VLOOKUP(B7,'[3]Acreditación Doctorados'!$D$6:$S$16,15,0),0)</f>
        <v>0</v>
      </c>
      <c r="U7" s="1">
        <f>IFERROR(VLOOKUP(B7,'[3]Acreditación Doctorados'!$D$6:$S$16,16,0),0)</f>
        <v>0</v>
      </c>
      <c r="V7" s="8">
        <f t="shared" si="2"/>
        <v>3</v>
      </c>
      <c r="W7" s="8">
        <f t="shared" si="3"/>
        <v>3</v>
      </c>
      <c r="X7" s="8">
        <f t="shared" si="4"/>
        <v>0</v>
      </c>
      <c r="Y7" s="8">
        <f t="shared" si="5"/>
        <v>3</v>
      </c>
      <c r="Z7" s="1">
        <f>IFERROR(VLOOKUP(B7,[4]SCOPUS!$C$7:$M$33,10,0),0)</f>
        <v>207</v>
      </c>
      <c r="AA7" s="1" t="str">
        <f t="shared" si="6"/>
        <v>Categoría II</v>
      </c>
      <c r="AB7" s="1" t="str">
        <f t="shared" si="0"/>
        <v>CRUCH-ESTATALCategoría II</v>
      </c>
    </row>
    <row r="8" spans="1:28" x14ac:dyDescent="0.25">
      <c r="A8" s="1" t="s">
        <v>16</v>
      </c>
      <c r="B8" s="1" t="s">
        <v>6</v>
      </c>
      <c r="C8" s="3" t="s">
        <v>22</v>
      </c>
      <c r="D8" s="1">
        <v>0</v>
      </c>
      <c r="E8" s="1">
        <f>IFERROR(VLOOKUP(B8,'[3]Acreditación Doctorados'!$D$6:$J$16,2,0),0)</f>
        <v>0</v>
      </c>
      <c r="F8" s="1">
        <f>IFERROR(VLOOKUP(B8,'[3]Acreditación Doctorados'!$D$6:$J$16,3,0),0)</f>
        <v>0</v>
      </c>
      <c r="G8" s="1">
        <f>IFERROR(VLOOKUP(B8,'[3]Acreditación Doctorados'!$D$6:$J$16,4,0),0)</f>
        <v>0</v>
      </c>
      <c r="H8" s="1">
        <f>IFERROR(VLOOKUP(B8,'[3]Acreditación Doctorados'!$D$6:$J$16,5,0),0)</f>
        <v>0</v>
      </c>
      <c r="I8" s="1">
        <v>0</v>
      </c>
      <c r="J8" s="1">
        <v>0</v>
      </c>
      <c r="K8" s="1">
        <f>IFERROR(VLOOKUP(B8,'[3]Acreditación Doctorados'!$D$6:$J$16,6,0),0)</f>
        <v>0</v>
      </c>
      <c r="L8" s="1">
        <v>0</v>
      </c>
      <c r="M8" s="8">
        <f t="shared" si="1"/>
        <v>0</v>
      </c>
      <c r="N8" s="1">
        <f>IFERROR(VLOOKUP(B8,'[3]Acreditación Doctorados'!$D$6:$S$16,9,0),0)</f>
        <v>2</v>
      </c>
      <c r="O8" s="1">
        <f>IFERROR(VLOOKUP(B8,'[3]Acreditación Doctorados'!$D$6:$S$16,10,0),0)</f>
        <v>4</v>
      </c>
      <c r="P8" s="1">
        <f>IFERROR(VLOOKUP(B8,'[3]Acreditación Doctorados'!$D$6:$S$16,11,0),0)</f>
        <v>1</v>
      </c>
      <c r="Q8" s="1">
        <f>IFERROR(VLOOKUP(B8,'[3]Acreditación Doctorados'!$D$6:$S$16,12,0),0)</f>
        <v>0</v>
      </c>
      <c r="R8" s="1">
        <f>IFERROR(VLOOKUP(B8,'[3]Acreditación Doctorados'!$D$6:$S$16,13,0),0)</f>
        <v>1</v>
      </c>
      <c r="S8" s="1">
        <f>IFERROR(VLOOKUP(B8,'[3]Acreditación Doctorados'!$D$6:$S$16,14,0),0)</f>
        <v>0</v>
      </c>
      <c r="T8" s="1">
        <f>IFERROR(VLOOKUP(B8,'[3]Acreditación Doctorados'!$D$6:$S$16,15,0),0)</f>
        <v>1</v>
      </c>
      <c r="U8" s="1">
        <f>IFERROR(VLOOKUP(B8,'[3]Acreditación Doctorados'!$D$6:$S$16,16,0),0)</f>
        <v>0</v>
      </c>
      <c r="V8" s="8">
        <f t="shared" si="2"/>
        <v>9</v>
      </c>
      <c r="W8" s="8">
        <f t="shared" si="3"/>
        <v>9</v>
      </c>
      <c r="X8" s="8">
        <f t="shared" si="4"/>
        <v>0</v>
      </c>
      <c r="Y8" s="8">
        <f t="shared" si="5"/>
        <v>9</v>
      </c>
      <c r="Z8" s="1">
        <f>IFERROR(VLOOKUP(B8,[4]SCOPUS!$C$7:$M$33,10,0),0)</f>
        <v>507</v>
      </c>
      <c r="AA8" s="1" t="str">
        <f t="shared" si="6"/>
        <v>Categoría II</v>
      </c>
      <c r="AB8" s="1" t="str">
        <f t="shared" si="0"/>
        <v>CRUCH-ESTATALCategoría II</v>
      </c>
    </row>
    <row r="9" spans="1:28" x14ac:dyDescent="0.25">
      <c r="A9" s="1" t="s">
        <v>15</v>
      </c>
      <c r="B9" s="1" t="s">
        <v>5</v>
      </c>
      <c r="C9" s="3" t="s">
        <v>22</v>
      </c>
      <c r="D9" s="1">
        <v>0</v>
      </c>
      <c r="E9" s="1">
        <f>IFERROR(VLOOKUP(B9,'[3]Acreditación Doctorados'!$D$6:$J$16,2,0),0)</f>
        <v>0</v>
      </c>
      <c r="F9" s="1">
        <f>IFERROR(VLOOKUP(B9,'[3]Acreditación Doctorados'!$D$6:$J$16,3,0),0)</f>
        <v>0</v>
      </c>
      <c r="G9" s="1">
        <f>IFERROR(VLOOKUP(B9,'[3]Acreditación Doctorados'!$D$6:$J$16,4,0),0)</f>
        <v>0</v>
      </c>
      <c r="H9" s="1">
        <f>IFERROR(VLOOKUP(B9,'[3]Acreditación Doctorados'!$D$6:$J$16,5,0),0)</f>
        <v>0</v>
      </c>
      <c r="I9" s="1">
        <v>0</v>
      </c>
      <c r="J9" s="1">
        <v>0</v>
      </c>
      <c r="K9" s="1">
        <f>IFERROR(VLOOKUP(B9,'[3]Acreditación Doctorados'!$D$6:$J$16,6,0),0)</f>
        <v>0</v>
      </c>
      <c r="L9" s="1">
        <v>0</v>
      </c>
      <c r="M9" s="8">
        <f t="shared" si="1"/>
        <v>0</v>
      </c>
      <c r="N9" s="1">
        <f>IFERROR(VLOOKUP(B9,'[3]Acreditación Doctorados'!$D$6:$S$16,9,0),0)</f>
        <v>0</v>
      </c>
      <c r="O9" s="1">
        <f>IFERROR(VLOOKUP(B9,'[3]Acreditación Doctorados'!$D$6:$S$16,10,0),0)</f>
        <v>4</v>
      </c>
      <c r="P9" s="1">
        <f>IFERROR(VLOOKUP(B9,'[3]Acreditación Doctorados'!$D$6:$S$16,11,0),0)</f>
        <v>0</v>
      </c>
      <c r="Q9" s="1">
        <f>IFERROR(VLOOKUP(B9,'[3]Acreditación Doctorados'!$D$6:$S$16,12,0),0)</f>
        <v>1</v>
      </c>
      <c r="R9" s="1">
        <f>IFERROR(VLOOKUP(B9,'[3]Acreditación Doctorados'!$D$6:$S$16,13,0),0)</f>
        <v>1</v>
      </c>
      <c r="S9" s="1">
        <f>IFERROR(VLOOKUP(B9,'[3]Acreditación Doctorados'!$D$6:$S$16,14,0),0)</f>
        <v>1</v>
      </c>
      <c r="T9" s="1">
        <f>IFERROR(VLOOKUP(B9,'[3]Acreditación Doctorados'!$D$6:$S$16,15,0),0)</f>
        <v>0</v>
      </c>
      <c r="U9" s="1">
        <f>IFERROR(VLOOKUP(B9,'[3]Acreditación Doctorados'!$D$6:$S$16,16,0),0)</f>
        <v>0</v>
      </c>
      <c r="V9" s="8">
        <f t="shared" si="2"/>
        <v>7</v>
      </c>
      <c r="W9" s="8">
        <f t="shared" si="3"/>
        <v>7</v>
      </c>
      <c r="X9" s="8">
        <f t="shared" si="4"/>
        <v>0</v>
      </c>
      <c r="Y9" s="8">
        <f t="shared" si="5"/>
        <v>7</v>
      </c>
      <c r="Z9" s="1">
        <f>IFERROR(VLOOKUP(B9,[4]SCOPUS!$C$7:$M$33,10,0),0)</f>
        <v>414</v>
      </c>
      <c r="AA9" s="1" t="str">
        <f t="shared" si="6"/>
        <v>Categoría II</v>
      </c>
      <c r="AB9" s="1" t="str">
        <f t="shared" si="0"/>
        <v>CRUCH-ESTATALCategoría II</v>
      </c>
    </row>
    <row r="10" spans="1:28" x14ac:dyDescent="0.25">
      <c r="A10" s="1" t="s">
        <v>20</v>
      </c>
      <c r="B10" s="1" t="s">
        <v>10</v>
      </c>
      <c r="C10" s="3" t="s">
        <v>22</v>
      </c>
      <c r="D10" s="1">
        <v>0</v>
      </c>
      <c r="E10" s="1">
        <f>IFERROR(VLOOKUP(B10,'[3]Acreditación Doctorados'!$D$6:$J$16,2,0),0)</f>
        <v>1</v>
      </c>
      <c r="F10" s="1">
        <f>IFERROR(VLOOKUP(B10,'[3]Acreditación Doctorados'!$D$6:$J$16,3,0),0)</f>
        <v>0</v>
      </c>
      <c r="G10" s="1">
        <f>IFERROR(VLOOKUP(B10,'[3]Acreditación Doctorados'!$D$6:$J$16,4,0),0)</f>
        <v>0</v>
      </c>
      <c r="H10" s="1">
        <f>IFERROR(VLOOKUP(B10,'[3]Acreditación Doctorados'!$D$6:$J$16,5,0),0)</f>
        <v>0</v>
      </c>
      <c r="I10" s="1">
        <v>0</v>
      </c>
      <c r="J10" s="1">
        <v>0</v>
      </c>
      <c r="K10" s="1">
        <f>IFERROR(VLOOKUP(B10,'[3]Acreditación Doctorados'!$D$6:$J$16,6,0),0)</f>
        <v>0</v>
      </c>
      <c r="L10" s="1">
        <v>0</v>
      </c>
      <c r="M10" s="8">
        <f t="shared" si="1"/>
        <v>1</v>
      </c>
      <c r="N10" s="1">
        <f>IFERROR(VLOOKUP(B10,'[3]Acreditación Doctorados'!$D$6:$S$16,9,0),0)</f>
        <v>0</v>
      </c>
      <c r="O10" s="1">
        <f>IFERROR(VLOOKUP(B10,'[3]Acreditación Doctorados'!$D$6:$S$16,10,0),0)</f>
        <v>0</v>
      </c>
      <c r="P10" s="1">
        <f>IFERROR(VLOOKUP(B10,'[3]Acreditación Doctorados'!$D$6:$S$16,11,0),0)</f>
        <v>0</v>
      </c>
      <c r="Q10" s="1">
        <f>IFERROR(VLOOKUP(B10,'[3]Acreditación Doctorados'!$D$6:$S$16,12,0),0)</f>
        <v>0</v>
      </c>
      <c r="R10" s="1">
        <f>IFERROR(VLOOKUP(B10,'[3]Acreditación Doctorados'!$D$6:$S$16,13,0),0)</f>
        <v>0</v>
      </c>
      <c r="S10" s="1">
        <f>IFERROR(VLOOKUP(B10,'[3]Acreditación Doctorados'!$D$6:$S$16,14,0),0)</f>
        <v>0</v>
      </c>
      <c r="T10" s="1">
        <f>IFERROR(VLOOKUP(B10,'[3]Acreditación Doctorados'!$D$6:$S$16,15,0),0)</f>
        <v>0</v>
      </c>
      <c r="U10" s="1">
        <f>IFERROR(VLOOKUP(B10,'[3]Acreditación Doctorados'!$D$6:$S$16,16,0),0)</f>
        <v>0</v>
      </c>
      <c r="V10" s="8">
        <f t="shared" si="2"/>
        <v>0</v>
      </c>
      <c r="W10" s="8">
        <f t="shared" si="3"/>
        <v>1</v>
      </c>
      <c r="X10" s="8">
        <f t="shared" si="4"/>
        <v>0</v>
      </c>
      <c r="Y10" s="8">
        <f t="shared" si="5"/>
        <v>0</v>
      </c>
      <c r="Z10" s="1">
        <f>IFERROR(VLOOKUP(B10,[4]SCOPUS!$C$7:$M$33,10,0),0)</f>
        <v>233</v>
      </c>
      <c r="AA10" s="1" t="str">
        <f t="shared" si="6"/>
        <v>Categoría III</v>
      </c>
      <c r="AB10" s="1" t="str">
        <f t="shared" si="0"/>
        <v>CRUCH-ESTATALCategoría III</v>
      </c>
    </row>
    <row r="11" spans="1:28" x14ac:dyDescent="0.25">
      <c r="A11" s="1" t="s">
        <v>14</v>
      </c>
      <c r="B11" s="1" t="s">
        <v>4</v>
      </c>
      <c r="C11" s="3" t="s">
        <v>22</v>
      </c>
      <c r="D11" s="1">
        <v>0</v>
      </c>
      <c r="E11" s="1">
        <f>IFERROR(VLOOKUP(B11,'[3]Acreditación Doctorados'!$D$6:$J$16,2,0),0)</f>
        <v>0</v>
      </c>
      <c r="F11" s="1">
        <f>IFERROR(VLOOKUP(B11,'[3]Acreditación Doctorados'!$D$6:$J$16,3,0),0)</f>
        <v>2</v>
      </c>
      <c r="G11" s="1">
        <f>IFERROR(VLOOKUP(B11,'[3]Acreditación Doctorados'!$D$6:$J$16,4,0),0)</f>
        <v>0</v>
      </c>
      <c r="H11" s="1">
        <f>IFERROR(VLOOKUP(B11,'[3]Acreditación Doctorados'!$D$6:$J$16,5,0),0)</f>
        <v>0</v>
      </c>
      <c r="I11" s="1">
        <v>0</v>
      </c>
      <c r="J11" s="1">
        <v>0</v>
      </c>
      <c r="K11" s="1">
        <f>IFERROR(VLOOKUP(B11,'[3]Acreditación Doctorados'!$D$6:$J$16,6,0),0)</f>
        <v>0</v>
      </c>
      <c r="L11" s="1">
        <v>0</v>
      </c>
      <c r="M11" s="8">
        <f t="shared" si="1"/>
        <v>2</v>
      </c>
      <c r="N11" s="1">
        <f>IFERROR(VLOOKUP(B11,'[3]Acreditación Doctorados'!$D$6:$S$16,9,0),0)</f>
        <v>0</v>
      </c>
      <c r="O11" s="1">
        <f>IFERROR(VLOOKUP(B11,'[3]Acreditación Doctorados'!$D$6:$S$16,10,0),0)</f>
        <v>3</v>
      </c>
      <c r="P11" s="1">
        <f>IFERROR(VLOOKUP(B11,'[3]Acreditación Doctorados'!$D$6:$S$16,11,0),0)</f>
        <v>0</v>
      </c>
      <c r="Q11" s="1">
        <f>IFERROR(VLOOKUP(B11,'[3]Acreditación Doctorados'!$D$6:$S$16,12,0),0)</f>
        <v>1</v>
      </c>
      <c r="R11" s="1">
        <f>IFERROR(VLOOKUP(B11,'[3]Acreditación Doctorados'!$D$6:$S$16,13,0),0)</f>
        <v>0</v>
      </c>
      <c r="S11" s="1">
        <f>IFERROR(VLOOKUP(B11,'[3]Acreditación Doctorados'!$D$6:$S$16,14,0),0)</f>
        <v>2</v>
      </c>
      <c r="T11" s="1">
        <f>IFERROR(VLOOKUP(B11,'[3]Acreditación Doctorados'!$D$6:$S$16,15,0),0)</f>
        <v>0</v>
      </c>
      <c r="U11" s="1">
        <f>IFERROR(VLOOKUP(B11,'[3]Acreditación Doctorados'!$D$6:$S$16,16,0),0)</f>
        <v>0</v>
      </c>
      <c r="V11" s="8">
        <f t="shared" si="2"/>
        <v>6</v>
      </c>
      <c r="W11" s="8">
        <f t="shared" si="3"/>
        <v>8</v>
      </c>
      <c r="X11" s="8">
        <f t="shared" si="4"/>
        <v>0</v>
      </c>
      <c r="Y11" s="8">
        <f t="shared" si="5"/>
        <v>6</v>
      </c>
      <c r="Z11" s="1">
        <f>IFERROR(VLOOKUP(B11,[4]SCOPUS!$C$7:$M$33,10,0),0)</f>
        <v>433</v>
      </c>
      <c r="AA11" s="1" t="str">
        <f t="shared" si="6"/>
        <v>Categoría II</v>
      </c>
      <c r="AB11" s="1" t="str">
        <f t="shared" si="0"/>
        <v>CRUCH-ESTATALCategoría II</v>
      </c>
    </row>
    <row r="12" spans="1:28" x14ac:dyDescent="0.25">
      <c r="A12" s="1" t="s">
        <v>18</v>
      </c>
      <c r="B12" s="1" t="s">
        <v>8</v>
      </c>
      <c r="C12" s="3" t="s">
        <v>22</v>
      </c>
      <c r="D12" s="1">
        <v>0</v>
      </c>
      <c r="E12" s="1">
        <f>IFERROR(VLOOKUP(B12,'[3]Acreditación Doctorados'!$D$6:$J$16,2,0),0)</f>
        <v>1</v>
      </c>
      <c r="F12" s="1">
        <f>IFERROR(VLOOKUP(B12,'[3]Acreditación Doctorados'!$D$6:$J$16,3,0),0)</f>
        <v>0</v>
      </c>
      <c r="G12" s="1">
        <f>IFERROR(VLOOKUP(B12,'[3]Acreditación Doctorados'!$D$6:$J$16,4,0),0)</f>
        <v>0</v>
      </c>
      <c r="H12" s="1">
        <f>IFERROR(VLOOKUP(B12,'[3]Acreditación Doctorados'!$D$6:$J$16,5,0),0)</f>
        <v>0</v>
      </c>
      <c r="I12" s="1">
        <v>0</v>
      </c>
      <c r="J12" s="1">
        <v>0</v>
      </c>
      <c r="K12" s="1">
        <f>IFERROR(VLOOKUP(B12,'[3]Acreditación Doctorados'!$D$6:$J$16,6,0),0)</f>
        <v>0</v>
      </c>
      <c r="L12" s="1">
        <v>0</v>
      </c>
      <c r="M12" s="8">
        <f t="shared" si="1"/>
        <v>1</v>
      </c>
      <c r="N12" s="1">
        <f>IFERROR(VLOOKUP(B12,'[3]Acreditación Doctorados'!$D$6:$S$16,9,0),0)</f>
        <v>0</v>
      </c>
      <c r="O12" s="1">
        <f>IFERROR(VLOOKUP(B12,'[3]Acreditación Doctorados'!$D$6:$S$16,10,0),0)</f>
        <v>1</v>
      </c>
      <c r="P12" s="1">
        <f>IFERROR(VLOOKUP(B12,'[3]Acreditación Doctorados'!$D$6:$S$16,11,0),0)</f>
        <v>1</v>
      </c>
      <c r="Q12" s="1">
        <f>IFERROR(VLOOKUP(B12,'[3]Acreditación Doctorados'!$D$6:$S$16,12,0),0)</f>
        <v>0</v>
      </c>
      <c r="R12" s="1">
        <f>IFERROR(VLOOKUP(B12,'[3]Acreditación Doctorados'!$D$6:$S$16,13,0),0)</f>
        <v>0</v>
      </c>
      <c r="S12" s="1">
        <f>IFERROR(VLOOKUP(B12,'[3]Acreditación Doctorados'!$D$6:$S$16,14,0),0)</f>
        <v>0</v>
      </c>
      <c r="T12" s="1">
        <f>IFERROR(VLOOKUP(B12,'[3]Acreditación Doctorados'!$D$6:$S$16,15,0),0)</f>
        <v>0</v>
      </c>
      <c r="U12" s="1">
        <f>IFERROR(VLOOKUP(B12,'[3]Acreditación Doctorados'!$D$6:$S$16,16,0),0)</f>
        <v>0</v>
      </c>
      <c r="V12" s="8">
        <f t="shared" si="2"/>
        <v>2</v>
      </c>
      <c r="W12" s="8">
        <f t="shared" si="3"/>
        <v>3</v>
      </c>
      <c r="X12" s="8">
        <f t="shared" si="4"/>
        <v>0</v>
      </c>
      <c r="Y12" s="8">
        <f t="shared" si="5"/>
        <v>2</v>
      </c>
      <c r="Z12" s="1">
        <f>IFERROR(VLOOKUP(B12,[4]SCOPUS!$C$7:$M$33,10,0),0)</f>
        <v>253</v>
      </c>
      <c r="AA12" s="1" t="str">
        <f t="shared" si="6"/>
        <v>Categoría II</v>
      </c>
      <c r="AB12" s="1" t="str">
        <f t="shared" si="0"/>
        <v>CRUCH-ESTATALCategoría II</v>
      </c>
    </row>
    <row r="13" spans="1:28" x14ac:dyDescent="0.25">
      <c r="A13" s="1" t="s">
        <v>17</v>
      </c>
      <c r="B13" s="1" t="s">
        <v>7</v>
      </c>
      <c r="C13" s="3" t="s">
        <v>22</v>
      </c>
      <c r="D13" s="1">
        <v>0</v>
      </c>
      <c r="E13" s="1">
        <f>IFERROR(VLOOKUP(B13,'[3]Acreditación Doctorados'!$D$6:$J$16,2,0),0)</f>
        <v>0</v>
      </c>
      <c r="F13" s="1">
        <f>IFERROR(VLOOKUP(B13,'[3]Acreditación Doctorados'!$D$6:$J$16,3,0),0)</f>
        <v>0</v>
      </c>
      <c r="G13" s="1">
        <f>IFERROR(VLOOKUP(B13,'[3]Acreditación Doctorados'!$D$6:$J$16,4,0),0)</f>
        <v>1</v>
      </c>
      <c r="H13" s="1">
        <f>IFERROR(VLOOKUP(B13,'[3]Acreditación Doctorados'!$D$6:$J$16,5,0),0)</f>
        <v>0</v>
      </c>
      <c r="I13" s="1">
        <v>0</v>
      </c>
      <c r="J13" s="1">
        <v>0</v>
      </c>
      <c r="K13" s="1">
        <f>IFERROR(VLOOKUP(B13,'[3]Acreditación Doctorados'!$D$6:$J$16,6,0),0)</f>
        <v>0</v>
      </c>
      <c r="L13" s="1">
        <v>0</v>
      </c>
      <c r="M13" s="8">
        <f t="shared" si="1"/>
        <v>1</v>
      </c>
      <c r="N13" s="1">
        <f>IFERROR(VLOOKUP(B13,'[3]Acreditación Doctorados'!$D$6:$S$16,9,0),0)</f>
        <v>3</v>
      </c>
      <c r="O13" s="1">
        <f>IFERROR(VLOOKUP(B13,'[3]Acreditación Doctorados'!$D$6:$S$16,10,0),0)</f>
        <v>0</v>
      </c>
      <c r="P13" s="1">
        <f>IFERROR(VLOOKUP(B13,'[3]Acreditación Doctorados'!$D$6:$S$16,11,0),0)</f>
        <v>0</v>
      </c>
      <c r="Q13" s="1">
        <f>IFERROR(VLOOKUP(B13,'[3]Acreditación Doctorados'!$D$6:$S$16,12,0),0)</f>
        <v>0</v>
      </c>
      <c r="R13" s="1">
        <f>IFERROR(VLOOKUP(B13,'[3]Acreditación Doctorados'!$D$6:$S$16,13,0),0)</f>
        <v>0</v>
      </c>
      <c r="S13" s="1">
        <f>IFERROR(VLOOKUP(B13,'[3]Acreditación Doctorados'!$D$6:$S$16,14,0),0)</f>
        <v>0</v>
      </c>
      <c r="T13" s="1">
        <f>IFERROR(VLOOKUP(B13,'[3]Acreditación Doctorados'!$D$6:$S$16,15,0),0)</f>
        <v>0</v>
      </c>
      <c r="U13" s="1">
        <f>IFERROR(VLOOKUP(B13,'[3]Acreditación Doctorados'!$D$6:$S$16,16,0),0)</f>
        <v>0</v>
      </c>
      <c r="V13" s="8">
        <f t="shared" si="2"/>
        <v>3</v>
      </c>
      <c r="W13" s="8">
        <f t="shared" si="3"/>
        <v>4</v>
      </c>
      <c r="X13" s="8">
        <f t="shared" si="4"/>
        <v>1</v>
      </c>
      <c r="Y13" s="8">
        <f t="shared" si="5"/>
        <v>4</v>
      </c>
      <c r="Z13" s="1">
        <f>IFERROR(VLOOKUP(B13,[4]SCOPUS!$C$7:$M$33,10,0),0)</f>
        <v>173</v>
      </c>
      <c r="AA13" s="1" t="str">
        <f t="shared" si="6"/>
        <v>Categoría II</v>
      </c>
      <c r="AB13" s="1" t="str">
        <f t="shared" si="0"/>
        <v>CRUCH-ESTATALCategoría II</v>
      </c>
    </row>
    <row r="14" spans="1:28" x14ac:dyDescent="0.25">
      <c r="A14" s="1" t="s">
        <v>34</v>
      </c>
      <c r="B14" s="1" t="s">
        <v>27</v>
      </c>
      <c r="C14" s="3" t="s">
        <v>22</v>
      </c>
      <c r="D14" s="1">
        <v>0</v>
      </c>
      <c r="E14" s="1">
        <f>IFERROR(VLOOKUP(B14,'[3]Acreditación Doctorados'!$D$6:$J$16,2,0),0)</f>
        <v>0</v>
      </c>
      <c r="F14" s="1">
        <f>IFERROR(VLOOKUP(B14,'[3]Acreditación Doctorados'!$D$6:$J$16,3,0),0)</f>
        <v>0</v>
      </c>
      <c r="G14" s="1">
        <f>IFERROR(VLOOKUP(B14,'[3]Acreditación Doctorados'!$D$6:$J$16,4,0),0)</f>
        <v>0</v>
      </c>
      <c r="H14" s="1">
        <f>IFERROR(VLOOKUP(B14,'[3]Acreditación Doctorados'!$D$6:$J$16,5,0),0)</f>
        <v>0</v>
      </c>
      <c r="I14" s="1">
        <v>0</v>
      </c>
      <c r="J14" s="1">
        <v>0</v>
      </c>
      <c r="K14" s="1">
        <f>IFERROR(VLOOKUP(B14,'[3]Acreditación Doctorados'!$D$6:$J$16,6,0),0)</f>
        <v>0</v>
      </c>
      <c r="L14" s="1">
        <v>0</v>
      </c>
      <c r="M14" s="8">
        <f t="shared" si="1"/>
        <v>0</v>
      </c>
      <c r="N14" s="1">
        <f>IFERROR(VLOOKUP(B14,'[3]Acreditación Doctorados'!$D$6:$S$16,9,0),0)</f>
        <v>0</v>
      </c>
      <c r="O14" s="1">
        <f>IFERROR(VLOOKUP(B14,'[3]Acreditación Doctorados'!$D$6:$S$16,10,0),0)</f>
        <v>0</v>
      </c>
      <c r="P14" s="1">
        <f>IFERROR(VLOOKUP(B14,'[3]Acreditación Doctorados'!$D$6:$S$16,11,0),0)</f>
        <v>0</v>
      </c>
      <c r="Q14" s="1">
        <f>IFERROR(VLOOKUP(B14,'[3]Acreditación Doctorados'!$D$6:$S$16,12,0),0)</f>
        <v>0</v>
      </c>
      <c r="R14" s="1">
        <f>IFERROR(VLOOKUP(B14,'[3]Acreditación Doctorados'!$D$6:$S$16,13,0),0)</f>
        <v>0</v>
      </c>
      <c r="S14" s="1">
        <f>IFERROR(VLOOKUP(B14,'[3]Acreditación Doctorados'!$D$6:$S$16,14,0),0)</f>
        <v>0</v>
      </c>
      <c r="T14" s="1">
        <f>IFERROR(VLOOKUP(B14,'[3]Acreditación Doctorados'!$D$6:$S$16,15,0),0)</f>
        <v>0</v>
      </c>
      <c r="U14" s="1">
        <f>IFERROR(VLOOKUP(B14,'[3]Acreditación Doctorados'!$D$6:$S$16,16,0),0)</f>
        <v>0</v>
      </c>
      <c r="V14" s="8">
        <f t="shared" si="2"/>
        <v>0</v>
      </c>
      <c r="W14" s="8">
        <f t="shared" si="3"/>
        <v>0</v>
      </c>
      <c r="X14" s="8">
        <f t="shared" si="4"/>
        <v>0</v>
      </c>
      <c r="Y14" s="8">
        <f t="shared" si="5"/>
        <v>0</v>
      </c>
      <c r="Z14" s="1">
        <f>IFERROR(VLOOKUP(B14,[4]SCOPUS!$C$7:$M$33,10,0),0)</f>
        <v>86</v>
      </c>
      <c r="AA14" s="1" t="str">
        <f t="shared" si="6"/>
        <v>Categoría III</v>
      </c>
      <c r="AB14" s="1" t="str">
        <f t="shared" si="0"/>
        <v>CRUCH-ESTATALCategoría III</v>
      </c>
    </row>
    <row r="15" spans="1:28" x14ac:dyDescent="0.25">
      <c r="A15" s="1" t="s">
        <v>30</v>
      </c>
      <c r="B15" s="1" t="s">
        <v>23</v>
      </c>
      <c r="C15" s="3" t="s">
        <v>22</v>
      </c>
      <c r="D15" s="1">
        <v>0</v>
      </c>
      <c r="E15" s="1">
        <f>IFERROR(VLOOKUP(B15,'[3]Acreditación Doctorados'!$D$6:$J$16,2,0),0)</f>
        <v>0</v>
      </c>
      <c r="F15" s="1">
        <f>IFERROR(VLOOKUP(B15,'[3]Acreditación Doctorados'!$D$6:$J$16,3,0),0)</f>
        <v>0</v>
      </c>
      <c r="G15" s="1">
        <f>IFERROR(VLOOKUP(B15,'[3]Acreditación Doctorados'!$D$6:$J$16,4,0),0)</f>
        <v>0</v>
      </c>
      <c r="H15" s="1">
        <f>IFERROR(VLOOKUP(B15,'[3]Acreditación Doctorados'!$D$6:$J$16,5,0),0)</f>
        <v>0</v>
      </c>
      <c r="I15" s="1">
        <v>0</v>
      </c>
      <c r="J15" s="1">
        <v>0</v>
      </c>
      <c r="K15" s="1">
        <f>IFERROR(VLOOKUP(B15,'[3]Acreditación Doctorados'!$D$6:$J$16,6,0),0)</f>
        <v>0</v>
      </c>
      <c r="L15" s="1">
        <v>0</v>
      </c>
      <c r="M15" s="8">
        <f t="shared" si="1"/>
        <v>0</v>
      </c>
      <c r="N15" s="1">
        <f>IFERROR(VLOOKUP(B15,'[3]Acreditación Doctorados'!$D$6:$S$16,9,0),0)</f>
        <v>0</v>
      </c>
      <c r="O15" s="1">
        <f>IFERROR(VLOOKUP(B15,'[3]Acreditación Doctorados'!$D$6:$S$16,10,0),0)</f>
        <v>0</v>
      </c>
      <c r="P15" s="1">
        <f>IFERROR(VLOOKUP(B15,'[3]Acreditación Doctorados'!$D$6:$S$16,11,0),0)</f>
        <v>0</v>
      </c>
      <c r="Q15" s="1">
        <f>IFERROR(VLOOKUP(B15,'[3]Acreditación Doctorados'!$D$6:$S$16,12,0),0)</f>
        <v>0</v>
      </c>
      <c r="R15" s="1">
        <f>IFERROR(VLOOKUP(B15,'[3]Acreditación Doctorados'!$D$6:$S$16,13,0),0)</f>
        <v>0</v>
      </c>
      <c r="S15" s="1">
        <f>IFERROR(VLOOKUP(B15,'[3]Acreditación Doctorados'!$D$6:$S$16,14,0),0)</f>
        <v>0</v>
      </c>
      <c r="T15" s="1">
        <f>IFERROR(VLOOKUP(B15,'[3]Acreditación Doctorados'!$D$6:$S$16,15,0),0)</f>
        <v>0</v>
      </c>
      <c r="U15" s="1">
        <f>IFERROR(VLOOKUP(B15,'[3]Acreditación Doctorados'!$D$6:$S$16,16,0),0)</f>
        <v>0</v>
      </c>
      <c r="V15" s="8">
        <f t="shared" si="2"/>
        <v>0</v>
      </c>
      <c r="W15" s="8">
        <f t="shared" si="3"/>
        <v>0</v>
      </c>
      <c r="X15" s="8">
        <f t="shared" si="4"/>
        <v>0</v>
      </c>
      <c r="Y15" s="8">
        <f t="shared" si="5"/>
        <v>0</v>
      </c>
      <c r="Z15" s="1">
        <f>IFERROR(VLOOKUP(B15,[4]SCOPUS!$C$7:$M$33,10,0),0)</f>
        <v>65</v>
      </c>
      <c r="AA15" s="1" t="str">
        <f t="shared" si="6"/>
        <v>Categoría III</v>
      </c>
      <c r="AB15" s="1" t="str">
        <f t="shared" si="0"/>
        <v>CRUCH-ESTATALCategoría III</v>
      </c>
    </row>
    <row r="16" spans="1:28" x14ac:dyDescent="0.25">
      <c r="A16" s="1" t="s">
        <v>31</v>
      </c>
      <c r="B16" s="1" t="s">
        <v>24</v>
      </c>
      <c r="C16" s="3" t="s">
        <v>22</v>
      </c>
      <c r="D16" s="1">
        <v>0</v>
      </c>
      <c r="E16" s="1">
        <f>IFERROR(VLOOKUP(B16,'[3]Acreditación Doctorados'!$D$6:$J$16,2,0),0)</f>
        <v>0</v>
      </c>
      <c r="F16" s="1">
        <f>IFERROR(VLOOKUP(B16,'[3]Acreditación Doctorados'!$D$6:$J$16,3,0),0)</f>
        <v>0</v>
      </c>
      <c r="G16" s="1">
        <f>IFERROR(VLOOKUP(B16,'[3]Acreditación Doctorados'!$D$6:$J$16,4,0),0)</f>
        <v>0</v>
      </c>
      <c r="H16" s="1">
        <f>IFERROR(VLOOKUP(B16,'[3]Acreditación Doctorados'!$D$6:$J$16,5,0),0)</f>
        <v>0</v>
      </c>
      <c r="I16" s="1">
        <v>0</v>
      </c>
      <c r="J16" s="1">
        <v>0</v>
      </c>
      <c r="K16" s="1">
        <f>IFERROR(VLOOKUP(B16,'[3]Acreditación Doctorados'!$D$6:$J$16,6,0),0)</f>
        <v>0</v>
      </c>
      <c r="L16" s="1">
        <v>0</v>
      </c>
      <c r="M16" s="8">
        <f t="shared" si="1"/>
        <v>0</v>
      </c>
      <c r="N16" s="1">
        <f>IFERROR(VLOOKUP(B16,'[3]Acreditación Doctorados'!$D$6:$S$16,9,0),0)</f>
        <v>0</v>
      </c>
      <c r="O16" s="1">
        <f>IFERROR(VLOOKUP(B16,'[3]Acreditación Doctorados'!$D$6:$S$16,10,0),0)</f>
        <v>0</v>
      </c>
      <c r="P16" s="1">
        <f>IFERROR(VLOOKUP(B16,'[3]Acreditación Doctorados'!$D$6:$S$16,11,0),0)</f>
        <v>0</v>
      </c>
      <c r="Q16" s="1">
        <f>IFERROR(VLOOKUP(B16,'[3]Acreditación Doctorados'!$D$6:$S$16,12,0),0)</f>
        <v>0</v>
      </c>
      <c r="R16" s="1">
        <f>IFERROR(VLOOKUP(B16,'[3]Acreditación Doctorados'!$D$6:$S$16,13,0),0)</f>
        <v>0</v>
      </c>
      <c r="S16" s="1">
        <f>IFERROR(VLOOKUP(B16,'[3]Acreditación Doctorados'!$D$6:$S$16,14,0),0)</f>
        <v>0</v>
      </c>
      <c r="T16" s="1">
        <f>IFERROR(VLOOKUP(B16,'[3]Acreditación Doctorados'!$D$6:$S$16,15,0),0)</f>
        <v>0</v>
      </c>
      <c r="U16" s="1">
        <f>IFERROR(VLOOKUP(B16,'[3]Acreditación Doctorados'!$D$6:$S$16,16,0),0)</f>
        <v>0</v>
      </c>
      <c r="V16" s="8">
        <f t="shared" si="2"/>
        <v>0</v>
      </c>
      <c r="W16" s="8">
        <f t="shared" si="3"/>
        <v>0</v>
      </c>
      <c r="X16" s="8">
        <f t="shared" si="4"/>
        <v>0</v>
      </c>
      <c r="Y16" s="8">
        <f t="shared" si="5"/>
        <v>0</v>
      </c>
      <c r="Z16" s="1">
        <f>IFERROR(VLOOKUP(B16,[4]SCOPUS!$C$7:$M$33,10,0),0)</f>
        <v>93</v>
      </c>
      <c r="AA16" s="1" t="str">
        <f t="shared" si="6"/>
        <v>Categoría III</v>
      </c>
      <c r="AB16" s="1" t="str">
        <f t="shared" si="0"/>
        <v>CRUCH-ESTATALCategoría III</v>
      </c>
    </row>
    <row r="17" spans="1:28" x14ac:dyDescent="0.25">
      <c r="A17" s="1" t="s">
        <v>32</v>
      </c>
      <c r="B17" s="1" t="s">
        <v>25</v>
      </c>
      <c r="C17" s="3" t="s">
        <v>22</v>
      </c>
      <c r="D17" s="1">
        <v>0</v>
      </c>
      <c r="E17" s="1">
        <f>IFERROR(VLOOKUP(B17,'[3]Acreditación Doctorados'!$D$6:$J$16,2,0),0)</f>
        <v>0</v>
      </c>
      <c r="F17" s="1">
        <f>IFERROR(VLOOKUP(B17,'[3]Acreditación Doctorados'!$D$6:$J$16,3,0),0)</f>
        <v>0</v>
      </c>
      <c r="G17" s="1">
        <f>IFERROR(VLOOKUP(B17,'[3]Acreditación Doctorados'!$D$6:$J$16,4,0),0)</f>
        <v>0</v>
      </c>
      <c r="H17" s="1">
        <f>IFERROR(VLOOKUP(B17,'[3]Acreditación Doctorados'!$D$6:$J$16,5,0),0)</f>
        <v>0</v>
      </c>
      <c r="I17" s="1">
        <v>0</v>
      </c>
      <c r="J17" s="1">
        <v>0</v>
      </c>
      <c r="K17" s="1">
        <f>IFERROR(VLOOKUP(B17,'[3]Acreditación Doctorados'!$D$6:$J$16,6,0),0)</f>
        <v>0</v>
      </c>
      <c r="L17" s="1">
        <v>0</v>
      </c>
      <c r="M17" s="8">
        <f t="shared" si="1"/>
        <v>0</v>
      </c>
      <c r="N17" s="1">
        <f>IFERROR(VLOOKUP(B17,'[3]Acreditación Doctorados'!$D$6:$S$16,9,0),0)</f>
        <v>0</v>
      </c>
      <c r="O17" s="1">
        <f>IFERROR(VLOOKUP(B17,'[3]Acreditación Doctorados'!$D$6:$S$16,10,0),0)</f>
        <v>0</v>
      </c>
      <c r="P17" s="1">
        <f>IFERROR(VLOOKUP(B17,'[3]Acreditación Doctorados'!$D$6:$S$16,11,0),0)</f>
        <v>0</v>
      </c>
      <c r="Q17" s="1">
        <f>IFERROR(VLOOKUP(B17,'[3]Acreditación Doctorados'!$D$6:$S$16,12,0),0)</f>
        <v>1</v>
      </c>
      <c r="R17" s="1">
        <f>IFERROR(VLOOKUP(B17,'[3]Acreditación Doctorados'!$D$6:$S$16,13,0),0)</f>
        <v>0</v>
      </c>
      <c r="S17" s="1">
        <f>IFERROR(VLOOKUP(B17,'[3]Acreditación Doctorados'!$D$6:$S$16,14,0),0)</f>
        <v>0</v>
      </c>
      <c r="T17" s="1">
        <f>IFERROR(VLOOKUP(B17,'[3]Acreditación Doctorados'!$D$6:$S$16,15,0),0)</f>
        <v>0</v>
      </c>
      <c r="U17" s="1">
        <f>IFERROR(VLOOKUP(B17,'[3]Acreditación Doctorados'!$D$6:$S$16,16,0),0)</f>
        <v>0</v>
      </c>
      <c r="V17" s="8">
        <f t="shared" si="2"/>
        <v>1</v>
      </c>
      <c r="W17" s="8">
        <f t="shared" si="3"/>
        <v>1</v>
      </c>
      <c r="X17" s="8">
        <f t="shared" si="4"/>
        <v>0</v>
      </c>
      <c r="Y17" s="8">
        <f t="shared" si="5"/>
        <v>1</v>
      </c>
      <c r="Z17" s="1">
        <f>IFERROR(VLOOKUP(B17,[4]SCOPUS!$C$7:$M$33,10,0),0)</f>
        <v>121</v>
      </c>
      <c r="AA17" s="1" t="str">
        <f t="shared" si="6"/>
        <v>Categoría II</v>
      </c>
      <c r="AB17" s="1" t="str">
        <f t="shared" si="0"/>
        <v>CRUCH-ESTATALCategoría II</v>
      </c>
    </row>
    <row r="18" spans="1:28" x14ac:dyDescent="0.25">
      <c r="A18" s="1" t="s">
        <v>33</v>
      </c>
      <c r="B18" s="1" t="s">
        <v>26</v>
      </c>
      <c r="C18" s="3" t="s">
        <v>22</v>
      </c>
      <c r="D18" s="1">
        <v>0</v>
      </c>
      <c r="E18" s="1">
        <f>IFERROR(VLOOKUP(B18,'[3]Acreditación Doctorados'!$D$6:$J$16,2,0),0)</f>
        <v>0</v>
      </c>
      <c r="F18" s="1">
        <f>IFERROR(VLOOKUP(B18,'[3]Acreditación Doctorados'!$D$6:$J$16,3,0),0)</f>
        <v>0</v>
      </c>
      <c r="G18" s="1">
        <f>IFERROR(VLOOKUP(B18,'[3]Acreditación Doctorados'!$D$6:$J$16,4,0),0)</f>
        <v>0</v>
      </c>
      <c r="H18" s="1">
        <f>IFERROR(VLOOKUP(B18,'[3]Acreditación Doctorados'!$D$6:$J$16,5,0),0)</f>
        <v>0</v>
      </c>
      <c r="I18" s="1">
        <v>0</v>
      </c>
      <c r="J18" s="1">
        <v>0</v>
      </c>
      <c r="K18" s="1">
        <f>IFERROR(VLOOKUP(B18,'[3]Acreditación Doctorados'!$D$6:$J$16,6,0),0)</f>
        <v>0</v>
      </c>
      <c r="L18" s="1">
        <v>0</v>
      </c>
      <c r="M18" s="8">
        <f t="shared" si="1"/>
        <v>0</v>
      </c>
      <c r="N18" s="1">
        <f>IFERROR(VLOOKUP(B18,'[3]Acreditación Doctorados'!$D$6:$S$16,9,0),0)</f>
        <v>1</v>
      </c>
      <c r="O18" s="1">
        <f>IFERROR(VLOOKUP(B18,'[3]Acreditación Doctorados'!$D$6:$S$16,10,0),0)</f>
        <v>0</v>
      </c>
      <c r="P18" s="1">
        <f>IFERROR(VLOOKUP(B18,'[3]Acreditación Doctorados'!$D$6:$S$16,11,0),0)</f>
        <v>0</v>
      </c>
      <c r="Q18" s="1">
        <f>IFERROR(VLOOKUP(B18,'[3]Acreditación Doctorados'!$D$6:$S$16,12,0),0)</f>
        <v>0</v>
      </c>
      <c r="R18" s="1">
        <f>IFERROR(VLOOKUP(B18,'[3]Acreditación Doctorados'!$D$6:$S$16,13,0),0)</f>
        <v>0</v>
      </c>
      <c r="S18" s="1">
        <f>IFERROR(VLOOKUP(B18,'[3]Acreditación Doctorados'!$D$6:$S$16,14,0),0)</f>
        <v>0</v>
      </c>
      <c r="T18" s="1">
        <f>IFERROR(VLOOKUP(B18,'[3]Acreditación Doctorados'!$D$6:$S$16,15,0),0)</f>
        <v>0</v>
      </c>
      <c r="U18" s="1">
        <f>IFERROR(VLOOKUP(B18,'[3]Acreditación Doctorados'!$D$6:$S$16,16,0),0)</f>
        <v>0</v>
      </c>
      <c r="V18" s="8">
        <f t="shared" si="2"/>
        <v>1</v>
      </c>
      <c r="W18" s="8">
        <f t="shared" si="3"/>
        <v>1</v>
      </c>
      <c r="X18" s="8">
        <f t="shared" si="4"/>
        <v>0</v>
      </c>
      <c r="Y18" s="8">
        <f t="shared" si="5"/>
        <v>1</v>
      </c>
      <c r="Z18" s="1">
        <f>IFERROR(VLOOKUP(B18,[4]SCOPUS!$C$7:$M$33,10,0),0)</f>
        <v>104</v>
      </c>
      <c r="AA18" s="1" t="str">
        <f t="shared" si="6"/>
        <v>Categoría II</v>
      </c>
      <c r="AB18" s="1" t="str">
        <f t="shared" si="0"/>
        <v>CRUCH-ESTATALCategoría II</v>
      </c>
    </row>
    <row r="19" spans="1:28" x14ac:dyDescent="0.25">
      <c r="A19" s="1" t="s">
        <v>35</v>
      </c>
      <c r="B19" s="1" t="s">
        <v>28</v>
      </c>
      <c r="C19" s="3" t="s">
        <v>22</v>
      </c>
      <c r="D19" s="1">
        <v>0</v>
      </c>
      <c r="E19" s="1">
        <f>IFERROR(VLOOKUP(B19,'[3]Acreditación Doctorados'!$D$6:$J$16,2,0),0)</f>
        <v>0</v>
      </c>
      <c r="F19" s="1">
        <f>IFERROR(VLOOKUP(B19,'[3]Acreditación Doctorados'!$D$6:$J$16,3,0),0)</f>
        <v>0</v>
      </c>
      <c r="G19" s="1">
        <f>IFERROR(VLOOKUP(B19,'[3]Acreditación Doctorados'!$D$6:$J$16,4,0),0)</f>
        <v>0</v>
      </c>
      <c r="H19" s="1">
        <f>IFERROR(VLOOKUP(B19,'[3]Acreditación Doctorados'!$D$6:$J$16,5,0),0)</f>
        <v>0</v>
      </c>
      <c r="I19" s="1">
        <v>0</v>
      </c>
      <c r="J19" s="1">
        <v>0</v>
      </c>
      <c r="K19" s="1">
        <f>IFERROR(VLOOKUP(B19,'[3]Acreditación Doctorados'!$D$6:$J$16,6,0),0)</f>
        <v>0</v>
      </c>
      <c r="L19" s="1">
        <v>0</v>
      </c>
      <c r="M19" s="8">
        <f t="shared" si="1"/>
        <v>0</v>
      </c>
      <c r="N19" s="1">
        <f>IFERROR(VLOOKUP(B19,'[3]Acreditación Doctorados'!$D$6:$S$16,9,0),0)</f>
        <v>0</v>
      </c>
      <c r="O19" s="1">
        <f>IFERROR(VLOOKUP(B19,'[3]Acreditación Doctorados'!$D$6:$S$16,10,0),0)</f>
        <v>0</v>
      </c>
      <c r="P19" s="1">
        <f>IFERROR(VLOOKUP(B19,'[3]Acreditación Doctorados'!$D$6:$S$16,11,0),0)</f>
        <v>0</v>
      </c>
      <c r="Q19" s="1">
        <f>IFERROR(VLOOKUP(B19,'[3]Acreditación Doctorados'!$D$6:$S$16,12,0),0)</f>
        <v>0</v>
      </c>
      <c r="R19" s="1">
        <f>IFERROR(VLOOKUP(B19,'[3]Acreditación Doctorados'!$D$6:$S$16,13,0),0)</f>
        <v>0</v>
      </c>
      <c r="S19" s="1">
        <f>IFERROR(VLOOKUP(B19,'[3]Acreditación Doctorados'!$D$6:$S$16,14,0),0)</f>
        <v>0</v>
      </c>
      <c r="T19" s="1">
        <f>IFERROR(VLOOKUP(B19,'[3]Acreditación Doctorados'!$D$6:$S$16,15,0),0)</f>
        <v>0</v>
      </c>
      <c r="U19" s="1">
        <f>IFERROR(VLOOKUP(B19,'[3]Acreditación Doctorados'!$D$6:$S$16,16,0),0)</f>
        <v>0</v>
      </c>
      <c r="V19" s="8">
        <f t="shared" si="2"/>
        <v>0</v>
      </c>
      <c r="W19" s="8">
        <f t="shared" si="3"/>
        <v>0</v>
      </c>
      <c r="X19" s="8">
        <f t="shared" si="4"/>
        <v>0</v>
      </c>
      <c r="Y19" s="8">
        <f t="shared" si="5"/>
        <v>0</v>
      </c>
      <c r="Z19" s="1">
        <f>IFERROR(VLOOKUP(B19,[4]SCOPUS!$C$7:$M$33,10,0),0)</f>
        <v>35</v>
      </c>
      <c r="AA19" s="1" t="str">
        <f t="shared" si="6"/>
        <v>Categoría III</v>
      </c>
      <c r="AB19" s="1" t="str">
        <f t="shared" si="0"/>
        <v>CRUCH-ESTATALCategoría III</v>
      </c>
    </row>
    <row r="20" spans="1:28" x14ac:dyDescent="0.25">
      <c r="A20" s="1" t="s">
        <v>36</v>
      </c>
      <c r="B20" s="1" t="s">
        <v>29</v>
      </c>
      <c r="C20" s="3" t="s">
        <v>22</v>
      </c>
      <c r="D20" s="1">
        <v>0</v>
      </c>
      <c r="E20" s="1">
        <f>IFERROR(VLOOKUP(B20,'[3]Acreditación Doctorados'!$D$6:$J$16,2,0),0)</f>
        <v>0</v>
      </c>
      <c r="F20" s="1">
        <f>IFERROR(VLOOKUP(B20,'[3]Acreditación Doctorados'!$D$6:$J$16,3,0),0)</f>
        <v>0</v>
      </c>
      <c r="G20" s="1">
        <f>IFERROR(VLOOKUP(B20,'[3]Acreditación Doctorados'!$D$6:$J$16,4,0),0)</f>
        <v>0</v>
      </c>
      <c r="H20" s="1">
        <f>IFERROR(VLOOKUP(B20,'[3]Acreditación Doctorados'!$D$6:$J$16,5,0),0)</f>
        <v>0</v>
      </c>
      <c r="I20" s="1">
        <v>0</v>
      </c>
      <c r="J20" s="1">
        <v>0</v>
      </c>
      <c r="K20" s="1">
        <f>IFERROR(VLOOKUP(B20,'[3]Acreditación Doctorados'!$D$6:$J$16,6,0),0)</f>
        <v>0</v>
      </c>
      <c r="L20" s="1">
        <v>0</v>
      </c>
      <c r="M20" s="8">
        <f t="shared" si="1"/>
        <v>0</v>
      </c>
      <c r="N20" s="1">
        <f>IFERROR(VLOOKUP(B20,'[3]Acreditación Doctorados'!$D$6:$S$16,9,0),0)</f>
        <v>0</v>
      </c>
      <c r="O20" s="1">
        <f>IFERROR(VLOOKUP(B20,'[3]Acreditación Doctorados'!$D$6:$S$16,10,0),0)</f>
        <v>0</v>
      </c>
      <c r="P20" s="1">
        <f>IFERROR(VLOOKUP(B20,'[3]Acreditación Doctorados'!$D$6:$S$16,11,0),0)</f>
        <v>0</v>
      </c>
      <c r="Q20" s="1">
        <f>IFERROR(VLOOKUP(B20,'[3]Acreditación Doctorados'!$D$6:$S$16,12,0),0)</f>
        <v>0</v>
      </c>
      <c r="R20" s="1">
        <f>IFERROR(VLOOKUP(B20,'[3]Acreditación Doctorados'!$D$6:$S$16,13,0),0)</f>
        <v>0</v>
      </c>
      <c r="S20" s="1">
        <f>IFERROR(VLOOKUP(B20,'[3]Acreditación Doctorados'!$D$6:$S$16,14,0),0)</f>
        <v>0</v>
      </c>
      <c r="T20" s="1">
        <f>IFERROR(VLOOKUP(B20,'[3]Acreditación Doctorados'!$D$6:$S$16,15,0),0)</f>
        <v>0</v>
      </c>
      <c r="U20" s="1">
        <f>IFERROR(VLOOKUP(B20,'[3]Acreditación Doctorados'!$D$6:$S$16,16,0),0)</f>
        <v>0</v>
      </c>
      <c r="V20" s="8">
        <f t="shared" si="2"/>
        <v>0</v>
      </c>
      <c r="W20" s="8">
        <f t="shared" si="3"/>
        <v>0</v>
      </c>
      <c r="X20" s="8">
        <f t="shared" si="4"/>
        <v>0</v>
      </c>
      <c r="Y20" s="8">
        <f t="shared" si="5"/>
        <v>0</v>
      </c>
      <c r="Z20" s="1">
        <f>IFERROR(VLOOKUP(B20,[4]SCOPUS!$C$7:$M$33,10,0),0)</f>
        <v>60</v>
      </c>
      <c r="AA20" s="1" t="str">
        <f t="shared" si="6"/>
        <v>Categoría III</v>
      </c>
      <c r="AB20" s="1" t="str">
        <f t="shared" si="0"/>
        <v>CRUCH-ESTATALCategoría III</v>
      </c>
    </row>
    <row r="21" spans="1:28" x14ac:dyDescent="0.25">
      <c r="A21" s="1" t="s">
        <v>92</v>
      </c>
      <c r="B21" s="1" t="s">
        <v>93</v>
      </c>
      <c r="C21" s="3" t="s">
        <v>22</v>
      </c>
      <c r="D21" s="1">
        <v>0</v>
      </c>
      <c r="E21" s="1">
        <f>IFERROR(VLOOKUP(B21,'[3]Acreditación Doctorados'!$D$6:$J$16,2,0),0)</f>
        <v>0</v>
      </c>
      <c r="F21" s="1">
        <f>IFERROR(VLOOKUP(B21,'[3]Acreditación Doctorados'!$D$6:$J$16,3,0),0)</f>
        <v>0</v>
      </c>
      <c r="G21" s="1">
        <f>IFERROR(VLOOKUP(B21,'[3]Acreditación Doctorados'!$D$6:$J$16,4,0),0)</f>
        <v>0</v>
      </c>
      <c r="H21" s="1">
        <f>IFERROR(VLOOKUP(B21,'[3]Acreditación Doctorados'!$D$6:$J$16,5,0),0)</f>
        <v>0</v>
      </c>
      <c r="I21" s="1">
        <v>0</v>
      </c>
      <c r="J21" s="1">
        <v>0</v>
      </c>
      <c r="K21" s="1">
        <f>IFERROR(VLOOKUP(B21,'[3]Acreditación Doctorados'!$D$6:$J$16,6,0),0)</f>
        <v>0</v>
      </c>
      <c r="L21" s="1">
        <v>0</v>
      </c>
      <c r="M21" s="8">
        <f t="shared" ref="M21:M22" si="7">SUM(D21:L21)</f>
        <v>0</v>
      </c>
      <c r="N21" s="1">
        <f>IFERROR(VLOOKUP(B21,'[3]Acreditación Doctorados'!$D$6:$S$16,9,0),0)</f>
        <v>0</v>
      </c>
      <c r="O21" s="1">
        <f>IFERROR(VLOOKUP(B21,'[3]Acreditación Doctorados'!$D$6:$S$16,10,0),0)</f>
        <v>0</v>
      </c>
      <c r="P21" s="1">
        <f>IFERROR(VLOOKUP(B21,'[3]Acreditación Doctorados'!$D$6:$S$16,11,0),0)</f>
        <v>0</v>
      </c>
      <c r="Q21" s="1">
        <f>IFERROR(VLOOKUP(B21,'[3]Acreditación Doctorados'!$D$6:$S$16,12,0),0)</f>
        <v>0</v>
      </c>
      <c r="R21" s="1">
        <f>IFERROR(VLOOKUP(B21,'[3]Acreditación Doctorados'!$D$6:$S$16,13,0),0)</f>
        <v>0</v>
      </c>
      <c r="S21" s="1">
        <f>IFERROR(VLOOKUP(B21,'[3]Acreditación Doctorados'!$D$6:$S$16,14,0),0)</f>
        <v>0</v>
      </c>
      <c r="T21" s="1">
        <f>IFERROR(VLOOKUP(B21,'[3]Acreditación Doctorados'!$D$6:$S$16,15,0),0)</f>
        <v>0</v>
      </c>
      <c r="U21" s="1">
        <f>IFERROR(VLOOKUP(B21,'[3]Acreditación Doctorados'!$D$6:$S$16,16,0),0)</f>
        <v>0</v>
      </c>
      <c r="V21" s="8">
        <f t="shared" ref="V21:V22" si="8">SUM(N21:U21)</f>
        <v>0</v>
      </c>
      <c r="W21" s="8">
        <f t="shared" ref="W21:W22" si="9">M21+V21</f>
        <v>0</v>
      </c>
      <c r="X21" s="8">
        <f t="shared" ref="X21:X22" si="10">SUM(G21:L21)</f>
        <v>0</v>
      </c>
      <c r="Y21" s="8">
        <f t="shared" ref="Y21:Y22" si="11">V21+X21</f>
        <v>0</v>
      </c>
      <c r="Z21" s="1">
        <f>IFERROR(VLOOKUP(B21,[4]SCOPUS!$C$7:$M$33,10,0),0)</f>
        <v>7</v>
      </c>
      <c r="AA21" s="1" t="str">
        <f t="shared" si="6"/>
        <v>Categoría III</v>
      </c>
      <c r="AB21" s="1" t="str">
        <f t="shared" si="0"/>
        <v>CRUCH-ESTATALCategoría III</v>
      </c>
    </row>
    <row r="22" spans="1:28" x14ac:dyDescent="0.25">
      <c r="A22" s="1" t="s">
        <v>94</v>
      </c>
      <c r="B22" s="1" t="s">
        <v>95</v>
      </c>
      <c r="C22" s="3" t="s">
        <v>22</v>
      </c>
      <c r="D22" s="1">
        <v>0</v>
      </c>
      <c r="E22" s="1">
        <f>IFERROR(VLOOKUP(B22,'[3]Acreditación Doctorados'!$D$6:$J$16,2,0),0)</f>
        <v>0</v>
      </c>
      <c r="F22" s="1">
        <f>IFERROR(VLOOKUP(B22,'[3]Acreditación Doctorados'!$D$6:$J$16,3,0),0)</f>
        <v>0</v>
      </c>
      <c r="G22" s="1">
        <f>IFERROR(VLOOKUP(B22,'[3]Acreditación Doctorados'!$D$6:$J$16,4,0),0)</f>
        <v>0</v>
      </c>
      <c r="H22" s="1">
        <f>IFERROR(VLOOKUP(B22,'[3]Acreditación Doctorados'!$D$6:$J$16,5,0),0)</f>
        <v>0</v>
      </c>
      <c r="I22" s="1">
        <v>0</v>
      </c>
      <c r="J22" s="1">
        <v>0</v>
      </c>
      <c r="K22" s="1">
        <f>IFERROR(VLOOKUP(B22,'[3]Acreditación Doctorados'!$D$6:$J$16,6,0),0)</f>
        <v>0</v>
      </c>
      <c r="L22" s="1">
        <v>0</v>
      </c>
      <c r="M22" s="8">
        <f t="shared" si="7"/>
        <v>0</v>
      </c>
      <c r="N22" s="1">
        <f>IFERROR(VLOOKUP(B22,'[3]Acreditación Doctorados'!$D$6:$S$16,9,0),0)</f>
        <v>0</v>
      </c>
      <c r="O22" s="1">
        <f>IFERROR(VLOOKUP(B22,'[3]Acreditación Doctorados'!$D$6:$S$16,10,0),0)</f>
        <v>0</v>
      </c>
      <c r="P22" s="1">
        <f>IFERROR(VLOOKUP(B22,'[3]Acreditación Doctorados'!$D$6:$S$16,11,0),0)</f>
        <v>0</v>
      </c>
      <c r="Q22" s="1">
        <f>IFERROR(VLOOKUP(B22,'[3]Acreditación Doctorados'!$D$6:$S$16,12,0),0)</f>
        <v>0</v>
      </c>
      <c r="R22" s="1">
        <f>IFERROR(VLOOKUP(B22,'[3]Acreditación Doctorados'!$D$6:$S$16,13,0),0)</f>
        <v>0</v>
      </c>
      <c r="S22" s="1">
        <f>IFERROR(VLOOKUP(B22,'[3]Acreditación Doctorados'!$D$6:$S$16,14,0),0)</f>
        <v>0</v>
      </c>
      <c r="T22" s="1">
        <f>IFERROR(VLOOKUP(B22,'[3]Acreditación Doctorados'!$D$6:$S$16,15,0),0)</f>
        <v>0</v>
      </c>
      <c r="U22" s="1">
        <f>IFERROR(VLOOKUP(B22,'[3]Acreditación Doctorados'!$D$6:$S$16,16,0),0)</f>
        <v>0</v>
      </c>
      <c r="V22" s="8">
        <f t="shared" si="8"/>
        <v>0</v>
      </c>
      <c r="W22" s="8">
        <f t="shared" si="9"/>
        <v>0</v>
      </c>
      <c r="X22" s="8">
        <f t="shared" si="10"/>
        <v>0</v>
      </c>
      <c r="Y22" s="8">
        <f t="shared" si="11"/>
        <v>0</v>
      </c>
      <c r="Z22" s="1">
        <f>IFERROR(VLOOKUP(B22,[4]SCOPUS!$C$7:$M$33,10,0),0)</f>
        <v>5</v>
      </c>
      <c r="AA22" s="1" t="str">
        <f t="shared" si="6"/>
        <v>Categoría III</v>
      </c>
      <c r="AB22" s="1" t="str">
        <f t="shared" si="0"/>
        <v>CRUCH-ESTATALCategoría III</v>
      </c>
    </row>
    <row r="23" spans="1:28" x14ac:dyDescent="0.25">
      <c r="A23" s="1"/>
      <c r="B23" s="1"/>
      <c r="C23" s="3" t="s">
        <v>0</v>
      </c>
      <c r="D23" s="8">
        <f>SUM(D5:D22)</f>
        <v>0</v>
      </c>
      <c r="E23" s="8">
        <f t="shared" ref="E23:Z23" si="12">SUM(E5:E22)</f>
        <v>2</v>
      </c>
      <c r="F23" s="8">
        <f t="shared" si="12"/>
        <v>2</v>
      </c>
      <c r="G23" s="8">
        <f t="shared" si="12"/>
        <v>1</v>
      </c>
      <c r="H23" s="8">
        <f t="shared" si="12"/>
        <v>2</v>
      </c>
      <c r="I23" s="8">
        <f t="shared" si="12"/>
        <v>0</v>
      </c>
      <c r="J23" s="8">
        <f t="shared" si="12"/>
        <v>0</v>
      </c>
      <c r="K23" s="8">
        <f t="shared" si="12"/>
        <v>2</v>
      </c>
      <c r="L23" s="8">
        <f t="shared" si="12"/>
        <v>0</v>
      </c>
      <c r="M23" s="8">
        <f t="shared" si="12"/>
        <v>9</v>
      </c>
      <c r="N23" s="8">
        <f t="shared" si="12"/>
        <v>12</v>
      </c>
      <c r="O23" s="8">
        <f t="shared" si="12"/>
        <v>23</v>
      </c>
      <c r="P23" s="8">
        <f t="shared" si="12"/>
        <v>8</v>
      </c>
      <c r="Q23" s="8">
        <f t="shared" si="12"/>
        <v>7</v>
      </c>
      <c r="R23" s="8">
        <f t="shared" si="12"/>
        <v>10</v>
      </c>
      <c r="S23" s="8">
        <f t="shared" si="12"/>
        <v>10</v>
      </c>
      <c r="T23" s="8">
        <f t="shared" si="12"/>
        <v>5</v>
      </c>
      <c r="U23" s="8">
        <f t="shared" si="12"/>
        <v>2</v>
      </c>
      <c r="V23" s="8">
        <f t="shared" si="12"/>
        <v>77</v>
      </c>
      <c r="W23" s="8">
        <f t="shared" si="12"/>
        <v>86</v>
      </c>
      <c r="X23" s="8">
        <f t="shared" si="12"/>
        <v>5</v>
      </c>
      <c r="Y23" s="8">
        <f t="shared" si="12"/>
        <v>82</v>
      </c>
      <c r="Z23" s="136">
        <f t="shared" si="12"/>
        <v>6177</v>
      </c>
      <c r="AA23" s="1"/>
    </row>
    <row r="26" spans="1:28" x14ac:dyDescent="0.25">
      <c r="A26" s="8" t="s">
        <v>65</v>
      </c>
      <c r="B26" s="8" t="s">
        <v>71</v>
      </c>
      <c r="C26" s="8" t="s">
        <v>69</v>
      </c>
      <c r="D26" s="8" t="s">
        <v>75</v>
      </c>
      <c r="E26" s="8" t="s">
        <v>89</v>
      </c>
      <c r="F26" s="8"/>
    </row>
    <row r="27" spans="1:28" x14ac:dyDescent="0.25">
      <c r="A27" s="1" t="s">
        <v>66</v>
      </c>
      <c r="B27" s="1">
        <f>COUNTIF($AB$4:$AB$22,A27)</f>
        <v>2</v>
      </c>
      <c r="C27" s="1">
        <f>(3*$B$27)+(2*$B$28)+$B$29</f>
        <v>30</v>
      </c>
      <c r="D27" s="115">
        <f>($B$32*3*B27)/C27</f>
        <v>6471952.0070000011</v>
      </c>
      <c r="E27" s="6">
        <f>ROUND(D27,0)</f>
        <v>6471952</v>
      </c>
      <c r="F27" s="138">
        <f>D27/$D$30</f>
        <v>0.20000000000000004</v>
      </c>
    </row>
    <row r="28" spans="1:28" x14ac:dyDescent="0.25">
      <c r="A28" s="1" t="s">
        <v>67</v>
      </c>
      <c r="B28" s="1">
        <f t="shared" ref="B28:B29" si="13">COUNTIF($AB$4:$AB$22,A28)</f>
        <v>8</v>
      </c>
      <c r="C28" s="1">
        <f>(3*$B$27)+(2*$B$28)+$B$29</f>
        <v>30</v>
      </c>
      <c r="D28" s="115">
        <f>($B$32*2*B28)/C28</f>
        <v>17258538.685333334</v>
      </c>
      <c r="E28" s="6">
        <f>ROUND(D28,0)</f>
        <v>17258539</v>
      </c>
      <c r="F28" s="138">
        <f t="shared" ref="F28:F29" si="14">D28/$D$30</f>
        <v>0.53333333333333333</v>
      </c>
    </row>
    <row r="29" spans="1:28" x14ac:dyDescent="0.25">
      <c r="A29" s="1" t="s">
        <v>68</v>
      </c>
      <c r="B29" s="1">
        <f t="shared" si="13"/>
        <v>8</v>
      </c>
      <c r="C29" s="1">
        <f>(3*$B$27)+(2*$B$28)+$B$29</f>
        <v>30</v>
      </c>
      <c r="D29" s="115">
        <f>($B$32*1*B29)/C29</f>
        <v>8629269.342666667</v>
      </c>
      <c r="E29" s="6">
        <f>ROUND(D29,0)</f>
        <v>8629269</v>
      </c>
      <c r="F29" s="138">
        <f t="shared" si="14"/>
        <v>0.26666666666666666</v>
      </c>
    </row>
    <row r="30" spans="1:28" x14ac:dyDescent="0.25">
      <c r="D30" s="7">
        <f>SUM(D27:D29)</f>
        <v>32359760.035</v>
      </c>
      <c r="E30" s="7">
        <f>SUM(E27:E29)</f>
        <v>32359760</v>
      </c>
    </row>
    <row r="31" spans="1:28" x14ac:dyDescent="0.25">
      <c r="A31" s="8" t="s">
        <v>72</v>
      </c>
      <c r="B31" s="8" t="s">
        <v>74</v>
      </c>
    </row>
    <row r="32" spans="1:28" x14ac:dyDescent="0.25">
      <c r="A32" s="1" t="s">
        <v>73</v>
      </c>
      <c r="B32" s="7">
        <f>'Montos AIUE 2019'!J34</f>
        <v>32359760.035000004</v>
      </c>
    </row>
  </sheetData>
  <mergeCells count="3">
    <mergeCell ref="Z3:Z4"/>
    <mergeCell ref="N3:Y3"/>
    <mergeCell ref="D3:M3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2:AA40"/>
  <sheetViews>
    <sheetView workbookViewId="0">
      <selection activeCell="H4" sqref="H4"/>
    </sheetView>
  </sheetViews>
  <sheetFormatPr baseColWidth="10" defaultRowHeight="15" x14ac:dyDescent="0.25"/>
  <cols>
    <col min="1" max="1" width="46.5703125" bestFit="1" customWidth="1"/>
    <col min="4" max="4" width="12.85546875" customWidth="1"/>
  </cols>
  <sheetData>
    <row r="2" spans="1:27" x14ac:dyDescent="0.25">
      <c r="E2" s="107">
        <v>1</v>
      </c>
      <c r="F2" s="107">
        <v>2</v>
      </c>
      <c r="G2" s="107">
        <v>3</v>
      </c>
      <c r="H2" s="107">
        <v>4</v>
      </c>
      <c r="I2" s="107">
        <v>5</v>
      </c>
      <c r="J2" s="107">
        <v>6</v>
      </c>
      <c r="K2" s="107">
        <v>7</v>
      </c>
      <c r="L2" s="107">
        <v>8</v>
      </c>
      <c r="M2" s="107">
        <v>9</v>
      </c>
      <c r="N2" s="107">
        <v>10</v>
      </c>
      <c r="O2" s="107">
        <v>11</v>
      </c>
      <c r="P2" s="107">
        <v>12</v>
      </c>
      <c r="Q2" s="107">
        <v>13</v>
      </c>
      <c r="R2" s="107">
        <v>14</v>
      </c>
      <c r="S2" s="107">
        <v>15</v>
      </c>
      <c r="T2" s="107">
        <v>16</v>
      </c>
      <c r="U2" s="107">
        <v>17</v>
      </c>
      <c r="V2" s="107">
        <v>18</v>
      </c>
      <c r="W2" s="107">
        <v>19</v>
      </c>
      <c r="X2" s="107">
        <v>20</v>
      </c>
      <c r="Y2" s="107">
        <v>21</v>
      </c>
    </row>
    <row r="3" spans="1:27" ht="33.75" x14ac:dyDescent="0.25">
      <c r="A3" s="23" t="s">
        <v>11</v>
      </c>
      <c r="B3" s="23" t="s">
        <v>1</v>
      </c>
      <c r="C3" s="23" t="s">
        <v>21</v>
      </c>
      <c r="D3" s="8" t="s">
        <v>39</v>
      </c>
      <c r="E3" s="131" t="s">
        <v>150</v>
      </c>
      <c r="F3" s="131" t="s">
        <v>151</v>
      </c>
      <c r="G3" s="131" t="s">
        <v>152</v>
      </c>
      <c r="H3" s="131" t="s">
        <v>153</v>
      </c>
      <c r="I3" s="131" t="s">
        <v>154</v>
      </c>
      <c r="J3" s="131" t="s">
        <v>155</v>
      </c>
      <c r="K3" s="132" t="s">
        <v>156</v>
      </c>
      <c r="L3" s="132" t="s">
        <v>157</v>
      </c>
      <c r="M3" s="132" t="s">
        <v>158</v>
      </c>
      <c r="N3" s="132" t="s">
        <v>159</v>
      </c>
      <c r="O3" s="133" t="s">
        <v>160</v>
      </c>
      <c r="P3" s="133" t="s">
        <v>161</v>
      </c>
      <c r="Q3" s="133" t="s">
        <v>162</v>
      </c>
      <c r="R3" s="133" t="s">
        <v>163</v>
      </c>
      <c r="S3" s="133" t="s">
        <v>164</v>
      </c>
      <c r="T3" s="134" t="s">
        <v>166</v>
      </c>
      <c r="U3" s="134" t="s">
        <v>91</v>
      </c>
      <c r="V3" s="134" t="s">
        <v>106</v>
      </c>
      <c r="W3" s="134" t="s">
        <v>165</v>
      </c>
      <c r="X3" s="132" t="s">
        <v>167</v>
      </c>
      <c r="Y3" s="132" t="s">
        <v>107</v>
      </c>
    </row>
    <row r="4" spans="1:27" x14ac:dyDescent="0.25">
      <c r="A4" s="43" t="str">
        <f>Categorías!A5</f>
        <v>UNIVERSIDAD DE CHILE</v>
      </c>
      <c r="B4" s="43" t="str">
        <f>Categorías!B5</f>
        <v>UCH</v>
      </c>
      <c r="C4" s="44" t="str">
        <f>Categorías!C5</f>
        <v>CRUCH-ESTATAL</v>
      </c>
      <c r="D4" s="43" t="str">
        <f>Categorías!AA5</f>
        <v>Categoría I</v>
      </c>
      <c r="E4" s="45">
        <f>IFERROR(VLOOKUP(B4,'[5]PAC 2017'!$D$35:$Y$62,22,0),0)</f>
        <v>1559</v>
      </c>
      <c r="F4" s="45">
        <f>IFERROR(VLOOKUP(B4,'[6]Indicador a)'!$C$34:$F$62,4,0),0)</f>
        <v>39108</v>
      </c>
      <c r="G4" s="45">
        <f>IFERROR(VLOOKUP(B4,'[6]Indicador b)'!$C$35:$F$62,3,0),0)</f>
        <v>1153.1363636363621</v>
      </c>
      <c r="H4" s="45">
        <f>IFERROR(VLOOKUP(B4,'[6]Indicador b)'!$C$35:$F$62,4,0),0)</f>
        <v>2264.2954545454536</v>
      </c>
      <c r="I4" s="45">
        <f>IFERROR(VLOOKUP(B4,'[6]Indicador c)'!$C$35:$G$62,4,0),0)</f>
        <v>388.90909090909099</v>
      </c>
      <c r="J4" s="45">
        <f>IFERROR(VLOOKUP(B4,'[6]Indicador c)'!$C$35:$G$62,5,0),0)</f>
        <v>146.88636363636354</v>
      </c>
      <c r="K4" s="45">
        <f>IFERROR(VLOOKUP(B4,[4]SCOPUS!$C$7:$M$33,10,0),0)</f>
        <v>2693</v>
      </c>
      <c r="L4" s="45">
        <f>IFERROR(VLOOKUP(B4,[4]SCOPUS!$C$7:$O$33,13,0),0)</f>
        <v>87413</v>
      </c>
      <c r="M4" s="45">
        <f>IFERROR(VLOOKUP(B4,[4]SCOPUS!$C$7:$O$33,12,0),0)</f>
        <v>12270</v>
      </c>
      <c r="N4" s="46">
        <f>IFERROR(VLOOKUP(B4,'[6]Ind G 2018 con QUINTIL PERFIL'!$F$10:$AA$36,21,0),0)</f>
        <v>2856</v>
      </c>
      <c r="O4" s="46">
        <f>IFERROR(VLOOKUP(B4,'[6]Ind G 2018 con QUINTIL PERFIL'!$F$10:$AA$36,14,0),0)</f>
        <v>5934</v>
      </c>
      <c r="P4" s="46">
        <f>IFERROR(VLOOKUP(B4,'[6]Indicador H 2018'!$E$11:$Z$37,21,0),0)</f>
        <v>4932</v>
      </c>
      <c r="Q4" s="46">
        <f>IFERROR(VLOOKUP(B4,'[6]Indicador H 2018'!$E$11:$Z$37,14,0),0)</f>
        <v>5796</v>
      </c>
      <c r="R4" s="47">
        <f>IFERROR(VLOOKUP(B4,'[6]Indicador I 1) 2018'!$D$11:$Y$35,21,0),0)</f>
        <v>4098</v>
      </c>
      <c r="S4" s="47">
        <f>IFERROR(VLOOKUP(B4,'[6]Indicador I 1) 2018'!$D$11:$Y$35,14,0),0)</f>
        <v>5594</v>
      </c>
      <c r="T4" s="45">
        <f>IFERROR(VLOOKUP(B4,'[6]INDICADOR J 2017'!$F$8:$N$24,9,0),0)</f>
        <v>23</v>
      </c>
      <c r="U4" s="45">
        <v>188</v>
      </c>
      <c r="V4" s="45">
        <v>214</v>
      </c>
      <c r="W4" s="45">
        <f>IFERROR(VLOOKUP(B4,'[6]INDICADOR J 2017'!$F$8:$G$24,2,0),0)</f>
        <v>196</v>
      </c>
      <c r="X4" s="45">
        <f>IFERROR(VLOOKUP(B4,[7]Hoja1!$B$5:$C$8,2,0),0)</f>
        <v>9</v>
      </c>
      <c r="Y4" s="45">
        <v>14</v>
      </c>
      <c r="Z4" s="48" t="s">
        <v>2</v>
      </c>
      <c r="AA4" s="49"/>
    </row>
    <row r="5" spans="1:27" x14ac:dyDescent="0.25">
      <c r="A5" s="43" t="str">
        <f>Categorías!A6</f>
        <v>UNIVERSIDAD DE SANTIAGO DE CHILE</v>
      </c>
      <c r="B5" s="43" t="str">
        <f>Categorías!B6</f>
        <v>USA</v>
      </c>
      <c r="C5" s="44" t="str">
        <f>Categorías!C6</f>
        <v>CRUCH-ESTATAL</v>
      </c>
      <c r="D5" s="43" t="str">
        <f>Categorías!AA6</f>
        <v>Categoría I</v>
      </c>
      <c r="E5" s="45">
        <f>IFERROR(VLOOKUP(B5,'[5]PAC 2017'!$D$35:$Y$62,22,0),0)</f>
        <v>640</v>
      </c>
      <c r="F5" s="45">
        <f>IFERROR(VLOOKUP(B5,'[6]Indicador a)'!$C$34:$F$62,4,0),0)</f>
        <v>22989</v>
      </c>
      <c r="G5" s="45">
        <f>IFERROR(VLOOKUP(B5,'[6]Indicador b)'!$C$35:$F$62,3,0),0)</f>
        <v>460.11363636363649</v>
      </c>
      <c r="H5" s="45">
        <f>IFERROR(VLOOKUP(B5,'[6]Indicador b)'!$C$35:$F$62,4,0),0)</f>
        <v>1142.1363636363694</v>
      </c>
      <c r="I5" s="45">
        <f>IFERROR(VLOOKUP(B5,'[6]Indicador c)'!$C$35:$G$62,4,0),0)</f>
        <v>278.38636363636539</v>
      </c>
      <c r="J5" s="45">
        <f>IFERROR(VLOOKUP(B5,'[6]Indicador c)'!$C$35:$G$62,5,0),0)</f>
        <v>21.909090909090907</v>
      </c>
      <c r="K5" s="45">
        <f>IFERROR(VLOOKUP(B5,[4]SCOPUS!$C$7:$M$33,10,0),0)</f>
        <v>688</v>
      </c>
      <c r="L5" s="45">
        <f>IFERROR(VLOOKUP(B5,[4]SCOPUS!$C$7:$O$33,13,0),0)</f>
        <v>13082</v>
      </c>
      <c r="M5" s="45">
        <f>IFERROR(VLOOKUP(B5,[4]SCOPUS!$C$7:$O$33,12,0),0)</f>
        <v>2846</v>
      </c>
      <c r="N5" s="46">
        <f>IFERROR(VLOOKUP(B5,'[6]Ind G 2018 con QUINTIL PERFIL'!$F$10:$AA$36,21,0),0)</f>
        <v>2583</v>
      </c>
      <c r="O5" s="46">
        <f>IFERROR(VLOOKUP(B5,'[6]Ind G 2018 con QUINTIL PERFIL'!$F$10:$AA$36,14,0),0)</f>
        <v>3768</v>
      </c>
      <c r="P5" s="46">
        <f>IFERROR(VLOOKUP(B5,'[6]Indicador H 2018'!$E$11:$Z$37,21,0),0)</f>
        <v>2812</v>
      </c>
      <c r="Q5" s="46">
        <f>IFERROR(VLOOKUP(B5,'[6]Indicador H 2018'!$E$11:$Z$37,14,0),0)</f>
        <v>3560</v>
      </c>
      <c r="R5" s="47">
        <f>IFERROR(VLOOKUP(B5,'[6]Indicador I 1) 2018'!$D$11:$Y$35,21,0),0)</f>
        <v>2257</v>
      </c>
      <c r="S5" s="47">
        <f>IFERROR(VLOOKUP(B5,'[6]Indicador I 1) 2018'!$D$11:$Y$35,14,0),0)</f>
        <v>3788</v>
      </c>
      <c r="T5" s="45">
        <f>IFERROR(VLOOKUP(B5,'[6]INDICADOR J 2017'!$F$8:$N$24,9,0),0)</f>
        <v>12</v>
      </c>
      <c r="U5" s="45">
        <v>80</v>
      </c>
      <c r="V5" s="45">
        <v>66</v>
      </c>
      <c r="W5" s="45">
        <f>IFERROR(VLOOKUP(B5,'[6]INDICADOR J 2017'!$F$8:$G$24,2,0),0)</f>
        <v>52</v>
      </c>
      <c r="X5" s="45">
        <f>IFERROR(VLOOKUP(B5,[7]Hoja1!$B$5:$C$8,2,0),0)</f>
        <v>18</v>
      </c>
      <c r="Y5" s="45">
        <v>13</v>
      </c>
      <c r="Z5" s="48" t="s">
        <v>3</v>
      </c>
      <c r="AA5" s="49"/>
    </row>
    <row r="6" spans="1:27" x14ac:dyDescent="0.25">
      <c r="A6" s="43" t="str">
        <f>Categorías!A7</f>
        <v>UNIVERSIDAD DE ANTOFAGASTA</v>
      </c>
      <c r="B6" s="43" t="str">
        <f>Categorías!B7</f>
        <v>ANT</v>
      </c>
      <c r="C6" s="44" t="str">
        <f>Categorías!C7</f>
        <v>CRUCH-ESTATAL</v>
      </c>
      <c r="D6" s="43" t="str">
        <f>Categorías!AA7</f>
        <v>Categoría II</v>
      </c>
      <c r="E6" s="45">
        <f>IFERROR(VLOOKUP(B6,'[5]PAC 2017'!$D$35:$Y$62,22,0),0)</f>
        <v>315</v>
      </c>
      <c r="F6" s="45">
        <f>IFERROR(VLOOKUP(B6,'[6]Indicador a)'!$C$34:$F$62,4,0),0)</f>
        <v>7752</v>
      </c>
      <c r="G6" s="45">
        <f>IFERROR(VLOOKUP(B6,'[6]Indicador b)'!$C$35:$F$62,3,0),0)</f>
        <v>138.19318181818181</v>
      </c>
      <c r="H6" s="45">
        <f>IFERROR(VLOOKUP(B6,'[6]Indicador b)'!$C$35:$F$62,4,0),0)</f>
        <v>401.21590909090878</v>
      </c>
      <c r="I6" s="45">
        <f>IFERROR(VLOOKUP(B6,'[6]Indicador c)'!$C$35:$G$62,4,0),0)</f>
        <v>121.22159090909088</v>
      </c>
      <c r="J6" s="45">
        <f>IFERROR(VLOOKUP(B6,'[6]Indicador c)'!$C$35:$G$62,5,0),0)</f>
        <v>17.494318181818183</v>
      </c>
      <c r="K6" s="45">
        <f>IFERROR(VLOOKUP(B6,[4]SCOPUS!$C$7:$M$33,10,0),0)</f>
        <v>207</v>
      </c>
      <c r="L6" s="45">
        <f>IFERROR(VLOOKUP(B6,[4]SCOPUS!$C$7:$O$33,13,0),0)</f>
        <v>5198</v>
      </c>
      <c r="M6" s="45">
        <f>IFERROR(VLOOKUP(B6,[4]SCOPUS!$C$7:$O$33,12,0),0)</f>
        <v>822</v>
      </c>
      <c r="N6" s="46">
        <f>IFERROR(VLOOKUP(B6,'[6]Ind G 2018 con QUINTIL PERFIL'!$F$10:$AA$36,21,0),0)</f>
        <v>615</v>
      </c>
      <c r="O6" s="46">
        <f>IFERROR(VLOOKUP(B6,'[6]Ind G 2018 con QUINTIL PERFIL'!$F$10:$AA$36,14,0),0)</f>
        <v>1299</v>
      </c>
      <c r="P6" s="46">
        <f>IFERROR(VLOOKUP(B6,'[6]Indicador H 2018'!$E$11:$Z$37,21,0),0)</f>
        <v>1077</v>
      </c>
      <c r="Q6" s="46">
        <f>IFERROR(VLOOKUP(B6,'[6]Indicador H 2018'!$E$11:$Z$37,14,0),0)</f>
        <v>1299</v>
      </c>
      <c r="R6" s="47">
        <f>IFERROR(VLOOKUP(B6,'[6]Indicador I 1) 2018'!$D$11:$Y$35,21,0),0)</f>
        <v>761</v>
      </c>
      <c r="S6" s="47">
        <f>IFERROR(VLOOKUP(B6,'[6]Indicador I 1) 2018'!$D$11:$Y$35,14,0),0)</f>
        <v>1143</v>
      </c>
      <c r="T6" s="45">
        <f>IFERROR(VLOOKUP(B6,'[6]INDICADOR J 2017'!$F$8:$N$24,9,0),0)</f>
        <v>1</v>
      </c>
      <c r="U6" s="45">
        <v>8</v>
      </c>
      <c r="V6" s="45">
        <v>10</v>
      </c>
      <c r="W6" s="45">
        <f>IFERROR(VLOOKUP(B6,'[6]INDICADOR J 2017'!$F$8:$G$24,2,0),0)</f>
        <v>8</v>
      </c>
      <c r="X6" s="45">
        <f>IFERROR(VLOOKUP(B6,[7]Hoja1!$B$5:$C$8,2,0),0)</f>
        <v>3</v>
      </c>
      <c r="Y6" s="45">
        <v>1</v>
      </c>
      <c r="Z6" s="48" t="s">
        <v>9</v>
      </c>
      <c r="AA6" s="49"/>
    </row>
    <row r="7" spans="1:27" x14ac:dyDescent="0.25">
      <c r="A7" s="43" t="str">
        <f>Categorías!A8</f>
        <v>UNIVERSIDAD DE LA FRONTERA</v>
      </c>
      <c r="B7" s="43" t="str">
        <f>Categorías!B8</f>
        <v>FRO</v>
      </c>
      <c r="C7" s="44" t="str">
        <f>Categorías!C8</f>
        <v>CRUCH-ESTATAL</v>
      </c>
      <c r="D7" s="43" t="str">
        <f>Categorías!AA8</f>
        <v>Categoría II</v>
      </c>
      <c r="E7" s="45">
        <f>IFERROR(VLOOKUP(B7,'[5]PAC 2017'!$D$35:$Y$62,22,0),0)</f>
        <v>320</v>
      </c>
      <c r="F7" s="45">
        <f>IFERROR(VLOOKUP(B7,'[6]Indicador a)'!$C$34:$F$62,4,0),0)</f>
        <v>10618</v>
      </c>
      <c r="G7" s="45">
        <f>IFERROR(VLOOKUP(B7,'[6]Indicador b)'!$C$35:$F$62,3,0),0)</f>
        <v>207.95454545454547</v>
      </c>
      <c r="H7" s="45">
        <f>IFERROR(VLOOKUP(B7,'[6]Indicador b)'!$C$35:$F$62,4,0),0)</f>
        <v>424.27272727272725</v>
      </c>
      <c r="I7" s="45">
        <f>IFERROR(VLOOKUP(B7,'[6]Indicador c)'!$C$35:$G$62,4,0),0)</f>
        <v>97.568181818181813</v>
      </c>
      <c r="J7" s="45">
        <f>IFERROR(VLOOKUP(B7,'[6]Indicador c)'!$C$35:$G$62,5,0),0)</f>
        <v>33.818181818181813</v>
      </c>
      <c r="K7" s="45">
        <f>IFERROR(VLOOKUP(B7,[4]SCOPUS!$C$7:$M$33,10,0),0)</f>
        <v>507</v>
      </c>
      <c r="L7" s="45">
        <f>IFERROR(VLOOKUP(B7,[4]SCOPUS!$C$7:$O$33,13,0),0)</f>
        <v>13260</v>
      </c>
      <c r="M7" s="45">
        <f>IFERROR(VLOOKUP(B7,[4]SCOPUS!$C$7:$O$33,12,0),0)</f>
        <v>2108</v>
      </c>
      <c r="N7" s="46">
        <f>IFERROR(VLOOKUP(B7,'[6]Ind G 2018 con QUINTIL PERFIL'!$F$10:$AA$36,21,0),0)</f>
        <v>1468</v>
      </c>
      <c r="O7" s="46">
        <f>IFERROR(VLOOKUP(B7,'[6]Ind G 2018 con QUINTIL PERFIL'!$F$10:$AA$36,14,0),0)</f>
        <v>2121</v>
      </c>
      <c r="P7" s="46">
        <f>IFERROR(VLOOKUP(B7,'[6]Indicador H 2018'!$E$11:$Z$37,21,0),0)</f>
        <v>1717</v>
      </c>
      <c r="Q7" s="46">
        <f>IFERROR(VLOOKUP(B7,'[6]Indicador H 2018'!$E$11:$Z$37,14,0),0)</f>
        <v>2074</v>
      </c>
      <c r="R7" s="47">
        <f>IFERROR(VLOOKUP(B7,'[6]Indicador I 1) 2018'!$D$11:$Y$35,21,0),0)</f>
        <v>1199</v>
      </c>
      <c r="S7" s="47">
        <f>IFERROR(VLOOKUP(B7,'[6]Indicador I 1) 2018'!$D$11:$Y$35,14,0),0)</f>
        <v>1888</v>
      </c>
      <c r="T7" s="45">
        <f>IFERROR(VLOOKUP(B7,'[6]INDICADOR J 2017'!$F$8:$N$24,9,0),0)</f>
        <v>9</v>
      </c>
      <c r="U7" s="45">
        <v>42</v>
      </c>
      <c r="V7" s="45">
        <v>38</v>
      </c>
      <c r="W7" s="45">
        <f>IFERROR(VLOOKUP(B7,'[6]INDICADOR J 2017'!$F$8:$G$24,2,0),0)</f>
        <v>31</v>
      </c>
      <c r="X7" s="45">
        <f>IFERROR(VLOOKUP(B7,[7]Hoja1!$B$5:$C$8,2,0),0)</f>
        <v>0</v>
      </c>
      <c r="Y7" s="45">
        <v>0</v>
      </c>
      <c r="Z7" s="48" t="s">
        <v>6</v>
      </c>
      <c r="AA7" s="49"/>
    </row>
    <row r="8" spans="1:27" x14ac:dyDescent="0.25">
      <c r="A8" s="43" t="str">
        <f>Categorías!A9</f>
        <v>UNIVERSIDAD DE TALCA</v>
      </c>
      <c r="B8" s="43" t="str">
        <f>Categorías!B9</f>
        <v>TAL</v>
      </c>
      <c r="C8" s="44" t="str">
        <f>Categorías!C9</f>
        <v>CRUCH-ESTATAL</v>
      </c>
      <c r="D8" s="43" t="str">
        <f>Categorías!AA9</f>
        <v>Categoría II</v>
      </c>
      <c r="E8" s="45">
        <f>IFERROR(VLOOKUP(B8,'[5]PAC 2017'!$D$35:$Y$62,22,0),0)</f>
        <v>364</v>
      </c>
      <c r="F8" s="45">
        <f>IFERROR(VLOOKUP(B8,'[6]Indicador a)'!$C$34:$F$62,4,0),0)</f>
        <v>10990</v>
      </c>
      <c r="G8" s="45">
        <f>IFERROR(VLOOKUP(B8,'[6]Indicador b)'!$C$35:$F$62,3,0),0)</f>
        <v>228.5895454545454</v>
      </c>
      <c r="H8" s="45">
        <f>IFERROR(VLOOKUP(B8,'[6]Indicador b)'!$C$35:$F$62,4,0),0)</f>
        <v>465.83749999999969</v>
      </c>
      <c r="I8" s="45">
        <f>IFERROR(VLOOKUP(B8,'[6]Indicador c)'!$C$35:$G$62,4,0),0)</f>
        <v>200.95318181818163</v>
      </c>
      <c r="J8" s="45">
        <f>IFERROR(VLOOKUP(B8,'[6]Indicador c)'!$C$35:$G$62,5,0),0)</f>
        <v>20.59090909090909</v>
      </c>
      <c r="K8" s="45">
        <f>IFERROR(VLOOKUP(B8,[4]SCOPUS!$C$7:$M$33,10,0),0)</f>
        <v>414</v>
      </c>
      <c r="L8" s="45">
        <f>IFERROR(VLOOKUP(B8,[4]SCOPUS!$C$7:$O$33,13,0),0)</f>
        <v>8592</v>
      </c>
      <c r="M8" s="45">
        <f>IFERROR(VLOOKUP(B8,[4]SCOPUS!$C$7:$O$33,12,0),0)</f>
        <v>1807</v>
      </c>
      <c r="N8" s="46">
        <f>IFERROR(VLOOKUP(B8,'[6]Ind G 2018 con QUINTIL PERFIL'!$F$10:$AA$36,21,0),0)</f>
        <v>1430</v>
      </c>
      <c r="O8" s="46">
        <f>IFERROR(VLOOKUP(B8,'[6]Ind G 2018 con QUINTIL PERFIL'!$F$10:$AA$36,14,0),0)</f>
        <v>1919</v>
      </c>
      <c r="P8" s="46">
        <f>IFERROR(VLOOKUP(B8,'[6]Indicador H 2018'!$E$11:$Z$37,21,0),0)</f>
        <v>1603</v>
      </c>
      <c r="Q8" s="46">
        <f>IFERROR(VLOOKUP(B8,'[6]Indicador H 2018'!$E$11:$Z$37,14,0),0)</f>
        <v>1885</v>
      </c>
      <c r="R8" s="47">
        <f>IFERROR(VLOOKUP(B8,'[6]Indicador I 1) 2018'!$D$11:$Y$35,21,0),0)</f>
        <v>1250</v>
      </c>
      <c r="S8" s="47">
        <f>IFERROR(VLOOKUP(B8,'[6]Indicador I 1) 2018'!$D$11:$Y$35,14,0),0)</f>
        <v>1740</v>
      </c>
      <c r="T8" s="45">
        <f>IFERROR(VLOOKUP(B8,'[6]INDICADOR J 2017'!$F$8:$N$24,9,0),0)</f>
        <v>6</v>
      </c>
      <c r="U8" s="45">
        <v>11</v>
      </c>
      <c r="V8" s="45">
        <v>12</v>
      </c>
      <c r="W8" s="45">
        <f>IFERROR(VLOOKUP(B8,'[6]INDICADOR J 2017'!$F$8:$G$24,2,0),0)</f>
        <v>20</v>
      </c>
      <c r="X8" s="45">
        <f>IFERROR(VLOOKUP(B8,[7]Hoja1!$B$5:$C$8,2,0),0)</f>
        <v>2</v>
      </c>
      <c r="Y8" s="45">
        <v>1</v>
      </c>
      <c r="Z8" s="48" t="s">
        <v>5</v>
      </c>
      <c r="AA8" s="49"/>
    </row>
    <row r="9" spans="1:27" x14ac:dyDescent="0.25">
      <c r="A9" s="43" t="str">
        <f>Categorías!A10</f>
        <v>UNIVERSIDAD DE TARAPACÁ</v>
      </c>
      <c r="B9" s="43" t="str">
        <f>Categorías!B10</f>
        <v>UTA</v>
      </c>
      <c r="C9" s="44" t="str">
        <f>Categorías!C10</f>
        <v>CRUCH-ESTATAL</v>
      </c>
      <c r="D9" s="43" t="str">
        <f>Categorías!AA10</f>
        <v>Categoría III</v>
      </c>
      <c r="E9" s="45">
        <f>IFERROR(VLOOKUP(B9,'[5]PAC 2017'!$D$35:$Y$62,22,0),0)</f>
        <v>319</v>
      </c>
      <c r="F9" s="45">
        <f>IFERROR(VLOOKUP(B9,'[6]Indicador a)'!$C$34:$F$62,4,0),0)</f>
        <v>8548</v>
      </c>
      <c r="G9" s="45">
        <f>IFERROR(VLOOKUP(B9,'[6]Indicador b)'!$C$35:$F$62,3,0),0)</f>
        <v>127.25</v>
      </c>
      <c r="H9" s="45">
        <f>IFERROR(VLOOKUP(B9,'[6]Indicador b)'!$C$35:$F$62,4,0),0)</f>
        <v>358.2272727272728</v>
      </c>
      <c r="I9" s="45">
        <f>IFERROR(VLOOKUP(B9,'[6]Indicador c)'!$C$35:$G$62,4,0),0)</f>
        <v>179.06818181818187</v>
      </c>
      <c r="J9" s="45">
        <f>IFERROR(VLOOKUP(B9,'[6]Indicador c)'!$C$35:$G$62,5,0),0)</f>
        <v>2.0454545454545454</v>
      </c>
      <c r="K9" s="45">
        <f>IFERROR(VLOOKUP(B9,[4]SCOPUS!$C$7:$M$33,10,0),0)</f>
        <v>233</v>
      </c>
      <c r="L9" s="45">
        <f>IFERROR(VLOOKUP(B9,[4]SCOPUS!$C$7:$O$33,13,0),0)</f>
        <v>4446</v>
      </c>
      <c r="M9" s="45">
        <f>IFERROR(VLOOKUP(B9,[4]SCOPUS!$C$7:$O$33,12,0),0)</f>
        <v>1019</v>
      </c>
      <c r="N9" s="46">
        <f>IFERROR(VLOOKUP(B9,'[6]Ind G 2018 con QUINTIL PERFIL'!$F$10:$AA$36,21,0),0)</f>
        <v>1169</v>
      </c>
      <c r="O9" s="46">
        <f>IFERROR(VLOOKUP(B9,'[6]Ind G 2018 con QUINTIL PERFIL'!$F$10:$AA$36,14,0),0)</f>
        <v>1612</v>
      </c>
      <c r="P9" s="46">
        <f>IFERROR(VLOOKUP(B9,'[6]Indicador H 2018'!$E$11:$Z$37,21,0),0)</f>
        <v>1365</v>
      </c>
      <c r="Q9" s="46">
        <f>IFERROR(VLOOKUP(B9,'[6]Indicador H 2018'!$E$11:$Z$37,14,0),0)</f>
        <v>1625</v>
      </c>
      <c r="R9" s="47">
        <f>IFERROR(VLOOKUP(B9,'[6]Indicador I 1) 2018'!$D$11:$Y$35,21,0),0)</f>
        <v>811</v>
      </c>
      <c r="S9" s="47">
        <f>IFERROR(VLOOKUP(B9,'[6]Indicador I 1) 2018'!$D$11:$Y$35,14,0),0)</f>
        <v>1291</v>
      </c>
      <c r="T9" s="45">
        <f>IFERROR(VLOOKUP(B9,'[6]INDICADOR J 2017'!$F$8:$N$24,9,0),0)</f>
        <v>0</v>
      </c>
      <c r="U9" s="45">
        <v>1</v>
      </c>
      <c r="V9" s="45">
        <v>1</v>
      </c>
      <c r="W9" s="45">
        <f>IFERROR(VLOOKUP(B9,'[6]INDICADOR J 2017'!$F$8:$G$24,2,0),0)</f>
        <v>0</v>
      </c>
      <c r="X9" s="45">
        <f>IFERROR(VLOOKUP(B9,[7]Hoja1!$B$5:$C$8,2,0),0)</f>
        <v>0</v>
      </c>
      <c r="Y9" s="45">
        <v>0</v>
      </c>
      <c r="Z9" s="48" t="s">
        <v>10</v>
      </c>
      <c r="AA9" s="49"/>
    </row>
    <row r="10" spans="1:27" x14ac:dyDescent="0.25">
      <c r="A10" s="43" t="str">
        <f>Categorías!A11</f>
        <v>UNIVERSIDAD DE VALPARAÍSO</v>
      </c>
      <c r="B10" s="43" t="str">
        <f>Categorías!B11</f>
        <v>UVA</v>
      </c>
      <c r="C10" s="44" t="str">
        <f>Categorías!C11</f>
        <v>CRUCH-ESTATAL</v>
      </c>
      <c r="D10" s="43" t="str">
        <f>Categorías!AA11</f>
        <v>Categoría II</v>
      </c>
      <c r="E10" s="45">
        <f>IFERROR(VLOOKUP(B10,'[5]PAC 2017'!$D$35:$Y$62,22,0),0)</f>
        <v>568</v>
      </c>
      <c r="F10" s="45">
        <f>IFERROR(VLOOKUP(B10,'[6]Indicador a)'!$C$34:$F$62,4,0),0)</f>
        <v>16211</v>
      </c>
      <c r="G10" s="45">
        <f>IFERROR(VLOOKUP(B10,'[6]Indicador b)'!$C$35:$F$62,3,0),0)</f>
        <v>239.5454545454545</v>
      </c>
      <c r="H10" s="45">
        <f>IFERROR(VLOOKUP(B10,'[6]Indicador b)'!$C$35:$F$62,4,0),0)</f>
        <v>877.85340909090871</v>
      </c>
      <c r="I10" s="45">
        <f>IFERROR(VLOOKUP(B10,'[6]Indicador c)'!$C$35:$G$62,4,0),0)</f>
        <v>330.66977272727263</v>
      </c>
      <c r="J10" s="45">
        <f>IFERROR(VLOOKUP(B10,'[6]Indicador c)'!$C$35:$G$62,5,0),0)</f>
        <v>64.159090909090878</v>
      </c>
      <c r="K10" s="45">
        <f>IFERROR(VLOOKUP(B10,[4]SCOPUS!$C$7:$M$33,10,0),0)</f>
        <v>433</v>
      </c>
      <c r="L10" s="45">
        <f>IFERROR(VLOOKUP(B10,[4]SCOPUS!$C$7:$O$33,13,0),0)</f>
        <v>11644</v>
      </c>
      <c r="M10" s="45">
        <f>IFERROR(VLOOKUP(B10,[4]SCOPUS!$C$7:$O$33,12,0),0)</f>
        <v>1859</v>
      </c>
      <c r="N10" s="46">
        <f>IFERROR(VLOOKUP(B10,'[6]Ind G 2018 con QUINTIL PERFIL'!$F$10:$AA$36,21,0),0)</f>
        <v>2322</v>
      </c>
      <c r="O10" s="46">
        <f>IFERROR(VLOOKUP(B10,'[6]Ind G 2018 con QUINTIL PERFIL'!$F$10:$AA$36,14,0),0)</f>
        <v>3442</v>
      </c>
      <c r="P10" s="46">
        <f>IFERROR(VLOOKUP(B10,'[6]Indicador H 2018'!$E$11:$Z$37,21,0),0)</f>
        <v>2846</v>
      </c>
      <c r="Q10" s="46">
        <f>IFERROR(VLOOKUP(B10,'[6]Indicador H 2018'!$E$11:$Z$37,14,0),0)</f>
        <v>3461</v>
      </c>
      <c r="R10" s="47">
        <f>IFERROR(VLOOKUP(B10,'[6]Indicador I 1) 2018'!$D$11:$Y$35,21,0),0)</f>
        <v>1851</v>
      </c>
      <c r="S10" s="47">
        <f>IFERROR(VLOOKUP(B10,'[6]Indicador I 1) 2018'!$D$11:$Y$35,14,0),0)</f>
        <v>2847</v>
      </c>
      <c r="T10" s="45">
        <f>IFERROR(VLOOKUP(B10,'[6]INDICADOR J 2017'!$F$8:$N$24,9,0),0)</f>
        <v>4</v>
      </c>
      <c r="U10" s="45">
        <v>5</v>
      </c>
      <c r="V10" s="45">
        <v>13</v>
      </c>
      <c r="W10" s="45">
        <f>IFERROR(VLOOKUP(B10,'[6]INDICADOR J 2017'!$F$8:$G$24,2,0),0)</f>
        <v>23</v>
      </c>
      <c r="X10" s="45">
        <f>IFERROR(VLOOKUP(B10,[7]Hoja1!$B$5:$C$8,2,0),0)</f>
        <v>0</v>
      </c>
      <c r="Y10" s="45">
        <v>1</v>
      </c>
      <c r="Z10" s="48" t="s">
        <v>4</v>
      </c>
      <c r="AA10" s="49"/>
    </row>
    <row r="11" spans="1:27" x14ac:dyDescent="0.25">
      <c r="A11" s="43" t="str">
        <f>Categorías!A12</f>
        <v>UNIVERSIDAD DEL BÍO-BÍO</v>
      </c>
      <c r="B11" s="43" t="str">
        <f>Categorías!B12</f>
        <v>UBB</v>
      </c>
      <c r="C11" s="44" t="str">
        <f>Categorías!C12</f>
        <v>CRUCH-ESTATAL</v>
      </c>
      <c r="D11" s="43" t="str">
        <f>Categorías!AA12</f>
        <v>Categoría II</v>
      </c>
      <c r="E11" s="45">
        <f>IFERROR(VLOOKUP(B11,'[5]PAC 2017'!$D$35:$Y$62,22,0),0)</f>
        <v>461</v>
      </c>
      <c r="F11" s="45">
        <f>IFERROR(VLOOKUP(B11,'[6]Indicador a)'!$C$34:$F$62,4,0),0)</f>
        <v>12677</v>
      </c>
      <c r="G11" s="45">
        <f>IFERROR(VLOOKUP(B11,'[6]Indicador b)'!$C$35:$F$62,3,0),0)</f>
        <v>233.2954545454545</v>
      </c>
      <c r="H11" s="45">
        <f>IFERROR(VLOOKUP(B11,'[6]Indicador b)'!$C$35:$F$62,4,0),0)</f>
        <v>517.22727272727263</v>
      </c>
      <c r="I11" s="45">
        <f>IFERROR(VLOOKUP(B11,'[6]Indicador c)'!$C$35:$G$62,4,0),0)</f>
        <v>208.25000000000003</v>
      </c>
      <c r="J11" s="45">
        <f>IFERROR(VLOOKUP(B11,'[6]Indicador c)'!$C$35:$G$62,5,0),0)</f>
        <v>0</v>
      </c>
      <c r="K11" s="45">
        <f>IFERROR(VLOOKUP(B11,[4]SCOPUS!$C$7:$M$33,10,0),0)</f>
        <v>253</v>
      </c>
      <c r="L11" s="45">
        <f>IFERROR(VLOOKUP(B11,[4]SCOPUS!$C$7:$O$33,13,0),0)</f>
        <v>3527</v>
      </c>
      <c r="M11" s="45">
        <f>IFERROR(VLOOKUP(B11,[4]SCOPUS!$C$7:$O$33,12,0),0)</f>
        <v>1005</v>
      </c>
      <c r="N11" s="46">
        <f>IFERROR(VLOOKUP(B11,'[6]Ind G 2018 con QUINTIL PERFIL'!$F$10:$AA$36,21,0),0)</f>
        <v>1898</v>
      </c>
      <c r="O11" s="46">
        <f>IFERROR(VLOOKUP(B11,'[6]Ind G 2018 con QUINTIL PERFIL'!$F$10:$AA$36,14,0),0)</f>
        <v>2382</v>
      </c>
      <c r="P11" s="46">
        <f>IFERROR(VLOOKUP(B11,'[6]Indicador H 2018'!$E$11:$Z$37,21,0),0)</f>
        <v>1972</v>
      </c>
      <c r="Q11" s="46">
        <f>IFERROR(VLOOKUP(B11,'[6]Indicador H 2018'!$E$11:$Z$37,14,0),0)</f>
        <v>2277</v>
      </c>
      <c r="R11" s="47">
        <f>IFERROR(VLOOKUP(B11,'[6]Indicador I 1) 2018'!$D$11:$Y$35,21,0),0)</f>
        <v>1499</v>
      </c>
      <c r="S11" s="47">
        <f>IFERROR(VLOOKUP(B11,'[6]Indicador I 1) 2018'!$D$11:$Y$35,14,0),0)</f>
        <v>2115</v>
      </c>
      <c r="T11" s="45">
        <f>IFERROR(VLOOKUP(B11,'[6]INDICADOR J 2017'!$F$8:$N$24,9,0),0)</f>
        <v>0</v>
      </c>
      <c r="U11" s="45">
        <v>0</v>
      </c>
      <c r="V11" s="45">
        <v>8</v>
      </c>
      <c r="W11" s="45">
        <f>IFERROR(VLOOKUP(B11,'[6]INDICADOR J 2017'!$F$8:$G$24,2,0),0)</f>
        <v>2</v>
      </c>
      <c r="X11" s="45">
        <f>IFERROR(VLOOKUP(B11,[7]Hoja1!$B$5:$C$8,2,0),0)</f>
        <v>0</v>
      </c>
      <c r="Y11" s="45">
        <v>1</v>
      </c>
      <c r="Z11" s="48" t="s">
        <v>8</v>
      </c>
      <c r="AA11" s="49"/>
    </row>
    <row r="12" spans="1:27" x14ac:dyDescent="0.25">
      <c r="A12" s="43" t="str">
        <f>Categorías!A13</f>
        <v>UNIVERSIDAD DE LA SERENA</v>
      </c>
      <c r="B12" s="43" t="str">
        <f>Categorías!B13</f>
        <v>ULS</v>
      </c>
      <c r="C12" s="44" t="str">
        <f>Categorías!C13</f>
        <v>CRUCH-ESTATAL</v>
      </c>
      <c r="D12" s="43" t="str">
        <f>Categorías!AA13</f>
        <v>Categoría II</v>
      </c>
      <c r="E12" s="45">
        <f>IFERROR(VLOOKUP(B12,'[5]PAC 2017'!$D$35:$Y$62,22,0),0)</f>
        <v>232</v>
      </c>
      <c r="F12" s="45">
        <f>IFERROR(VLOOKUP(B12,'[6]Indicador a)'!$C$34:$F$62,4,0),0)</f>
        <v>7619</v>
      </c>
      <c r="G12" s="45">
        <f>IFERROR(VLOOKUP(B12,'[6]Indicador b)'!$C$35:$F$62,3,0),0)</f>
        <v>122.70454545454547</v>
      </c>
      <c r="H12" s="45">
        <f>IFERROR(VLOOKUP(B12,'[6]Indicador b)'!$C$35:$F$62,4,0),0)</f>
        <v>373.45454545454504</v>
      </c>
      <c r="I12" s="45">
        <f>IFERROR(VLOOKUP(B12,'[6]Indicador c)'!$C$35:$G$62,4,0),0)</f>
        <v>96.772727272727224</v>
      </c>
      <c r="J12" s="45">
        <f>IFERROR(VLOOKUP(B12,'[6]Indicador c)'!$C$35:$G$62,5,0),0)</f>
        <v>6.0454545454545441</v>
      </c>
      <c r="K12" s="45">
        <f>IFERROR(VLOOKUP(B12,[4]SCOPUS!$C$7:$M$33,10,0),0)</f>
        <v>173</v>
      </c>
      <c r="L12" s="45">
        <f>IFERROR(VLOOKUP(B12,[4]SCOPUS!$C$7:$O$33,13,0),0)</f>
        <v>4290</v>
      </c>
      <c r="M12" s="45">
        <f>IFERROR(VLOOKUP(B12,[4]SCOPUS!$C$7:$O$33,12,0),0)</f>
        <v>636</v>
      </c>
      <c r="N12" s="46">
        <f>IFERROR(VLOOKUP(B12,'[6]Ind G 2018 con QUINTIL PERFIL'!$F$10:$AA$36,21,0),0)</f>
        <v>1194</v>
      </c>
      <c r="O12" s="46">
        <f>IFERROR(VLOOKUP(B12,'[6]Ind G 2018 con QUINTIL PERFIL'!$F$10:$AA$36,14,0),0)</f>
        <v>1773</v>
      </c>
      <c r="P12" s="46">
        <f>IFERROR(VLOOKUP(B12,'[6]Indicador H 2018'!$E$11:$Z$37,21,0),0)</f>
        <v>1355</v>
      </c>
      <c r="Q12" s="46">
        <f>IFERROR(VLOOKUP(B12,'[6]Indicador H 2018'!$E$11:$Z$37,14,0),0)</f>
        <v>1675</v>
      </c>
      <c r="R12" s="47">
        <f>IFERROR(VLOOKUP(B12,'[6]Indicador I 1) 2018'!$D$11:$Y$35,21,0),0)</f>
        <v>938</v>
      </c>
      <c r="S12" s="47">
        <f>IFERROR(VLOOKUP(B12,'[6]Indicador I 1) 2018'!$D$11:$Y$35,14,0),0)</f>
        <v>1546</v>
      </c>
      <c r="T12" s="45">
        <f>IFERROR(VLOOKUP(B12,'[6]INDICADOR J 2017'!$F$8:$N$24,9,0),0)</f>
        <v>0</v>
      </c>
      <c r="U12" s="45">
        <v>1</v>
      </c>
      <c r="V12" s="45">
        <v>2</v>
      </c>
      <c r="W12" s="45">
        <f>IFERROR(VLOOKUP(B12,'[6]INDICADOR J 2017'!$F$8:$G$24,2,0),0)</f>
        <v>3</v>
      </c>
      <c r="X12" s="45">
        <f>IFERROR(VLOOKUP(B12,[7]Hoja1!$B$5:$C$8,2,0),0)</f>
        <v>0</v>
      </c>
      <c r="Y12" s="45">
        <v>0</v>
      </c>
      <c r="Z12" s="48" t="s">
        <v>7</v>
      </c>
      <c r="AA12" s="49"/>
    </row>
    <row r="13" spans="1:27" x14ac:dyDescent="0.25">
      <c r="A13" s="43" t="str">
        <f>Categorías!A14</f>
        <v>UNIVERSIDAD DE PLAYA ANCHA CS. EDUCACIÓN</v>
      </c>
      <c r="B13" s="43" t="str">
        <f>Categorías!B14</f>
        <v>UPA</v>
      </c>
      <c r="C13" s="44" t="str">
        <f>Categorías!C14</f>
        <v>CRUCH-ESTATAL</v>
      </c>
      <c r="D13" s="43" t="str">
        <f>Categorías!AA14</f>
        <v>Categoría III</v>
      </c>
      <c r="E13" s="45">
        <f>IFERROR(VLOOKUP(B13,'[5]PAC 2017'!$D$35:$Y$62,22,0),0)</f>
        <v>314</v>
      </c>
      <c r="F13" s="45">
        <f>IFERROR(VLOOKUP(B13,'[6]Indicador a)'!$C$34:$F$62,4,0),0)</f>
        <v>8334</v>
      </c>
      <c r="G13" s="45">
        <f>IFERROR(VLOOKUP(B13,'[6]Indicador b)'!$C$35:$F$62,3,0),0)</f>
        <v>125.62954545454545</v>
      </c>
      <c r="H13" s="45">
        <f>IFERROR(VLOOKUP(B13,'[6]Indicador b)'!$C$35:$F$62,4,0),0)</f>
        <v>427.83114545454538</v>
      </c>
      <c r="I13" s="45">
        <f>IFERROR(VLOOKUP(B13,'[6]Indicador c)'!$C$35:$G$62,4,0),0)</f>
        <v>196.87727272727278</v>
      </c>
      <c r="J13" s="45">
        <f>IFERROR(VLOOKUP(B13,'[6]Indicador c)'!$C$35:$G$62,5,0),0)</f>
        <v>0.13636363636363635</v>
      </c>
      <c r="K13" s="45">
        <f>IFERROR(VLOOKUP(B13,[4]SCOPUS!$C$7:$M$33,10,0),0)</f>
        <v>86</v>
      </c>
      <c r="L13" s="45">
        <f>IFERROR(VLOOKUP(B13,[4]SCOPUS!$C$7:$O$33,13,0),0)</f>
        <v>978</v>
      </c>
      <c r="M13" s="45">
        <f>IFERROR(VLOOKUP(B13,[4]SCOPUS!$C$7:$O$33,12,0),0)</f>
        <v>421</v>
      </c>
      <c r="N13" s="46">
        <f>IFERROR(VLOOKUP(B13,'[6]Ind G 2018 con QUINTIL PERFIL'!$F$10:$AA$36,21,0),0)</f>
        <v>1272</v>
      </c>
      <c r="O13" s="46">
        <f>IFERROR(VLOOKUP(B13,'[6]Ind G 2018 con QUINTIL PERFIL'!$F$10:$AA$36,14,0),0)</f>
        <v>1715</v>
      </c>
      <c r="P13" s="46">
        <f>IFERROR(VLOOKUP(B13,'[6]Indicador H 2018'!$E$11:$Z$37,21,0),0)</f>
        <v>1419</v>
      </c>
      <c r="Q13" s="46">
        <f>IFERROR(VLOOKUP(B13,'[6]Indicador H 2018'!$E$11:$Z$37,14,0),0)</f>
        <v>1801</v>
      </c>
      <c r="R13" s="47">
        <f>IFERROR(VLOOKUP(B13,'[6]Indicador I 1) 2018'!$D$11:$Y$35,21,0),0)</f>
        <v>855</v>
      </c>
      <c r="S13" s="47">
        <f>IFERROR(VLOOKUP(B13,'[6]Indicador I 1) 2018'!$D$11:$Y$35,14,0),0)</f>
        <v>1434</v>
      </c>
      <c r="T13" s="45">
        <f>IFERROR(VLOOKUP(B13,'[6]INDICADOR J 2017'!$F$8:$N$24,9,0),0)</f>
        <v>1</v>
      </c>
      <c r="U13" s="45">
        <v>14</v>
      </c>
      <c r="V13" s="45">
        <v>7</v>
      </c>
      <c r="W13" s="45">
        <f>IFERROR(VLOOKUP(B13,'[6]INDICADOR J 2017'!$F$8:$G$24,2,0),0)</f>
        <v>11</v>
      </c>
      <c r="X13" s="45">
        <f>IFERROR(VLOOKUP(B13,[7]Hoja1!$B$5:$C$8,2,0),0)</f>
        <v>0</v>
      </c>
      <c r="Y13" s="45">
        <v>0</v>
      </c>
      <c r="Z13" s="48" t="s">
        <v>27</v>
      </c>
      <c r="AA13" s="49"/>
    </row>
    <row r="14" spans="1:27" x14ac:dyDescent="0.25">
      <c r="A14" s="43" t="str">
        <f>Categorías!A15</f>
        <v>UNIVERSIDAD ARTURO PRAT</v>
      </c>
      <c r="B14" s="43" t="str">
        <f>Categorías!B15</f>
        <v>UAP</v>
      </c>
      <c r="C14" s="44" t="str">
        <f>Categorías!C15</f>
        <v>CRUCH-ESTATAL</v>
      </c>
      <c r="D14" s="43" t="str">
        <f>Categorías!AA15</f>
        <v>Categoría III</v>
      </c>
      <c r="E14" s="45">
        <f>IFERROR(VLOOKUP(B14,'[5]PAC 2017'!$D$35:$Y$62,22,0),0)</f>
        <v>273</v>
      </c>
      <c r="F14" s="45">
        <f>IFERROR(VLOOKUP(B14,'[6]Indicador a)'!$C$34:$F$62,4,0),0)</f>
        <v>13191</v>
      </c>
      <c r="G14" s="45">
        <f>IFERROR(VLOOKUP(B14,'[6]Indicador b)'!$C$35:$F$62,3,0),0)</f>
        <v>72.295454545454533</v>
      </c>
      <c r="H14" s="45">
        <f>IFERROR(VLOOKUP(B14,'[6]Indicador b)'!$C$35:$F$62,4,0),0)</f>
        <v>459.56818181818221</v>
      </c>
      <c r="I14" s="45">
        <f>IFERROR(VLOOKUP(B14,'[6]Indicador c)'!$C$35:$G$62,4,0),0)</f>
        <v>174.52272727272754</v>
      </c>
      <c r="J14" s="45">
        <f>IFERROR(VLOOKUP(B14,'[6]Indicador c)'!$C$35:$G$62,5,0),0)</f>
        <v>0.18181818181818182</v>
      </c>
      <c r="K14" s="45">
        <f>IFERROR(VLOOKUP(B14,[4]SCOPUS!$C$7:$M$33,10,0),0)</f>
        <v>65</v>
      </c>
      <c r="L14" s="45">
        <f>IFERROR(VLOOKUP(B14,[4]SCOPUS!$C$7:$O$33,13,0),0)</f>
        <v>1416</v>
      </c>
      <c r="M14" s="45">
        <f>IFERROR(VLOOKUP(B14,[4]SCOPUS!$C$7:$O$33,12,0),0)</f>
        <v>321</v>
      </c>
      <c r="N14" s="46">
        <f>IFERROR(VLOOKUP(B14,'[6]Ind G 2018 con QUINTIL PERFIL'!$F$10:$AA$36,21,0),0)</f>
        <v>694</v>
      </c>
      <c r="O14" s="46">
        <f>IFERROR(VLOOKUP(B14,'[6]Ind G 2018 con QUINTIL PERFIL'!$F$10:$AA$36,14,0),0)</f>
        <v>996</v>
      </c>
      <c r="P14" s="46">
        <f>IFERROR(VLOOKUP(B14,'[6]Indicador H 2018'!$E$11:$Z$37,21,0),0)</f>
        <v>743</v>
      </c>
      <c r="Q14" s="46">
        <f>IFERROR(VLOOKUP(B14,'[6]Indicador H 2018'!$E$11:$Z$37,14,0),0)</f>
        <v>948</v>
      </c>
      <c r="R14" s="47">
        <f>IFERROR(VLOOKUP(B14,'[6]Indicador I 1) 2018'!$D$11:$Y$35,21,0),0)</f>
        <v>641</v>
      </c>
      <c r="S14" s="47">
        <f>IFERROR(VLOOKUP(B14,'[6]Indicador I 1) 2018'!$D$11:$Y$35,14,0),0)</f>
        <v>1032</v>
      </c>
      <c r="T14" s="45">
        <f>IFERROR(VLOOKUP(B14,'[6]INDICADOR J 2017'!$F$8:$N$24,9,0),0)</f>
        <v>0</v>
      </c>
      <c r="U14" s="45">
        <v>0</v>
      </c>
      <c r="V14" s="45">
        <v>0</v>
      </c>
      <c r="W14" s="45">
        <f>IFERROR(VLOOKUP(B14,'[6]INDICADOR J 2017'!$F$8:$G$24,2,0),0)</f>
        <v>0</v>
      </c>
      <c r="X14" s="45">
        <f>IFERROR(VLOOKUP(B14,[7]Hoja1!$B$5:$C$8,2,0),0)</f>
        <v>0</v>
      </c>
      <c r="Y14" s="45">
        <v>0</v>
      </c>
      <c r="Z14" s="48" t="s">
        <v>23</v>
      </c>
      <c r="AA14" s="49"/>
    </row>
    <row r="15" spans="1:27" x14ac:dyDescent="0.25">
      <c r="A15" s="43" t="str">
        <f>Categorías!A16</f>
        <v>UNIVERSIDAD DE ATACAMA</v>
      </c>
      <c r="B15" s="43" t="str">
        <f>Categorías!B16</f>
        <v>ATA</v>
      </c>
      <c r="C15" s="44" t="str">
        <f>Categorías!C16</f>
        <v>CRUCH-ESTATAL</v>
      </c>
      <c r="D15" s="43" t="str">
        <f>Categorías!AA16</f>
        <v>Categoría III</v>
      </c>
      <c r="E15" s="45">
        <f>IFERROR(VLOOKUP(B15,'[5]PAC 2017'!$D$35:$Y$62,22,0),0)</f>
        <v>311</v>
      </c>
      <c r="F15" s="45">
        <f>IFERROR(VLOOKUP(B15,'[6]Indicador a)'!$C$34:$F$62,4,0),0)</f>
        <v>6947</v>
      </c>
      <c r="G15" s="45">
        <f>IFERROR(VLOOKUP(B15,'[6]Indicador b)'!$C$35:$F$62,3,0),0)</f>
        <v>70</v>
      </c>
      <c r="H15" s="45">
        <f>IFERROR(VLOOKUP(B15,'[6]Indicador b)'!$C$35:$F$62,4,0),0)</f>
        <v>319.06818181818181</v>
      </c>
      <c r="I15" s="45">
        <f>IFERROR(VLOOKUP(B15,'[6]Indicador c)'!$C$35:$G$62,4,0),0)</f>
        <v>69.409090909090907</v>
      </c>
      <c r="J15" s="45">
        <f>IFERROR(VLOOKUP(B15,'[6]Indicador c)'!$C$35:$G$62,5,0),0)</f>
        <v>0</v>
      </c>
      <c r="K15" s="45">
        <f>IFERROR(VLOOKUP(B15,[4]SCOPUS!$C$7:$M$33,10,0),0)</f>
        <v>93</v>
      </c>
      <c r="L15" s="45">
        <f>IFERROR(VLOOKUP(B15,[4]SCOPUS!$C$7:$O$33,13,0),0)</f>
        <v>769</v>
      </c>
      <c r="M15" s="45">
        <f>IFERROR(VLOOKUP(B15,[4]SCOPUS!$C$7:$O$33,12,0),0)</f>
        <v>227</v>
      </c>
      <c r="N15" s="46">
        <f>IFERROR(VLOOKUP(B15,'[6]Ind G 2018 con QUINTIL PERFIL'!$F$10:$AA$36,21,0),0)</f>
        <v>709</v>
      </c>
      <c r="O15" s="46">
        <f>IFERROR(VLOOKUP(B15,'[6]Ind G 2018 con QUINTIL PERFIL'!$F$10:$AA$36,14,0),0)</f>
        <v>1058</v>
      </c>
      <c r="P15" s="46">
        <f>IFERROR(VLOOKUP(B15,'[6]Indicador H 2018'!$E$11:$Z$37,21,0),0)</f>
        <v>813</v>
      </c>
      <c r="Q15" s="46">
        <f>IFERROR(VLOOKUP(B15,'[6]Indicador H 2018'!$E$11:$Z$37,14,0),0)</f>
        <v>1044</v>
      </c>
      <c r="R15" s="47">
        <f>IFERROR(VLOOKUP(B15,'[6]Indicador I 1) 2018'!$D$11:$Y$35,21,0),0)</f>
        <v>544</v>
      </c>
      <c r="S15" s="47">
        <f>IFERROR(VLOOKUP(B15,'[6]Indicador I 1) 2018'!$D$11:$Y$35,14,0),0)</f>
        <v>1016</v>
      </c>
      <c r="T15" s="45">
        <f>IFERROR(VLOOKUP(B15,'[6]INDICADOR J 2017'!$F$8:$N$24,9,0),0)</f>
        <v>0</v>
      </c>
      <c r="U15" s="45">
        <v>0</v>
      </c>
      <c r="V15" s="45">
        <v>0</v>
      </c>
      <c r="W15" s="45">
        <f>IFERROR(VLOOKUP(B15,'[6]INDICADOR J 2017'!$F$8:$G$24,2,0),0)</f>
        <v>0</v>
      </c>
      <c r="X15" s="45">
        <f>IFERROR(VLOOKUP(B15,[7]Hoja1!$B$5:$C$8,2,0),0)</f>
        <v>0</v>
      </c>
      <c r="Y15" s="45">
        <v>0</v>
      </c>
      <c r="Z15" s="48" t="s">
        <v>24</v>
      </c>
      <c r="AA15" s="49"/>
    </row>
    <row r="16" spans="1:27" x14ac:dyDescent="0.25">
      <c r="A16" s="43" t="str">
        <f>Categorías!A17</f>
        <v>UNIVERSIDAD DE LOS LAGOS</v>
      </c>
      <c r="B16" s="43" t="str">
        <f>Categorías!B17</f>
        <v>ULA</v>
      </c>
      <c r="C16" s="44" t="str">
        <f>Categorías!C17</f>
        <v>CRUCH-ESTATAL</v>
      </c>
      <c r="D16" s="43" t="str">
        <f>Categorías!AA17</f>
        <v>Categoría II</v>
      </c>
      <c r="E16" s="45">
        <f>IFERROR(VLOOKUP(B16,'[5]PAC 2017'!$D$35:$Y$62,22,0),0)</f>
        <v>294</v>
      </c>
      <c r="F16" s="45">
        <f>IFERROR(VLOOKUP(B16,'[6]Indicador a)'!$C$34:$F$62,4,0),0)</f>
        <v>9560</v>
      </c>
      <c r="G16" s="45">
        <f>IFERROR(VLOOKUP(B16,'[6]Indicador b)'!$C$35:$F$62,3,0),0)</f>
        <v>93.090909090909093</v>
      </c>
      <c r="H16" s="45">
        <f>IFERROR(VLOOKUP(B16,'[6]Indicador b)'!$C$35:$F$62,4,0),0)</f>
        <v>432.45227272727323</v>
      </c>
      <c r="I16" s="45">
        <f>IFERROR(VLOOKUP(B16,'[6]Indicador c)'!$C$35:$G$62,4,0),0)</f>
        <v>163.85454545454553</v>
      </c>
      <c r="J16" s="45">
        <f>IFERROR(VLOOKUP(B16,'[6]Indicador c)'!$C$35:$G$62,5,0),0)</f>
        <v>0</v>
      </c>
      <c r="K16" s="45">
        <f>IFERROR(VLOOKUP(B16,[4]SCOPUS!$C$7:$M$33,10,0),0)</f>
        <v>121</v>
      </c>
      <c r="L16" s="45">
        <f>IFERROR(VLOOKUP(B16,[4]SCOPUS!$C$7:$O$33,13,0),0)</f>
        <v>1792</v>
      </c>
      <c r="M16" s="45">
        <f>IFERROR(VLOOKUP(B16,[4]SCOPUS!$C$7:$O$33,12,0),0)</f>
        <v>445</v>
      </c>
      <c r="N16" s="46">
        <f>IFERROR(VLOOKUP(B16,'[6]Ind G 2018 con QUINTIL PERFIL'!$F$10:$AA$36,21,0),0)</f>
        <v>1028</v>
      </c>
      <c r="O16" s="46">
        <f>IFERROR(VLOOKUP(B16,'[6]Ind G 2018 con QUINTIL PERFIL'!$F$10:$AA$36,14,0),0)</f>
        <v>1225</v>
      </c>
      <c r="P16" s="46">
        <f>IFERROR(VLOOKUP(B16,'[6]Indicador H 2018'!$E$11:$Z$37,21,0),0)</f>
        <v>835</v>
      </c>
      <c r="Q16" s="46">
        <f>IFERROR(VLOOKUP(B16,'[6]Indicador H 2018'!$E$11:$Z$37,14,0),0)</f>
        <v>1021</v>
      </c>
      <c r="R16" s="47">
        <f>IFERROR(VLOOKUP(B16,'[6]Indicador I 1) 2018'!$D$11:$Y$35,21,0),0)</f>
        <v>554</v>
      </c>
      <c r="S16" s="47">
        <f>IFERROR(VLOOKUP(B16,'[6]Indicador I 1) 2018'!$D$11:$Y$35,14,0),0)</f>
        <v>884</v>
      </c>
      <c r="T16" s="45">
        <f>IFERROR(VLOOKUP(B16,'[6]INDICADOR J 2017'!$F$8:$N$24,9,0),0)</f>
        <v>0</v>
      </c>
      <c r="U16" s="45">
        <v>0</v>
      </c>
      <c r="V16" s="45">
        <v>0</v>
      </c>
      <c r="W16" s="45">
        <f>IFERROR(VLOOKUP(B16,'[6]INDICADOR J 2017'!$F$8:$G$24,2,0),0)</f>
        <v>1</v>
      </c>
      <c r="X16" s="45">
        <f>IFERROR(VLOOKUP(B16,[7]Hoja1!$B$5:$C$8,2,0),0)</f>
        <v>0</v>
      </c>
      <c r="Y16" s="45">
        <v>1</v>
      </c>
      <c r="Z16" s="48" t="s">
        <v>25</v>
      </c>
      <c r="AA16" s="49"/>
    </row>
    <row r="17" spans="1:27" x14ac:dyDescent="0.25">
      <c r="A17" s="43" t="str">
        <f>Categorías!A18</f>
        <v>UNIVERSIDAD DE MAGALLANES</v>
      </c>
      <c r="B17" s="43" t="str">
        <f>Categorías!B18</f>
        <v>MAG</v>
      </c>
      <c r="C17" s="44" t="str">
        <f>Categorías!C18</f>
        <v>CRUCH-ESTATAL</v>
      </c>
      <c r="D17" s="43" t="str">
        <f>Categorías!AA18</f>
        <v>Categoría II</v>
      </c>
      <c r="E17" s="45">
        <f>IFERROR(VLOOKUP(B17,'[5]PAC 2017'!$D$35:$Y$62,22,0),0)</f>
        <v>189</v>
      </c>
      <c r="F17" s="45">
        <f>IFERROR(VLOOKUP(B17,'[6]Indicador a)'!$C$34:$F$62,4,0),0)</f>
        <v>4510</v>
      </c>
      <c r="G17" s="45">
        <f>IFERROR(VLOOKUP(B17,'[6]Indicador b)'!$C$35:$F$62,3,0),0)</f>
        <v>60.594715909090915</v>
      </c>
      <c r="H17" s="45">
        <f>IFERROR(VLOOKUP(B17,'[6]Indicador b)'!$C$35:$F$62,4,0),0)</f>
        <v>270.42346590909085</v>
      </c>
      <c r="I17" s="45">
        <f>IFERROR(VLOOKUP(B17,'[6]Indicador c)'!$C$35:$G$62,4,0),0)</f>
        <v>71.279659090909064</v>
      </c>
      <c r="J17" s="45">
        <f>IFERROR(VLOOKUP(B17,'[6]Indicador c)'!$C$35:$G$62,5,0),0)</f>
        <v>0.78017045454545464</v>
      </c>
      <c r="K17" s="45">
        <f>IFERROR(VLOOKUP(B17,[4]SCOPUS!$C$7:$M$33,10,0),0)</f>
        <v>104</v>
      </c>
      <c r="L17" s="45">
        <f>IFERROR(VLOOKUP(B17,[4]SCOPUS!$C$7:$O$33,13,0),0)</f>
        <v>2058</v>
      </c>
      <c r="M17" s="45">
        <f>IFERROR(VLOOKUP(B17,[4]SCOPUS!$C$7:$O$33,12,0),0)</f>
        <v>409</v>
      </c>
      <c r="N17" s="46">
        <f>IFERROR(VLOOKUP(B17,'[6]Ind G 2018 con QUINTIL PERFIL'!$F$10:$AA$36,21,0),0)</f>
        <v>419</v>
      </c>
      <c r="O17" s="46">
        <f>IFERROR(VLOOKUP(B17,'[6]Ind G 2018 con QUINTIL PERFIL'!$F$10:$AA$36,14,0),0)</f>
        <v>747</v>
      </c>
      <c r="P17" s="46">
        <f>IFERROR(VLOOKUP(B17,'[6]Indicador H 2018'!$E$11:$Z$37,21,0),0)</f>
        <v>575</v>
      </c>
      <c r="Q17" s="46">
        <f>IFERROR(VLOOKUP(B17,'[6]Indicador H 2018'!$E$11:$Z$37,14,0),0)</f>
        <v>745</v>
      </c>
      <c r="R17" s="47">
        <f>IFERROR(VLOOKUP(B17,'[6]Indicador I 1) 2018'!$D$11:$Y$35,21,0),0)</f>
        <v>379</v>
      </c>
      <c r="S17" s="47">
        <f>IFERROR(VLOOKUP(B17,'[6]Indicador I 1) 2018'!$D$11:$Y$35,14,0),0)</f>
        <v>559</v>
      </c>
      <c r="T17" s="45">
        <f>IFERROR(VLOOKUP(B17,'[6]INDICADOR J 2017'!$F$8:$N$24,9,0),0)</f>
        <v>0</v>
      </c>
      <c r="U17" s="45">
        <v>0</v>
      </c>
      <c r="V17" s="45">
        <v>0</v>
      </c>
      <c r="W17" s="45">
        <f>IFERROR(VLOOKUP(B17,'[6]INDICADOR J 2017'!$F$8:$G$24,2,0),0)</f>
        <v>0</v>
      </c>
      <c r="X17" s="45">
        <f>IFERROR(VLOOKUP(B17,[7]Hoja1!$B$5:$C$8,2,0),0)</f>
        <v>0</v>
      </c>
      <c r="Y17" s="45">
        <v>0</v>
      </c>
      <c r="Z17" s="48" t="s">
        <v>26</v>
      </c>
      <c r="AA17" s="49"/>
    </row>
    <row r="18" spans="1:27" x14ac:dyDescent="0.25">
      <c r="A18" s="43" t="str">
        <f>Categorías!A19</f>
        <v>UNIVERSIDAD METROPOLITANA DE CS.DE LA EDUCACIÓN</v>
      </c>
      <c r="B18" s="43" t="str">
        <f>Categorías!B19</f>
        <v>UMC</v>
      </c>
      <c r="C18" s="44" t="str">
        <f>Categorías!C19</f>
        <v>CRUCH-ESTATAL</v>
      </c>
      <c r="D18" s="43" t="str">
        <f>Categorías!AA19</f>
        <v>Categoría III</v>
      </c>
      <c r="E18" s="45">
        <f>IFERROR(VLOOKUP(B18,'[5]PAC 2017'!$D$35:$Y$62,22,0),0)</f>
        <v>240</v>
      </c>
      <c r="F18" s="45">
        <f>IFERROR(VLOOKUP(B18,'[6]Indicador a)'!$C$34:$F$62,4,0),0)</f>
        <v>4924</v>
      </c>
      <c r="G18" s="45">
        <f>IFERROR(VLOOKUP(B18,'[6]Indicador b)'!$C$35:$F$62,3,0),0)</f>
        <v>70.5</v>
      </c>
      <c r="H18" s="45">
        <f>IFERROR(VLOOKUP(B18,'[6]Indicador b)'!$C$35:$F$62,4,0),0)</f>
        <v>328.24999999999989</v>
      </c>
      <c r="I18" s="45">
        <f>IFERROR(VLOOKUP(B18,'[6]Indicador c)'!$C$35:$G$62,4,0),0)</f>
        <v>155.29545454545448</v>
      </c>
      <c r="J18" s="45">
        <f>IFERROR(VLOOKUP(B18,'[6]Indicador c)'!$C$35:$G$62,5,0),0)</f>
        <v>0</v>
      </c>
      <c r="K18" s="45">
        <f>IFERROR(VLOOKUP(B18,[4]SCOPUS!$C$7:$M$33,10,0),0)</f>
        <v>35</v>
      </c>
      <c r="L18" s="45">
        <f>IFERROR(VLOOKUP(B18,[4]SCOPUS!$C$7:$O$33,13,0),0)</f>
        <v>578</v>
      </c>
      <c r="M18" s="45">
        <f>IFERROR(VLOOKUP(B18,[4]SCOPUS!$C$7:$O$33,12,0),0)</f>
        <v>165</v>
      </c>
      <c r="N18" s="46">
        <f>IFERROR(VLOOKUP(B18,'[6]Ind G 2018 con QUINTIL PERFIL'!$F$10:$AA$36,21,0),0)</f>
        <v>710</v>
      </c>
      <c r="O18" s="46">
        <f>IFERROR(VLOOKUP(B18,'[6]Ind G 2018 con QUINTIL PERFIL'!$F$10:$AA$36,14,0),0)</f>
        <v>1122</v>
      </c>
      <c r="P18" s="46">
        <f>IFERROR(VLOOKUP(B18,'[6]Indicador H 2018'!$E$11:$Z$37,21,0),0)</f>
        <v>879</v>
      </c>
      <c r="Q18" s="46">
        <f>IFERROR(VLOOKUP(B18,'[6]Indicador H 2018'!$E$11:$Z$37,14,0),0)</f>
        <v>1068</v>
      </c>
      <c r="R18" s="47">
        <f>IFERROR(VLOOKUP(B18,'[6]Indicador I 1) 2018'!$D$11:$Y$35,21,0),0)</f>
        <v>670</v>
      </c>
      <c r="S18" s="47">
        <f>IFERROR(VLOOKUP(B18,'[6]Indicador I 1) 2018'!$D$11:$Y$35,14,0),0)</f>
        <v>1044</v>
      </c>
      <c r="T18" s="45">
        <f>IFERROR(VLOOKUP(B18,'[6]INDICADOR J 2017'!$F$8:$N$24,9,0),0)</f>
        <v>2</v>
      </c>
      <c r="U18" s="45">
        <v>3</v>
      </c>
      <c r="V18" s="45">
        <v>5</v>
      </c>
      <c r="W18" s="45">
        <f>IFERROR(VLOOKUP(B18,'[6]INDICADOR J 2017'!$F$8:$G$24,2,0),0)</f>
        <v>7</v>
      </c>
      <c r="X18" s="45">
        <f>IFERROR(VLOOKUP(B18,[7]Hoja1!$B$5:$C$8,2,0),0)</f>
        <v>0</v>
      </c>
      <c r="Y18" s="45">
        <v>0</v>
      </c>
      <c r="Z18" s="48" t="s">
        <v>28</v>
      </c>
      <c r="AA18" s="49"/>
    </row>
    <row r="19" spans="1:27" x14ac:dyDescent="0.25">
      <c r="A19" s="43" t="str">
        <f>Categorías!A20</f>
        <v>UNIVERSIDAD TECNOLÓGICA METROPOLITANA</v>
      </c>
      <c r="B19" s="43" t="str">
        <f>Categorías!B20</f>
        <v>UTM</v>
      </c>
      <c r="C19" s="44" t="str">
        <f>Categorías!C20</f>
        <v>CRUCH-ESTATAL</v>
      </c>
      <c r="D19" s="43" t="str">
        <f>Categorías!AA20</f>
        <v>Categoría III</v>
      </c>
      <c r="E19" s="45">
        <f>IFERROR(VLOOKUP(B19,'[5]PAC 2017'!$D$35:$Y$62,22,0),0)</f>
        <v>195</v>
      </c>
      <c r="F19" s="45">
        <f>IFERROR(VLOOKUP(B19,'[6]Indicador a)'!$C$34:$F$62,4,0),0)</f>
        <v>8463</v>
      </c>
      <c r="G19" s="45">
        <f>IFERROR(VLOOKUP(B19,'[6]Indicador b)'!$C$35:$F$62,3,0),0)</f>
        <v>54.148863636363636</v>
      </c>
      <c r="H19" s="45">
        <f>IFERROR(VLOOKUP(B19,'[6]Indicador b)'!$C$35:$F$62,4,0),0)</f>
        <v>300.66761363636385</v>
      </c>
      <c r="I19" s="45">
        <f>IFERROR(VLOOKUP(B19,'[6]Indicador c)'!$C$35:$G$62,4,0),0)</f>
        <v>133.59431818181827</v>
      </c>
      <c r="J19" s="45">
        <f>IFERROR(VLOOKUP(B19,'[6]Indicador c)'!$C$35:$G$62,5,0),0)</f>
        <v>0</v>
      </c>
      <c r="K19" s="45">
        <f>IFERROR(VLOOKUP(B19,[4]SCOPUS!$C$7:$M$33,10,0),0)</f>
        <v>60</v>
      </c>
      <c r="L19" s="45">
        <f>IFERROR(VLOOKUP(B19,[4]SCOPUS!$C$7:$O$33,13,0),0)</f>
        <v>594</v>
      </c>
      <c r="M19" s="45">
        <f>IFERROR(VLOOKUP(B19,[4]SCOPUS!$C$7:$O$33,12,0),0)</f>
        <v>145</v>
      </c>
      <c r="N19" s="46">
        <f>IFERROR(VLOOKUP(B19,'[6]Ind G 2018 con QUINTIL PERFIL'!$F$10:$AA$36,21,0),0)</f>
        <v>1555</v>
      </c>
      <c r="O19" s="46">
        <f>IFERROR(VLOOKUP(B19,'[6]Ind G 2018 con QUINTIL PERFIL'!$F$10:$AA$36,14,0),0)</f>
        <v>2079</v>
      </c>
      <c r="P19" s="46">
        <f>IFERROR(VLOOKUP(B19,'[6]Indicador H 2018'!$E$11:$Z$37,21,0),0)</f>
        <v>1696</v>
      </c>
      <c r="Q19" s="46">
        <f>IFERROR(VLOOKUP(B19,'[6]Indicador H 2018'!$E$11:$Z$37,14,0),0)</f>
        <v>2255</v>
      </c>
      <c r="R19" s="47">
        <f>IFERROR(VLOOKUP(B19,'[6]Indicador I 1) 2018'!$D$11:$Y$35,21,0),0)</f>
        <v>1030</v>
      </c>
      <c r="S19" s="47">
        <f>IFERROR(VLOOKUP(B19,'[6]Indicador I 1) 2018'!$D$11:$Y$35,14,0),0)</f>
        <v>1846</v>
      </c>
      <c r="T19" s="45">
        <f>IFERROR(VLOOKUP(B19,'[6]INDICADOR J 2017'!$F$8:$N$24,9,0),0)</f>
        <v>0</v>
      </c>
      <c r="U19" s="45">
        <v>0</v>
      </c>
      <c r="V19" s="45">
        <v>0</v>
      </c>
      <c r="W19" s="45">
        <f>IFERROR(VLOOKUP(B19,'[6]INDICADOR J 2017'!$F$8:$G$24,2,0),0)</f>
        <v>0</v>
      </c>
      <c r="X19" s="45">
        <f>IFERROR(VLOOKUP(B19,[7]Hoja1!$B$5:$C$8,2,0),0)</f>
        <v>0</v>
      </c>
      <c r="Y19" s="45">
        <v>0</v>
      </c>
      <c r="Z19" s="48" t="s">
        <v>29</v>
      </c>
      <c r="AA19" s="49"/>
    </row>
    <row r="20" spans="1:27" x14ac:dyDescent="0.25">
      <c r="A20" s="43" t="str">
        <f>Categorías!A21</f>
        <v>U. DE O'HIGGINS</v>
      </c>
      <c r="B20" s="43" t="str">
        <f>Categorías!B21</f>
        <v>URO</v>
      </c>
      <c r="C20" s="44" t="str">
        <f>Categorías!C21</f>
        <v>CRUCH-ESTATAL</v>
      </c>
      <c r="D20" s="43" t="str">
        <f>Categorías!AA21</f>
        <v>Categoría III</v>
      </c>
      <c r="E20" s="45">
        <f>IFERROR(VLOOKUP(B20,'[5]PAC 2017'!$D$35:$Y$62,22,0),0)</f>
        <v>27</v>
      </c>
      <c r="F20" s="45">
        <f>IFERROR(VLOOKUP(B20,'[6]Indicador a)'!$C$34:$F$62,4,0),0)</f>
        <v>435</v>
      </c>
      <c r="G20" s="45">
        <f>IFERROR(VLOOKUP(B20,'[6]Indicador b)'!$C$35:$F$62,3,0),0)</f>
        <v>24.022727272727273</v>
      </c>
      <c r="H20" s="45">
        <f>IFERROR(VLOOKUP(B20,'[6]Indicador b)'!$C$35:$F$62,4,0),0)</f>
        <v>35.988636363636367</v>
      </c>
      <c r="I20" s="45">
        <f>IFERROR(VLOOKUP(B20,'[6]Indicador c)'!$C$35:$G$62,4,0),0)</f>
        <v>6.1363636363636358</v>
      </c>
      <c r="J20" s="45">
        <f>IFERROR(VLOOKUP(B20,'[6]Indicador c)'!$C$35:$G$62,5,0),0)</f>
        <v>0.5</v>
      </c>
      <c r="K20" s="45">
        <f>IFERROR(VLOOKUP(B20,[4]SCOPUS!$C$7:$M$33,10,0),0)</f>
        <v>7</v>
      </c>
      <c r="L20" s="45">
        <f>IFERROR(VLOOKUP(B20,[4]SCOPUS!$C$7:$O$33,13,0),0)</f>
        <v>14</v>
      </c>
      <c r="M20" s="45">
        <f>IFERROR(VLOOKUP(B20,[4]SCOPUS!$C$7:$O$33,12,0),0)</f>
        <v>8</v>
      </c>
      <c r="N20" s="46">
        <f>IFERROR(VLOOKUP(B20,'[6]Ind G 2018 con QUINTIL PERFIL'!$F$10:$AA$36,21,0),0)</f>
        <v>257</v>
      </c>
      <c r="O20" s="46">
        <f>IFERROR(VLOOKUP(B20,'[6]Ind G 2018 con QUINTIL PERFIL'!$F$10:$AA$36,14,0),0)</f>
        <v>339</v>
      </c>
      <c r="P20" s="46">
        <f>IFERROR(VLOOKUP(B20,'[6]Indicador H 2018'!$E$11:$Z$37,21,0),0)</f>
        <v>0</v>
      </c>
      <c r="Q20" s="46">
        <f>IFERROR(VLOOKUP(B20,'[6]Indicador H 2018'!$E$11:$Z$37,14,0),0)</f>
        <v>0</v>
      </c>
      <c r="R20" s="47">
        <f>IFERROR(VLOOKUP(B20,'[6]Indicador I 1) 2018'!$D$11:$Y$35,21,0),0)</f>
        <v>0</v>
      </c>
      <c r="S20" s="47">
        <f>IFERROR(VLOOKUP(B20,'[6]Indicador I 1) 2018'!$D$11:$Y$35,14,0),0)</f>
        <v>0</v>
      </c>
      <c r="T20" s="45">
        <f>IFERROR(VLOOKUP(B20,'[6]INDICADOR J 2017'!$F$8:$N$24,9,0),0)</f>
        <v>0</v>
      </c>
      <c r="U20" s="45">
        <v>0</v>
      </c>
      <c r="V20" s="45">
        <v>0</v>
      </c>
      <c r="W20" s="45">
        <f>IFERROR(VLOOKUP(B20,'[6]INDICADOR J 2017'!$F$8:$G$24,2,0),0)</f>
        <v>0</v>
      </c>
      <c r="X20" s="45">
        <f>IFERROR(VLOOKUP(B20,[7]Hoja1!$B$5:$C$8,2,0),0)</f>
        <v>0</v>
      </c>
      <c r="Y20" s="45">
        <v>0</v>
      </c>
      <c r="Z20" s="48" t="s">
        <v>93</v>
      </c>
      <c r="AA20" s="49"/>
    </row>
    <row r="21" spans="1:27" x14ac:dyDescent="0.25">
      <c r="A21" s="43" t="str">
        <f>Categorías!A22</f>
        <v>U. DE AYSÉN</v>
      </c>
      <c r="B21" s="43" t="str">
        <f>Categorías!B22</f>
        <v>URY</v>
      </c>
      <c r="C21" s="44" t="str">
        <f>Categorías!C22</f>
        <v>CRUCH-ESTATAL</v>
      </c>
      <c r="D21" s="43" t="str">
        <f>Categorías!AA22</f>
        <v>Categoría III</v>
      </c>
      <c r="E21" s="45">
        <f>IFERROR(VLOOKUP(B21,'[5]PAC 2017'!$D$35:$Y$62,22,0),0)</f>
        <v>14</v>
      </c>
      <c r="F21" s="45">
        <f>IFERROR(VLOOKUP(B21,'[6]Indicador a)'!$C$34:$F$62,4,0),0)</f>
        <v>93</v>
      </c>
      <c r="G21" s="45">
        <f>IFERROR(VLOOKUP(B21,'[6]Indicador b)'!$C$35:$F$62,3,0),0)</f>
        <v>7.9090909090909092</v>
      </c>
      <c r="H21" s="45">
        <f>IFERROR(VLOOKUP(B21,'[6]Indicador b)'!$C$35:$F$62,4,0),0)</f>
        <v>15.352272727272728</v>
      </c>
      <c r="I21" s="45">
        <f>IFERROR(VLOOKUP(B21,'[6]Indicador c)'!$C$35:$G$62,4,0),0)</f>
        <v>3.375</v>
      </c>
      <c r="J21" s="45">
        <f>IFERROR(VLOOKUP(B21,'[6]Indicador c)'!$C$35:$G$62,5,0),0)</f>
        <v>1</v>
      </c>
      <c r="K21" s="45">
        <f>IFERROR(VLOOKUP(B21,[4]SCOPUS!$C$7:$M$33,10,0),0)</f>
        <v>5</v>
      </c>
      <c r="L21" s="45">
        <f>IFERROR(VLOOKUP(B21,[4]SCOPUS!$C$7:$O$33,13,0),0)</f>
        <v>5</v>
      </c>
      <c r="M21" s="45">
        <f>IFERROR(VLOOKUP(B21,[4]SCOPUS!$C$7:$O$33,12,0),0)</f>
        <v>5</v>
      </c>
      <c r="N21" s="46">
        <f>IFERROR(VLOOKUP(B21,'[6]Ind G 2018 con QUINTIL PERFIL'!$F$10:$AA$36,21,0),0)</f>
        <v>64</v>
      </c>
      <c r="O21" s="46">
        <f>IFERROR(VLOOKUP(B21,'[6]Ind G 2018 con QUINTIL PERFIL'!$F$10:$AA$36,14,0),0)</f>
        <v>93</v>
      </c>
      <c r="P21" s="46">
        <f>IFERROR(VLOOKUP(B21,'[6]Indicador H 2018'!$E$11:$Z$37,21,0),0)</f>
        <v>0</v>
      </c>
      <c r="Q21" s="46">
        <f>IFERROR(VLOOKUP(B21,'[6]Indicador H 2018'!$E$11:$Z$37,14,0),0)</f>
        <v>0</v>
      </c>
      <c r="R21" s="47">
        <f>IFERROR(VLOOKUP(B21,'[6]Indicador I 1) 2018'!$D$11:$Y$35,21,0),0)</f>
        <v>0</v>
      </c>
      <c r="S21" s="47">
        <f>IFERROR(VLOOKUP(B21,'[6]Indicador I 1) 2018'!$D$11:$Y$35,14,0),0)</f>
        <v>0</v>
      </c>
      <c r="T21" s="45">
        <f>IFERROR(VLOOKUP(B21,'[6]INDICADOR J 2017'!$F$8:$N$24,9,0),0)</f>
        <v>0</v>
      </c>
      <c r="U21" s="45">
        <v>0</v>
      </c>
      <c r="V21" s="45">
        <v>0</v>
      </c>
      <c r="W21" s="45">
        <f>IFERROR(VLOOKUP(B21,'[6]INDICADOR J 2017'!$F$8:$G$24,2,0),0)</f>
        <v>0</v>
      </c>
      <c r="X21" s="45">
        <f>IFERROR(VLOOKUP(B21,[7]Hoja1!$B$5:$C$8,2,0),0)</f>
        <v>0</v>
      </c>
      <c r="Y21" s="45">
        <v>0</v>
      </c>
      <c r="Z21" s="48" t="s">
        <v>95</v>
      </c>
      <c r="AA21" s="49"/>
    </row>
    <row r="22" spans="1:27" x14ac:dyDescent="0.25">
      <c r="E22" s="42">
        <f>SUM(E4:E21)</f>
        <v>6635</v>
      </c>
      <c r="F22" s="42">
        <f t="shared" ref="F22:Y22" si="0">SUM(F4:F21)</f>
        <v>192969</v>
      </c>
      <c r="G22" s="42">
        <f t="shared" si="0"/>
        <v>3488.9740340909084</v>
      </c>
      <c r="H22" s="42">
        <f t="shared" si="0"/>
        <v>9414.1222250000028</v>
      </c>
      <c r="I22" s="42">
        <f t="shared" si="0"/>
        <v>2876.143522727275</v>
      </c>
      <c r="J22" s="42">
        <f t="shared" si="0"/>
        <v>315.54721590909077</v>
      </c>
      <c r="K22" s="42">
        <f t="shared" si="0"/>
        <v>6177</v>
      </c>
      <c r="L22" s="42">
        <f t="shared" si="0"/>
        <v>159656</v>
      </c>
      <c r="M22" s="42">
        <f t="shared" si="0"/>
        <v>26518</v>
      </c>
      <c r="N22" s="42">
        <f t="shared" si="0"/>
        <v>22243</v>
      </c>
      <c r="O22" s="42">
        <f t="shared" si="0"/>
        <v>33624</v>
      </c>
      <c r="P22" s="42">
        <f t="shared" si="0"/>
        <v>26639</v>
      </c>
      <c r="Q22" s="42">
        <f t="shared" si="0"/>
        <v>32534</v>
      </c>
      <c r="R22" s="42">
        <f t="shared" si="0"/>
        <v>19337</v>
      </c>
      <c r="S22" s="42">
        <f t="shared" si="0"/>
        <v>29767</v>
      </c>
      <c r="T22" s="42">
        <f t="shared" si="0"/>
        <v>58</v>
      </c>
      <c r="U22" s="42">
        <f t="shared" si="0"/>
        <v>353</v>
      </c>
      <c r="V22" s="42">
        <f t="shared" si="0"/>
        <v>376</v>
      </c>
      <c r="W22" s="42">
        <f t="shared" si="0"/>
        <v>354</v>
      </c>
      <c r="X22" s="42">
        <f t="shared" si="0"/>
        <v>32</v>
      </c>
      <c r="Y22" s="42">
        <f t="shared" si="0"/>
        <v>32</v>
      </c>
      <c r="Z22" s="48"/>
    </row>
    <row r="25" spans="1:27" x14ac:dyDescent="0.25">
      <c r="L25" s="18"/>
    </row>
    <row r="26" spans="1:27" x14ac:dyDescent="0.25">
      <c r="L26" s="18"/>
    </row>
    <row r="27" spans="1:27" x14ac:dyDescent="0.25">
      <c r="L27" s="18"/>
    </row>
    <row r="28" spans="1:27" x14ac:dyDescent="0.25">
      <c r="L28" s="18"/>
    </row>
    <row r="29" spans="1:27" x14ac:dyDescent="0.25">
      <c r="A29" s="8" t="s">
        <v>171</v>
      </c>
      <c r="L29" s="18"/>
    </row>
    <row r="30" spans="1:27" x14ac:dyDescent="0.25">
      <c r="L30" s="18"/>
    </row>
    <row r="31" spans="1:27" x14ac:dyDescent="0.25">
      <c r="L31" s="18"/>
    </row>
    <row r="32" spans="1:27" x14ac:dyDescent="0.25">
      <c r="L32" s="18"/>
    </row>
    <row r="33" spans="12:12" x14ac:dyDescent="0.25">
      <c r="L33" s="18"/>
    </row>
    <row r="34" spans="12:12" x14ac:dyDescent="0.25">
      <c r="L34" s="18"/>
    </row>
    <row r="35" spans="12:12" x14ac:dyDescent="0.25">
      <c r="L35" s="18"/>
    </row>
    <row r="36" spans="12:12" x14ac:dyDescent="0.25">
      <c r="L36" s="18"/>
    </row>
    <row r="37" spans="12:12" x14ac:dyDescent="0.25">
      <c r="L37" s="18"/>
    </row>
    <row r="38" spans="12:12" x14ac:dyDescent="0.25">
      <c r="L38" s="18"/>
    </row>
    <row r="39" spans="12:12" x14ac:dyDescent="0.25">
      <c r="L39" s="18"/>
    </row>
    <row r="40" spans="12:12" x14ac:dyDescent="0.25">
      <c r="L40" s="18"/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AI8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13" sqref="A13"/>
    </sheetView>
  </sheetViews>
  <sheetFormatPr baseColWidth="10" defaultRowHeight="15" x14ac:dyDescent="0.25"/>
  <cols>
    <col min="1" max="1" width="46.5703125" bestFit="1" customWidth="1"/>
    <col min="5" max="5" width="19.7109375" customWidth="1"/>
    <col min="28" max="28" width="11.28515625" customWidth="1"/>
    <col min="29" max="31" width="10.7109375" customWidth="1"/>
    <col min="32" max="32" width="11.42578125" customWidth="1"/>
    <col min="33" max="35" width="10.7109375" customWidth="1"/>
  </cols>
  <sheetData>
    <row r="1" spans="1:35" x14ac:dyDescent="0.25">
      <c r="A1" s="17" t="s">
        <v>175</v>
      </c>
      <c r="F1" s="4" t="s">
        <v>40</v>
      </c>
      <c r="G1" s="4" t="s">
        <v>41</v>
      </c>
      <c r="H1" s="4" t="s">
        <v>42</v>
      </c>
      <c r="I1" s="4" t="s">
        <v>43</v>
      </c>
      <c r="J1" s="4" t="s">
        <v>44</v>
      </c>
      <c r="K1" s="4" t="s">
        <v>45</v>
      </c>
      <c r="L1" s="4" t="s">
        <v>46</v>
      </c>
      <c r="M1" s="4" t="s">
        <v>47</v>
      </c>
      <c r="N1" s="4" t="s">
        <v>48</v>
      </c>
      <c r="O1" s="4" t="s">
        <v>87</v>
      </c>
      <c r="P1" s="4" t="s">
        <v>88</v>
      </c>
      <c r="Q1" s="24" t="s">
        <v>62</v>
      </c>
    </row>
    <row r="2" spans="1:35" x14ac:dyDescent="0.25">
      <c r="A2" s="17"/>
      <c r="B2" s="69">
        <v>1</v>
      </c>
      <c r="C2" s="69">
        <v>2</v>
      </c>
      <c r="D2" s="69">
        <v>3</v>
      </c>
      <c r="E2" s="69">
        <v>4</v>
      </c>
      <c r="F2" s="69">
        <v>5</v>
      </c>
      <c r="G2" s="69">
        <v>6</v>
      </c>
      <c r="H2" s="69">
        <v>7</v>
      </c>
      <c r="I2" s="69">
        <v>8</v>
      </c>
      <c r="J2" s="69">
        <v>9</v>
      </c>
      <c r="K2" s="69">
        <v>10</v>
      </c>
      <c r="L2" s="69">
        <v>11</v>
      </c>
      <c r="M2" s="69">
        <v>12</v>
      </c>
      <c r="N2" s="69">
        <v>13</v>
      </c>
      <c r="O2" s="69">
        <v>14</v>
      </c>
      <c r="P2" s="69">
        <v>15</v>
      </c>
      <c r="Q2" s="69">
        <v>16</v>
      </c>
      <c r="R2" s="69">
        <v>17</v>
      </c>
      <c r="S2" s="69">
        <v>18</v>
      </c>
      <c r="T2" s="69">
        <v>19</v>
      </c>
      <c r="U2" s="69">
        <v>20</v>
      </c>
      <c r="V2" s="69">
        <v>21</v>
      </c>
      <c r="W2" s="69">
        <v>22</v>
      </c>
      <c r="X2" s="69">
        <v>23</v>
      </c>
      <c r="Y2" s="69">
        <v>24</v>
      </c>
      <c r="Z2" s="69">
        <v>25</v>
      </c>
      <c r="AA2" s="69">
        <v>26</v>
      </c>
      <c r="AB2" s="69">
        <v>27</v>
      </c>
      <c r="AC2" s="69">
        <v>28</v>
      </c>
      <c r="AD2" s="69">
        <v>29</v>
      </c>
      <c r="AE2" s="69">
        <v>30</v>
      </c>
      <c r="AF2" s="69">
        <v>31</v>
      </c>
      <c r="AG2" s="69">
        <v>32</v>
      </c>
      <c r="AH2" s="69">
        <v>33</v>
      </c>
      <c r="AI2" s="69">
        <v>34</v>
      </c>
    </row>
    <row r="3" spans="1:35" ht="79.5" x14ac:dyDescent="0.25">
      <c r="F3" s="5" t="s">
        <v>49</v>
      </c>
      <c r="G3" s="5" t="s">
        <v>50</v>
      </c>
      <c r="H3" s="5" t="s">
        <v>51</v>
      </c>
      <c r="I3" s="5" t="s">
        <v>52</v>
      </c>
      <c r="J3" s="5" t="s">
        <v>53</v>
      </c>
      <c r="K3" s="5" t="s">
        <v>54</v>
      </c>
      <c r="L3" s="5" t="s">
        <v>55</v>
      </c>
      <c r="M3" s="5" t="s">
        <v>56</v>
      </c>
      <c r="N3" s="5" t="s">
        <v>57</v>
      </c>
      <c r="O3" s="5" t="s">
        <v>58</v>
      </c>
      <c r="P3" s="5" t="s">
        <v>59</v>
      </c>
      <c r="Q3" s="5" t="s">
        <v>49</v>
      </c>
      <c r="R3" s="5" t="s">
        <v>50</v>
      </c>
      <c r="S3" s="5" t="s">
        <v>51</v>
      </c>
      <c r="T3" s="5" t="s">
        <v>52</v>
      </c>
      <c r="U3" s="5" t="s">
        <v>53</v>
      </c>
      <c r="V3" s="5" t="s">
        <v>54</v>
      </c>
      <c r="W3" s="5" t="s">
        <v>55</v>
      </c>
      <c r="X3" s="5" t="s">
        <v>56</v>
      </c>
      <c r="Y3" s="5" t="s">
        <v>57</v>
      </c>
      <c r="Z3" s="5" t="s">
        <v>58</v>
      </c>
      <c r="AA3" s="5" t="s">
        <v>59</v>
      </c>
      <c r="AB3" s="5"/>
      <c r="AC3" s="5"/>
    </row>
    <row r="4" spans="1:35" ht="67.5" x14ac:dyDescent="0.25">
      <c r="A4" s="9" t="s">
        <v>11</v>
      </c>
      <c r="B4" s="14" t="s">
        <v>1</v>
      </c>
      <c r="C4" s="14" t="s">
        <v>21</v>
      </c>
      <c r="D4" s="15" t="s">
        <v>39</v>
      </c>
      <c r="E4" s="16" t="s">
        <v>61</v>
      </c>
      <c r="F4" s="128" t="s">
        <v>208</v>
      </c>
      <c r="G4" s="128" t="s">
        <v>209</v>
      </c>
      <c r="H4" s="128" t="s">
        <v>210</v>
      </c>
      <c r="I4" s="128" t="s">
        <v>211</v>
      </c>
      <c r="J4" s="128" t="s">
        <v>212</v>
      </c>
      <c r="K4" s="128" t="s">
        <v>213</v>
      </c>
      <c r="L4" s="128" t="s">
        <v>214</v>
      </c>
      <c r="M4" s="128" t="s">
        <v>215</v>
      </c>
      <c r="N4" s="128" t="s">
        <v>216</v>
      </c>
      <c r="O4" s="128" t="s">
        <v>217</v>
      </c>
      <c r="P4" s="128" t="s">
        <v>218</v>
      </c>
      <c r="Q4" s="13" t="s">
        <v>60</v>
      </c>
      <c r="R4" s="10" t="s">
        <v>60</v>
      </c>
      <c r="S4" s="10" t="s">
        <v>60</v>
      </c>
      <c r="T4" s="10" t="s">
        <v>60</v>
      </c>
      <c r="U4" s="10" t="s">
        <v>60</v>
      </c>
      <c r="V4" s="10" t="s">
        <v>60</v>
      </c>
      <c r="W4" s="10" t="s">
        <v>60</v>
      </c>
      <c r="X4" s="10" t="s">
        <v>60</v>
      </c>
      <c r="Y4" s="10" t="s">
        <v>60</v>
      </c>
      <c r="Z4" s="10" t="s">
        <v>60</v>
      </c>
      <c r="AA4" s="10" t="s">
        <v>60</v>
      </c>
      <c r="AB4" s="33" t="s">
        <v>63</v>
      </c>
      <c r="AC4" s="34" t="s">
        <v>83</v>
      </c>
      <c r="AD4" s="34" t="s">
        <v>64</v>
      </c>
      <c r="AE4" s="34" t="s">
        <v>82</v>
      </c>
      <c r="AF4" s="34" t="s">
        <v>84</v>
      </c>
      <c r="AG4" s="34" t="s">
        <v>85</v>
      </c>
      <c r="AH4" s="34" t="s">
        <v>86</v>
      </c>
      <c r="AI4" s="34" t="s">
        <v>81</v>
      </c>
    </row>
    <row r="5" spans="1:35" x14ac:dyDescent="0.25">
      <c r="A5" s="25" t="str">
        <f>Valores!A4</f>
        <v>UNIVERSIDAD DE CHILE</v>
      </c>
      <c r="B5" s="26" t="str">
        <f>Valores!B4</f>
        <v>UCH</v>
      </c>
      <c r="C5" s="27" t="str">
        <f>Valores!C4</f>
        <v>CRUCH-ESTATAL</v>
      </c>
      <c r="D5" s="27" t="str">
        <f>Valores!D4</f>
        <v>Categoría I</v>
      </c>
      <c r="E5" s="27" t="str">
        <f>CONCATENATE(C5,D5)</f>
        <v>CRUCH-ESTATALCategoría I</v>
      </c>
      <c r="F5" s="28">
        <f>IFERROR(Valores!E4/Valores!F4*100,0)</f>
        <v>3.9863966451876856</v>
      </c>
      <c r="G5" s="29">
        <f>IFERROR(Valores!G4/Valores!H4,0)</f>
        <v>0.50926938943480271</v>
      </c>
      <c r="H5" s="29">
        <f>IFERROR((Valores!G4+Valores!I4+Valores!J4)/(Valores!H4),0)</f>
        <v>0.74589727890473623</v>
      </c>
      <c r="I5" s="29">
        <f>IFERROR(Valores!K4/Valores!H4,0)</f>
        <v>1.1893324232904079</v>
      </c>
      <c r="J5" s="29">
        <f>IFERROR(Valores!K4/Valores!G4,0)</f>
        <v>2.3353699396901759</v>
      </c>
      <c r="K5" s="29">
        <f>IFERROR(Valores!L4/Valores!M4,0)</f>
        <v>7.124123879380603</v>
      </c>
      <c r="L5" s="29">
        <f>IFERROR(Valores!N4/Valores!O4,0)</f>
        <v>0.48129423660262893</v>
      </c>
      <c r="M5" s="29">
        <f>IFERROR(Valores!P4/Valores!Q4,0)</f>
        <v>0.85093167701863359</v>
      </c>
      <c r="N5" s="29">
        <f>IFERROR(Valores!R4/Valores!S4,0)</f>
        <v>0.73257061136932422</v>
      </c>
      <c r="O5" s="29">
        <f>IF(Valores!W4&gt;0,Valores!T4/Valores!W4,IF(AND(Valores!W4=0,OR(Valores!V4&gt;0,Valores!U4&gt;0)),0,IF(AND(Valores!V4=0,Valores!W4=0,Valores!U4=0),"NC",)))</f>
        <v>0.11734693877551021</v>
      </c>
      <c r="P5" s="30">
        <f>IFERROR((Valores!X4+Valores!Y4)*1000/(Valores!H4),0)</f>
        <v>10.157685011392269</v>
      </c>
      <c r="Q5" s="31">
        <f t="array" ref="Q5">F5/MAX(IF($E$5:$E$26=$E5,F$5:F$26))</f>
        <v>1</v>
      </c>
      <c r="R5" s="31">
        <f t="array" ref="R5">G5/MAX(IF($E$5:$E$26=$E5,G$5:G$26))</f>
        <v>1</v>
      </c>
      <c r="S5" s="31">
        <f t="array" ref="S5">H5/MAX(IF($E$5:$E$26=$E5,H$5:H$26))</f>
        <v>1</v>
      </c>
      <c r="T5" s="31">
        <f t="array" ref="T5">I5/MAX(IF($E$5:$E$26=$E5,I$5:I$26))</f>
        <v>1</v>
      </c>
      <c r="U5" s="31">
        <f t="array" ref="U5">J5/MAX(IF($E$5:$E$26=$E5,J$5:J$26))</f>
        <v>1</v>
      </c>
      <c r="V5" s="31">
        <f t="array" ref="V5">K5/MAX(IF($E$5:$E$26=$E5,K$5:K$26))</f>
        <v>1</v>
      </c>
      <c r="W5" s="31">
        <f t="array" ref="W5">L5/MAX(IF($E$5:$E$26=$E5,L$5:L$26))</f>
        <v>0.70209705130418343</v>
      </c>
      <c r="X5" s="31">
        <f t="array" ref="X5">M5/MAX(IF($E$5:$E$26=$E5,M$5:M$26))</f>
        <v>1</v>
      </c>
      <c r="Y5" s="31">
        <f t="array" ref="Y5">N5/MAX(IF($E$5:$E$26=$E5,N$5:N$26))</f>
        <v>1</v>
      </c>
      <c r="Z5" s="31">
        <f t="array" ref="Z5">IF(O5="NC","NC",IF(O5=0,0,IF(O5&gt;0,O5/MAX(IF($E$5:$E$26=$E5,$O$5:$O$26,"ERROR")))))</f>
        <v>0.50850340136054417</v>
      </c>
      <c r="AA5" s="32">
        <f t="array" ref="AA5">IF(P5=0,0,P5/MAX(IF($E$5:$E$26=$E5,$P$5:$P$26)))</f>
        <v>0.37424069102823293</v>
      </c>
      <c r="AB5" s="11">
        <f>IF(Z5="NC",(SUM(Q5:Y5)+AA5)/(COUNTA(Q5:Y5)+COUNTA(AA5)),AVERAGE(Q5:AA5))</f>
        <v>0.87134919488117812</v>
      </c>
      <c r="AC5" s="11">
        <f t="array" ref="AC5">SUM(IF($E$5:$E$26=$E5,$AB$5:$AB$26,"ERROR"))</f>
        <v>1.6818558290463173</v>
      </c>
      <c r="AD5" s="36">
        <f>AB5/AC5</f>
        <v>0.51808792396627101</v>
      </c>
      <c r="AE5" s="12">
        <f>VLOOKUP(E5,Categorías!$A$26:$E$29,5,0)</f>
        <v>6471952</v>
      </c>
      <c r="AF5" s="12">
        <f>AD5*AE5</f>
        <v>3353040.1756893555</v>
      </c>
      <c r="AG5" s="105">
        <f>ROUND(AF5,0)</f>
        <v>3353040</v>
      </c>
      <c r="AH5" s="105">
        <f>ROUND(AG5,0)</f>
        <v>3353040</v>
      </c>
      <c r="AI5" s="22">
        <f t="array" ref="AI5">AG5/(SUM(IF($C$5:$C$26=$C5,$AG$5:$AG$26,0)))</f>
        <v>0.10361758256605064</v>
      </c>
    </row>
    <row r="6" spans="1:35" x14ac:dyDescent="0.25">
      <c r="A6" s="25" t="str">
        <f>Valores!A5</f>
        <v>UNIVERSIDAD DE SANTIAGO DE CHILE</v>
      </c>
      <c r="B6" s="26" t="str">
        <f>Valores!B5</f>
        <v>USA</v>
      </c>
      <c r="C6" s="27" t="str">
        <f>Valores!C5</f>
        <v>CRUCH-ESTATAL</v>
      </c>
      <c r="D6" s="27" t="str">
        <f>Valores!D5</f>
        <v>Categoría I</v>
      </c>
      <c r="E6" s="27" t="str">
        <f t="shared" ref="E6:E20" si="0">CONCATENATE(C6,D6)</f>
        <v>CRUCH-ESTATALCategoría I</v>
      </c>
      <c r="F6" s="28">
        <f>IFERROR(Valores!E5/Valores!F5*100,0)</f>
        <v>2.7839401452868762</v>
      </c>
      <c r="G6" s="29">
        <f>IFERROR(Valores!G5/Valores!H5,0)</f>
        <v>0.40285350419866883</v>
      </c>
      <c r="H6" s="29">
        <f>IFERROR((Valores!G5+Valores!I5+Valores!J5)/(Valores!H5),0)</f>
        <v>0.66577784852946853</v>
      </c>
      <c r="I6" s="29">
        <f>IFERROR(Valores!K5/Valores!H5,0)</f>
        <v>0.60237991005690783</v>
      </c>
      <c r="J6" s="29">
        <f>IFERROR(Valores!K5/Valores!G5,0)</f>
        <v>1.4952827858730546</v>
      </c>
      <c r="K6" s="29">
        <f>IFERROR(Valores!L5/Valores!M5,0)</f>
        <v>4.5966268446943079</v>
      </c>
      <c r="L6" s="29">
        <f>IFERROR(Valores!N5/Valores!O5,0)</f>
        <v>0.68550955414012738</v>
      </c>
      <c r="M6" s="29">
        <f>IFERROR(Valores!P5/Valores!Q5,0)</f>
        <v>0.78988764044943816</v>
      </c>
      <c r="N6" s="29">
        <f>IFERROR(Valores!R5/Valores!S5,0)</f>
        <v>0.5958289334741288</v>
      </c>
      <c r="O6" s="29">
        <f>IF(Valores!W5&gt;0,Valores!T5/Valores!W5,IF(AND(Valores!W5=0,OR(Valores!V5&gt;0,Valores!U5&gt;0)),0,IF(AND(Valores!V5=0,Valores!W5=0,Valores!U5=0),"NC",)))</f>
        <v>0.23076923076923078</v>
      </c>
      <c r="P6" s="30">
        <f>IFERROR((Valores!X5+Valores!Y5)*1000/(Valores!H5),0)</f>
        <v>27.142118040354859</v>
      </c>
      <c r="Q6" s="31">
        <f t="array" ref="Q6">F6/MAX(IF($E$5:$E$26=$E6,F$5:F$26))</f>
        <v>0.69836004619550451</v>
      </c>
      <c r="R6" s="31">
        <f t="array" ref="R6">G6/MAX(IF($E$5:$E$26=$E6,G$5:G$26))</f>
        <v>0.7910420546692658</v>
      </c>
      <c r="S6" s="31">
        <f t="array" ref="S6">H6/MAX(IF($E$5:$E$26=$E6,H$5:H$26))</f>
        <v>0.89258650937443584</v>
      </c>
      <c r="T6" s="31">
        <f t="array" ref="T6">I6/MAX(IF($E$5:$E$26=$E6,I$5:I$26))</f>
        <v>0.5064857379321781</v>
      </c>
      <c r="U6" s="31">
        <f t="array" ref="U6">J6/MAX(IF($E$5:$E$26=$E6,J$5:J$26))</f>
        <v>0.64027662618258574</v>
      </c>
      <c r="V6" s="31">
        <f t="array" ref="V6">K6/MAX(IF($E$5:$E$26=$E6,K$5:K$26))</f>
        <v>0.64521994879936806</v>
      </c>
      <c r="W6" s="31">
        <f t="array" ref="W6">L6/MAX(IF($E$5:$E$26=$E6,L$5:L$26))</f>
        <v>1</v>
      </c>
      <c r="X6" s="31">
        <f t="array" ref="X6">M6/MAX(IF($E$5:$E$26=$E6,M$5:M$26))</f>
        <v>0.92826211760846378</v>
      </c>
      <c r="Y6" s="31">
        <f t="array" ref="Y6">N6/MAX(IF($E$5:$E$26=$E6,N$5:N$26))</f>
        <v>0.81333993505472835</v>
      </c>
      <c r="Z6" s="31">
        <f t="array" ref="Z6">IF(O6="NC","NC",IF(O6=0,0,IF(O6&gt;0,O6/MAX(IF($E$5:$E$26=$E6,$O$5:$O$26,"ERROR")))))</f>
        <v>1</v>
      </c>
      <c r="AA6" s="32">
        <f t="array" ref="AA6">IF(P6=0,0,P6/MAX(IF($E$5:$E$26=$E6,$P$5:$P$26)))</f>
        <v>1</v>
      </c>
      <c r="AB6" s="11">
        <f t="shared" ref="AB6:AB19" si="1">IF(Z6="NC",(SUM(Q6:Y6)+AA6)/(COUNTA(Q6:Y6)+COUNTA(AA6)),AVERAGE(Q6:AA6))</f>
        <v>0.81050663416513913</v>
      </c>
      <c r="AC6" s="11">
        <f t="array" ref="AC6">SUM(IF($E$5:$E$26=$E6,$AB$5:$AB$26,"ERROR"))</f>
        <v>1.6818558290463173</v>
      </c>
      <c r="AD6" s="36">
        <f t="shared" ref="AD6:AD19" si="2">AB6/AC6</f>
        <v>0.48191207603372899</v>
      </c>
      <c r="AE6" s="12">
        <f>VLOOKUP(E6,Categorías!$A$26:$E$29,5,0)</f>
        <v>6471952</v>
      </c>
      <c r="AF6" s="12">
        <f t="shared" ref="AF6:AF20" si="3">AD6*AE6</f>
        <v>3118911.8243106445</v>
      </c>
      <c r="AG6" s="105">
        <f t="shared" ref="AG6:AH20" si="4">ROUND(AF6,0)</f>
        <v>3118912</v>
      </c>
      <c r="AH6" s="105">
        <f t="shared" si="4"/>
        <v>3118912</v>
      </c>
      <c r="AI6" s="22">
        <f t="array" ref="AI6">AG6/(SUM(IF($C$5:$C$26=$C6,$AG$5:$AG$26,0)))</f>
        <v>9.6382423614465113E-2</v>
      </c>
    </row>
    <row r="7" spans="1:35" x14ac:dyDescent="0.25">
      <c r="A7" s="25" t="str">
        <f>Valores!A6</f>
        <v>UNIVERSIDAD DE ANTOFAGASTA</v>
      </c>
      <c r="B7" s="26" t="str">
        <f>Valores!B6</f>
        <v>ANT</v>
      </c>
      <c r="C7" s="27" t="str">
        <f>Valores!C6</f>
        <v>CRUCH-ESTATAL</v>
      </c>
      <c r="D7" s="27" t="str">
        <f>Valores!D6</f>
        <v>Categoría II</v>
      </c>
      <c r="E7" s="27" t="str">
        <f t="shared" si="0"/>
        <v>CRUCH-ESTATALCategoría II</v>
      </c>
      <c r="F7" s="28">
        <f>IFERROR(Valores!E6/Valores!F6*100,0)</f>
        <v>4.0634674922600613</v>
      </c>
      <c r="G7" s="29">
        <f>IFERROR(Valores!G6/Valores!H6,0)</f>
        <v>0.34443594754581269</v>
      </c>
      <c r="H7" s="29">
        <f>IFERROR((Valores!G6+Valores!I6+Valores!J6)/(Valores!H6),0)</f>
        <v>0.69017475288186525</v>
      </c>
      <c r="I7" s="29">
        <f>IFERROR(Valores!K6/Valores!H6,0)</f>
        <v>0.51593168493499908</v>
      </c>
      <c r="J7" s="29">
        <f>IFERROR(Valores!K6/Valores!G6,0)</f>
        <v>1.4979031329660391</v>
      </c>
      <c r="K7" s="29">
        <f>IFERROR(Valores!L6/Valores!M6,0)</f>
        <v>6.3236009732360099</v>
      </c>
      <c r="L7" s="29">
        <f>IFERROR(Valores!N6/Valores!O6,0)</f>
        <v>0.47344110854503463</v>
      </c>
      <c r="M7" s="29">
        <f>IFERROR(Valores!P6/Valores!Q6,0)</f>
        <v>0.82909930715935332</v>
      </c>
      <c r="N7" s="29">
        <f>IFERROR(Valores!R6/Valores!S6,0)</f>
        <v>0.66579177602799655</v>
      </c>
      <c r="O7" s="29">
        <f>IF(Valores!W6&gt;0,Valores!T6/Valores!W6,IF(AND(Valores!W6=0,OR(Valores!V6&gt;0,Valores!U6&gt;0)),0,IF(AND(Valores!V6=0,Valores!W6=0,Valores!U6=0),"NC",)))</f>
        <v>0.125</v>
      </c>
      <c r="P7" s="30">
        <f>IFERROR((Valores!X6+Valores!Y6)*1000/(Valores!H6),0)</f>
        <v>9.9696943948792107</v>
      </c>
      <c r="Q7" s="31">
        <f t="array" ref="Q7">F7/MAX(IF($E$5:$E$26=$E7,F$5:F$26))</f>
        <v>0.96964224286205702</v>
      </c>
      <c r="R7" s="31">
        <f t="array" ref="R7">G7/MAX(IF($E$5:$E$26=$E7,G$5:G$26))</f>
        <v>0.70191828062748318</v>
      </c>
      <c r="S7" s="31">
        <f t="array" ref="S7">H7/MAX(IF($E$5:$E$26=$E7,H$5:H$26))</f>
        <v>0.71425295839451008</v>
      </c>
      <c r="T7" s="31">
        <f t="array" ref="T7">I7/MAX(IF($E$5:$E$26=$E7,I$5:I$26))</f>
        <v>0.43174702771949802</v>
      </c>
      <c r="U7" s="31">
        <f t="array" ref="U7">J7/MAX(IF($E$5:$E$26=$E7,J$5:J$26))</f>
        <v>0.61439006933114837</v>
      </c>
      <c r="V7" s="31">
        <f t="array" ref="V7">K7/MAX(IF($E$5:$E$26=$E7,K$5:K$26))</f>
        <v>0.93748489952869518</v>
      </c>
      <c r="W7" s="31">
        <f t="array" ref="W7">L7/MAX(IF($E$5:$E$26=$E7,L$5:L$26))</f>
        <v>0.56416863615531854</v>
      </c>
      <c r="X7" s="31">
        <f t="array" ref="X7">M7/MAX(IF($E$5:$E$26=$E7,M$5:M$26))</f>
        <v>0.95733221217132225</v>
      </c>
      <c r="Y7" s="31">
        <f t="array" ref="Y7">N7/MAX(IF($E$5:$E$26=$E7,N$5:N$26))</f>
        <v>0.92678215223097127</v>
      </c>
      <c r="Z7" s="31">
        <f t="array" ref="Z7">IF(O7="NC","NC",IF(O7=0,0,IF(O7&gt;0,O7/MAX(IF($E$5:$E$26=$E7,$O$5:$O$26,"ERROR")))))</f>
        <v>0.41666666666666669</v>
      </c>
      <c r="AA7" s="32">
        <f t="array" ref="AA7">IF(P7=0,0,P7/MAX(IF($E$5:$E$26=$E7,$P$5:$P$26)))</f>
        <v>1</v>
      </c>
      <c r="AB7" s="11">
        <f t="shared" si="1"/>
        <v>0.74858046778978826</v>
      </c>
      <c r="AC7" s="11">
        <f t="array" ref="AC7">SUM(IF($E$5:$E$26=$E7,$AB$5:$AB$26,"ERROR"))</f>
        <v>5.5658798795273032</v>
      </c>
      <c r="AD7" s="36">
        <f t="shared" si="2"/>
        <v>0.13449454246097806</v>
      </c>
      <c r="AE7" s="12">
        <f>VLOOKUP(E7,Categorías!$A$26:$E$29,5,0)</f>
        <v>17258539</v>
      </c>
      <c r="AF7" s="12">
        <f t="shared" si="3"/>
        <v>2321179.3063499457</v>
      </c>
      <c r="AG7" s="105">
        <f t="shared" si="4"/>
        <v>2321179</v>
      </c>
      <c r="AH7" s="105">
        <f t="shared" si="4"/>
        <v>2321179</v>
      </c>
      <c r="AI7" s="22">
        <f t="array" ref="AI7">AG7/(SUM(IF($C$5:$C$26=$C7,$AG$5:$AG$26,0)))</f>
        <v>7.1730416780916073E-2</v>
      </c>
    </row>
    <row r="8" spans="1:35" x14ac:dyDescent="0.25">
      <c r="A8" s="25" t="str">
        <f>Valores!A7</f>
        <v>UNIVERSIDAD DE LA FRONTERA</v>
      </c>
      <c r="B8" s="26" t="str">
        <f>Valores!B7</f>
        <v>FRO</v>
      </c>
      <c r="C8" s="27" t="str">
        <f>Valores!C7</f>
        <v>CRUCH-ESTATAL</v>
      </c>
      <c r="D8" s="27" t="str">
        <f>Valores!D7</f>
        <v>Categoría II</v>
      </c>
      <c r="E8" s="27" t="str">
        <f t="shared" si="0"/>
        <v>CRUCH-ESTATALCategoría II</v>
      </c>
      <c r="F8" s="28">
        <f>IFERROR(Valores!E7/Valores!F7*100,0)</f>
        <v>3.0137502354492374</v>
      </c>
      <c r="G8" s="29">
        <f>IFERROR(Valores!G7/Valores!H7,0)</f>
        <v>0.49014356117420188</v>
      </c>
      <c r="H8" s="29">
        <f>IFERROR((Valores!G7+Valores!I7+Valores!J7)/(Valores!H7),0)</f>
        <v>0.79981787015213202</v>
      </c>
      <c r="I8" s="29">
        <f>IFERROR(Valores!K7/Valores!H7,0)</f>
        <v>1.1949860724233985</v>
      </c>
      <c r="J8" s="29">
        <f>IFERROR(Valores!K7/Valores!G7,0)</f>
        <v>2.4380327868852456</v>
      </c>
      <c r="K8" s="29">
        <f>IFERROR(Valores!L7/Valores!M7,0)</f>
        <v>6.290322580645161</v>
      </c>
      <c r="L8" s="29">
        <f>IFERROR(Valores!N7/Valores!O7,0)</f>
        <v>0.69212635549269208</v>
      </c>
      <c r="M8" s="29">
        <f>IFERROR(Valores!P7/Valores!Q7,0)</f>
        <v>0.82786885245901642</v>
      </c>
      <c r="N8" s="29">
        <f>IFERROR(Valores!R7/Valores!S7,0)</f>
        <v>0.63506355932203384</v>
      </c>
      <c r="O8" s="29">
        <f>IF(Valores!W7&gt;0,Valores!T7/Valores!W7,IF(AND(Valores!W7=0,OR(Valores!V7&gt;0,Valores!U7&gt;0)),0,IF(AND(Valores!V7=0,Valores!W7=0,Valores!U7=0),"NC",)))</f>
        <v>0.29032258064516131</v>
      </c>
      <c r="P8" s="30">
        <f>IFERROR((Valores!X7+Valores!Y7)*1000/(Valores!H7),0)</f>
        <v>0</v>
      </c>
      <c r="Q8" s="31">
        <f t="array" ref="Q8">F8/MAX(IF($E$5:$E$26=$E8,F$5:F$26))</f>
        <v>0.71915415671301908</v>
      </c>
      <c r="R8" s="31">
        <f t="array" ref="R8">G8/MAX(IF($E$5:$E$26=$E8,G$5:G$26))</f>
        <v>0.99885255349042001</v>
      </c>
      <c r="S8" s="31">
        <f t="array" ref="S8">H8/MAX(IF($E$5:$E$26=$E8,H$5:H$26))</f>
        <v>0.8277212076326691</v>
      </c>
      <c r="T8" s="31">
        <f t="array" ref="T8">I8/MAX(IF($E$5:$E$26=$E8,I$5:I$26))</f>
        <v>1</v>
      </c>
      <c r="U8" s="31">
        <f t="array" ref="U8">J8/MAX(IF($E$5:$E$26=$E8,J$5:J$26))</f>
        <v>1</v>
      </c>
      <c r="V8" s="31">
        <f t="array" ref="V8">K8/MAX(IF($E$5:$E$26=$E8,K$5:K$26))</f>
        <v>0.93255131964809379</v>
      </c>
      <c r="W8" s="31">
        <f t="array" ref="W8">L8/MAX(IF($E$5:$E$26=$E8,L$5:L$26))</f>
        <v>0.82476146447329557</v>
      </c>
      <c r="X8" s="31">
        <f t="array" ref="X8">M8/MAX(IF($E$5:$E$26=$E8,M$5:M$26))</f>
        <v>0.9559114488079008</v>
      </c>
      <c r="Y8" s="31">
        <f t="array" ref="Y8">N8/MAX(IF($E$5:$E$26=$E8,N$5:N$26))</f>
        <v>0.88400847457627119</v>
      </c>
      <c r="Z8" s="31">
        <f t="array" ref="Z8">IF(O8="NC","NC",IF(O8=0,0,IF(O8&gt;0,O8/MAX(IF($E$5:$E$26=$E8,$O$5:$O$26,"ERROR")))))</f>
        <v>0.96774193548387111</v>
      </c>
      <c r="AA8" s="32">
        <f t="array" ref="AA8">IF(P8=0,0,P8/MAX(IF($E$5:$E$26=$E8,$P$5:$P$26)))</f>
        <v>0</v>
      </c>
      <c r="AB8" s="11">
        <f t="shared" si="1"/>
        <v>0.82824568734777659</v>
      </c>
      <c r="AC8" s="11">
        <f t="array" ref="AC8">SUM(IF($E$5:$E$26=$E8,$AB$5:$AB$26,"ERROR"))</f>
        <v>5.5658798795273032</v>
      </c>
      <c r="AD8" s="36">
        <f t="shared" si="2"/>
        <v>0.148807682751881</v>
      </c>
      <c r="AE8" s="12">
        <f>VLOOKUP(E8,Categorías!$A$26:$E$29,5,0)</f>
        <v>17258539</v>
      </c>
      <c r="AF8" s="12">
        <f t="shared" si="3"/>
        <v>2568203.1962729655</v>
      </c>
      <c r="AG8" s="105">
        <f t="shared" si="4"/>
        <v>2568203</v>
      </c>
      <c r="AH8" s="105">
        <f t="shared" si="4"/>
        <v>2568203</v>
      </c>
      <c r="AI8" s="22">
        <f t="array" ref="AI8">AG8/(SUM(IF($C$5:$C$26=$C8,$AG$5:$AG$26,0)))</f>
        <v>7.9364095387731412E-2</v>
      </c>
    </row>
    <row r="9" spans="1:35" x14ac:dyDescent="0.25">
      <c r="A9" s="25" t="str">
        <f>Valores!A8</f>
        <v>UNIVERSIDAD DE TALCA</v>
      </c>
      <c r="B9" s="26" t="str">
        <f>Valores!B8</f>
        <v>TAL</v>
      </c>
      <c r="C9" s="27" t="str">
        <f>Valores!C8</f>
        <v>CRUCH-ESTATAL</v>
      </c>
      <c r="D9" s="27" t="str">
        <f>Valores!D8</f>
        <v>Categoría II</v>
      </c>
      <c r="E9" s="27" t="str">
        <f t="shared" si="0"/>
        <v>CRUCH-ESTATALCategoría II</v>
      </c>
      <c r="F9" s="28">
        <f>IFERROR(Valores!E8/Valores!F8*100,0)</f>
        <v>3.3121019108280256</v>
      </c>
      <c r="G9" s="29">
        <f>IFERROR(Valores!G8/Valores!H8,0)</f>
        <v>0.49070662077343613</v>
      </c>
      <c r="H9" s="29">
        <f>IFERROR((Valores!G8+Valores!I8+Valores!J8)/(Valores!H8),0)</f>
        <v>0.96628896635336647</v>
      </c>
      <c r="I9" s="29">
        <f>IFERROR(Valores!K8/Valores!H8,0)</f>
        <v>0.88872192556417262</v>
      </c>
      <c r="J9" s="29">
        <f>IFERROR(Valores!K8/Valores!G8,0)</f>
        <v>1.8111064492331437</v>
      </c>
      <c r="K9" s="29">
        <f>IFERROR(Valores!L8/Valores!M8,0)</f>
        <v>4.7548422800221362</v>
      </c>
      <c r="L9" s="29">
        <f>IFERROR(Valores!N8/Valores!O8,0)</f>
        <v>0.74517978113600836</v>
      </c>
      <c r="M9" s="29">
        <f>IFERROR(Valores!P8/Valores!Q8,0)</f>
        <v>0.85039787798408484</v>
      </c>
      <c r="N9" s="29">
        <f>IFERROR(Valores!R8/Valores!S8,0)</f>
        <v>0.7183908045977011</v>
      </c>
      <c r="O9" s="29">
        <f>IF(Valores!W8&gt;0,Valores!T8/Valores!W8,IF(AND(Valores!W8=0,OR(Valores!V8&gt;0,Valores!U8&gt;0)),0,IF(AND(Valores!V8=0,Valores!W8=0,Valores!U8=0),"NC",)))</f>
        <v>0.3</v>
      </c>
      <c r="P9" s="30">
        <f>IFERROR((Valores!X8+Valores!Y8)*1000/(Valores!H8),0)</f>
        <v>6.4400139533635699</v>
      </c>
      <c r="Q9" s="31">
        <f t="array" ref="Q9">F9/MAX(IF($E$5:$E$26=$E9,F$5:F$26))</f>
        <v>0.79034812792774589</v>
      </c>
      <c r="R9" s="31">
        <f t="array" ref="R9">G9/MAX(IF($E$5:$E$26=$E9,G$5:G$26))</f>
        <v>1</v>
      </c>
      <c r="S9" s="31">
        <f t="array" ref="S9">H9/MAX(IF($E$5:$E$26=$E9,H$5:H$26))</f>
        <v>1</v>
      </c>
      <c r="T9" s="31">
        <f t="array" ref="T9">I9/MAX(IF($E$5:$E$26=$E9,I$5:I$26))</f>
        <v>0.74370902395696481</v>
      </c>
      <c r="U9" s="31">
        <f t="array" ref="U9">J9/MAX(IF($E$5:$E$26=$E9,J$5:J$26))</f>
        <v>0.74285565763328254</v>
      </c>
      <c r="V9" s="31">
        <f t="array" ref="V9">K9/MAX(IF($E$5:$E$26=$E9,K$5:K$26))</f>
        <v>0.70491368067461035</v>
      </c>
      <c r="W9" s="31">
        <f t="array" ref="W9">L9/MAX(IF($E$5:$E$26=$E9,L$5:L$26))</f>
        <v>0.88798174308522404</v>
      </c>
      <c r="X9" s="31">
        <f t="array" ref="X9">M9/MAX(IF($E$5:$E$26=$E9,M$5:M$26))</f>
        <v>0.98192493314896612</v>
      </c>
      <c r="Y9" s="31">
        <f t="array" ref="Y9">N9/MAX(IF($E$5:$E$26=$E9,N$5:N$26))</f>
        <v>1</v>
      </c>
      <c r="Z9" s="31">
        <f t="array" ref="Z9">IF(O9="NC","NC",IF(O9=0,0,IF(O9&gt;0,O9/MAX(IF($E$5:$E$26=$E9,$O$5:$O$26,"ERROR")))))</f>
        <v>1</v>
      </c>
      <c r="AA9" s="32">
        <f t="array" ref="AA9">IF(P9=0,0,P9/MAX(IF($E$5:$E$26=$E9,$P$5:$P$26)))</f>
        <v>0.64595901321422544</v>
      </c>
      <c r="AB9" s="11">
        <f t="shared" si="1"/>
        <v>0.86342656178554722</v>
      </c>
      <c r="AC9" s="11">
        <f t="array" ref="AC9">SUM(IF($E$5:$E$26=$E9,$AB$5:$AB$26,"ERROR"))</f>
        <v>5.5658798795273032</v>
      </c>
      <c r="AD9" s="36">
        <f t="shared" si="2"/>
        <v>0.15512849369269463</v>
      </c>
      <c r="AE9" s="12">
        <f>VLOOKUP(E9,Categorías!$A$26:$E$29,5,0)</f>
        <v>17258539</v>
      </c>
      <c r="AF9" s="12">
        <f t="shared" si="3"/>
        <v>2677291.1584066241</v>
      </c>
      <c r="AG9" s="105">
        <f t="shared" si="4"/>
        <v>2677291</v>
      </c>
      <c r="AH9" s="105">
        <f t="shared" si="4"/>
        <v>2677291</v>
      </c>
      <c r="AI9" s="22">
        <f t="array" ref="AI9">AG9/(SUM(IF($C$5:$C$26=$C9,$AG$5:$AG$26,0)))</f>
        <v>8.2735195895618383E-2</v>
      </c>
    </row>
    <row r="10" spans="1:35" x14ac:dyDescent="0.25">
      <c r="A10" s="25" t="str">
        <f>Valores!A9</f>
        <v>UNIVERSIDAD DE TARAPACÁ</v>
      </c>
      <c r="B10" s="26" t="str">
        <f>Valores!B9</f>
        <v>UTA</v>
      </c>
      <c r="C10" s="27" t="str">
        <f>Valores!C9</f>
        <v>CRUCH-ESTATAL</v>
      </c>
      <c r="D10" s="27" t="str">
        <f>Valores!D9</f>
        <v>Categoría III</v>
      </c>
      <c r="E10" s="27" t="str">
        <f t="shared" si="0"/>
        <v>CRUCH-ESTATALCategoría III</v>
      </c>
      <c r="F10" s="28">
        <f>IFERROR(Valores!E9/Valores!F9*100,0)</f>
        <v>3.731867103416004</v>
      </c>
      <c r="G10" s="29">
        <f>IFERROR(Valores!G9/Valores!H9,0)</f>
        <v>0.3552214186017002</v>
      </c>
      <c r="H10" s="29">
        <f>IFERROR((Valores!G9+Valores!I9+Valores!J9)/(Valores!H9),0)</f>
        <v>0.86080446643826924</v>
      </c>
      <c r="I10" s="29">
        <f>IFERROR(Valores!K9/Valores!H9,0)</f>
        <v>0.65042507296028407</v>
      </c>
      <c r="J10" s="29">
        <f>IFERROR(Valores!K9/Valores!G9,0)</f>
        <v>1.8310412573673871</v>
      </c>
      <c r="K10" s="29">
        <f>IFERROR(Valores!L9/Valores!M9,0)</f>
        <v>4.3631010794896961</v>
      </c>
      <c r="L10" s="29">
        <f>IFERROR(Valores!N9/Valores!O9,0)</f>
        <v>0.72518610421836227</v>
      </c>
      <c r="M10" s="29">
        <f>IFERROR(Valores!P9/Valores!Q9,0)</f>
        <v>0.84</v>
      </c>
      <c r="N10" s="29">
        <f>IFERROR(Valores!R9/Valores!S9,0)</f>
        <v>0.62819519752130126</v>
      </c>
      <c r="O10" s="29">
        <f>IF(Valores!W9&gt;0,Valores!T9/Valores!W9,IF(AND(Valores!W9=0,OR(Valores!V9&gt;0,Valores!U9&gt;0)),0,IF(AND(Valores!V9=0,Valores!W9=0,Valores!U9=0),"NC",)))</f>
        <v>0</v>
      </c>
      <c r="P10" s="30">
        <f>IFERROR((Valores!X9+Valores!Y9)*1000/(Valores!H9),0)</f>
        <v>0</v>
      </c>
      <c r="Q10" s="31">
        <f t="array" ref="Q10">F10/MAX(IF($E$5:$E$26=$E10,F$5:F$26))</f>
        <v>0.24790260044120596</v>
      </c>
      <c r="R10" s="31">
        <f t="array" ref="R10">G10/MAX(IF($E$5:$E$26=$E10,G$5:G$26))</f>
        <v>0.53215999655231061</v>
      </c>
      <c r="S10" s="31">
        <f t="array" ref="S10">H10/MAX(IF($E$5:$E$26=$E10,H$5:H$26))</f>
        <v>1</v>
      </c>
      <c r="T10" s="31">
        <f t="array" ref="T10">I10/MAX(IF($E$5:$E$26=$E10,I$5:I$26))</f>
        <v>1</v>
      </c>
      <c r="U10" s="31">
        <f t="array" ref="U10">J10/MAX(IF($E$5:$E$26=$E10,J$5:J$26))</f>
        <v>1</v>
      </c>
      <c r="V10" s="31">
        <f t="array" ref="V10">K10/MAX(IF($E$5:$E$26=$E10,K$5:K$26))</f>
        <v>0.98909282946058796</v>
      </c>
      <c r="W10" s="31">
        <f t="array" ref="W10">L10/MAX(IF($E$5:$E$26=$E10,L$5:L$26))</f>
        <v>0.95656844097285909</v>
      </c>
      <c r="X10" s="31">
        <f t="array" ref="X10">M10/MAX(IF($E$5:$E$26=$E10,M$5:M$26))</f>
        <v>1</v>
      </c>
      <c r="Y10" s="31">
        <f t="array" ref="Y10">N10/MAX(IF($E$5:$E$26=$E10,N$5:N$26))</f>
        <v>0.9788593824063262</v>
      </c>
      <c r="Z10" s="31">
        <f t="array" ref="Z10">IF(O10="NC","NC",IF(O10=0,0,IF(O10&gt;0,O10/MAX(IF($E$5:$E$26=$E10,$O$5:$O$26,"ERROR")))))</f>
        <v>0</v>
      </c>
      <c r="AA10" s="32">
        <f t="array" ref="AA10">IF(P10=0,0,P10/MAX(IF($E$5:$E$26=$E10,$P$5:$P$26)))</f>
        <v>0</v>
      </c>
      <c r="AB10" s="11">
        <f t="shared" si="1"/>
        <v>0.70041665907575357</v>
      </c>
      <c r="AC10" s="11">
        <f t="array" ref="AC10">SUM(IF($E$5:$E$26=$E10,$AB$5:$AB$26,"ERROR"))</f>
        <v>4.4227599029838522</v>
      </c>
      <c r="AD10" s="36">
        <f t="shared" si="2"/>
        <v>0.15836642151956101</v>
      </c>
      <c r="AE10" s="12">
        <f>VLOOKUP(E10,Categorías!$A$26:$E$29,5,0)</f>
        <v>8629269</v>
      </c>
      <c r="AF10" s="12">
        <f t="shared" si="3"/>
        <v>1366586.4518596807</v>
      </c>
      <c r="AG10" s="105">
        <f t="shared" si="4"/>
        <v>1366586</v>
      </c>
      <c r="AH10" s="105">
        <f t="shared" si="4"/>
        <v>1366586</v>
      </c>
      <c r="AI10" s="22">
        <f t="array" ref="AI10">AG10/(SUM(IF($C$5:$C$26=$C10,$AG$5:$AG$26,0)))</f>
        <v>4.2231031448658196E-2</v>
      </c>
    </row>
    <row r="11" spans="1:35" x14ac:dyDescent="0.25">
      <c r="A11" s="25" t="str">
        <f>Valores!A10</f>
        <v>UNIVERSIDAD DE VALPARAÍSO</v>
      </c>
      <c r="B11" s="26" t="str">
        <f>Valores!B10</f>
        <v>UVA</v>
      </c>
      <c r="C11" s="27" t="str">
        <f>Valores!C10</f>
        <v>CRUCH-ESTATAL</v>
      </c>
      <c r="D11" s="27" t="str">
        <f>Valores!D10</f>
        <v>Categoría II</v>
      </c>
      <c r="E11" s="27" t="str">
        <f t="shared" si="0"/>
        <v>CRUCH-ESTATALCategoría II</v>
      </c>
      <c r="F11" s="28">
        <f>IFERROR(Valores!E10/Valores!F10*100,0)</f>
        <v>3.5037937203133676</v>
      </c>
      <c r="G11" s="29">
        <f>IFERROR(Valores!G10/Valores!H10,0)</f>
        <v>0.27287637328141612</v>
      </c>
      <c r="H11" s="29">
        <f>IFERROR((Valores!G10+Valores!I10+Valores!J10)/(Valores!H10),0)</f>
        <v>0.72264265492659663</v>
      </c>
      <c r="I11" s="29">
        <f>IFERROR(Valores!K10/Valores!H10,0)</f>
        <v>0.49324863982519362</v>
      </c>
      <c r="J11" s="29">
        <f>IFERROR(Valores!K10/Valores!G10,0)</f>
        <v>1.8075901328273247</v>
      </c>
      <c r="K11" s="29">
        <f>IFERROR(Valores!L10/Valores!M10,0)</f>
        <v>6.2635825712748794</v>
      </c>
      <c r="L11" s="29">
        <f>IFERROR(Valores!N10/Valores!O10,0)</f>
        <v>0.67460778617083095</v>
      </c>
      <c r="M11" s="29">
        <f>IFERROR(Valores!P10/Valores!Q10,0)</f>
        <v>0.82230569199653281</v>
      </c>
      <c r="N11" s="29">
        <f>IFERROR(Valores!R10/Valores!S10,0)</f>
        <v>0.65015806111696528</v>
      </c>
      <c r="O11" s="29">
        <f>IF(Valores!W10&gt;0,Valores!T10/Valores!W10,IF(AND(Valores!W10=0,OR(Valores!V10&gt;0,Valores!U10&gt;0)),0,IF(AND(Valores!V10=0,Valores!W10=0,Valores!U10=0),"NC",)))</f>
        <v>0.17391304347826086</v>
      </c>
      <c r="P11" s="30">
        <f>IFERROR((Valores!X10+Valores!Y10)*1000/(Valores!H10),0)</f>
        <v>1.1391423552544888</v>
      </c>
      <c r="Q11" s="31">
        <f t="array" ref="Q11">F11/MAX(IF($E$5:$E$26=$E11,F$5:F$26))</f>
        <v>0.83609045918588831</v>
      </c>
      <c r="R11" s="31">
        <f t="array" ref="R11">G11/MAX(IF($E$5:$E$26=$E11,G$5:G$26))</f>
        <v>0.5560886316376108</v>
      </c>
      <c r="S11" s="31">
        <f t="array" ref="S11">H11/MAX(IF($E$5:$E$26=$E11,H$5:H$26))</f>
        <v>0.74785357184998658</v>
      </c>
      <c r="T11" s="31">
        <f t="array" ref="T11">I11/MAX(IF($E$5:$E$26=$E11,I$5:I$26))</f>
        <v>0.41276517878145569</v>
      </c>
      <c r="U11" s="31">
        <f t="array" ref="U11">J11/MAX(IF($E$5:$E$26=$E11,J$5:J$26))</f>
        <v>0.7414133815389109</v>
      </c>
      <c r="V11" s="31">
        <f t="array" ref="V11">K11/MAX(IF($E$5:$E$26=$E11,K$5:K$26))</f>
        <v>0.92858706651068135</v>
      </c>
      <c r="W11" s="31">
        <f t="array" ref="W11">L11/MAX(IF($E$5:$E$26=$E11,L$5:L$26))</f>
        <v>0.8038857374117393</v>
      </c>
      <c r="X11" s="31">
        <f t="array" ref="X11">M11/MAX(IF($E$5:$E$26=$E11,M$5:M$26))</f>
        <v>0.94948786038342048</v>
      </c>
      <c r="Y11" s="31">
        <f t="array" ref="Y11">N11/MAX(IF($E$5:$E$26=$E11,N$5:N$26))</f>
        <v>0.90502002107481572</v>
      </c>
      <c r="Z11" s="31">
        <f t="array" ref="Z11">IF(O11="NC","NC",IF(O11=0,0,IF(O11&gt;0,O11/MAX(IF($E$5:$E$26=$E11,$O$5:$O$26,"ERROR")))))</f>
        <v>0.57971014492753625</v>
      </c>
      <c r="AA11" s="32">
        <f t="array" ref="AA11">IF(P11=0,0,P11/MAX(IF($E$5:$E$26=$E11,$P$5:$P$26)))</f>
        <v>0.11426050891184716</v>
      </c>
      <c r="AB11" s="11">
        <f t="shared" si="1"/>
        <v>0.68865114201944477</v>
      </c>
      <c r="AC11" s="11">
        <f t="array" ref="AC11">SUM(IF($E$5:$E$26=$E11,$AB$5:$AB$26,"ERROR"))</f>
        <v>5.5658798795273032</v>
      </c>
      <c r="AD11" s="36">
        <f t="shared" si="2"/>
        <v>0.12372727348149853</v>
      </c>
      <c r="AE11" s="12">
        <f>VLOOKUP(E11,Categorías!$A$26:$E$29,5,0)</f>
        <v>17258539</v>
      </c>
      <c r="AF11" s="12">
        <f t="shared" si="3"/>
        <v>2135351.974744108</v>
      </c>
      <c r="AG11" s="105">
        <f t="shared" si="4"/>
        <v>2135352</v>
      </c>
      <c r="AH11" s="105">
        <f t="shared" si="4"/>
        <v>2135352</v>
      </c>
      <c r="AI11" s="22">
        <f t="array" ref="AI11">AG11/(SUM(IF($C$5:$C$26=$C11,$AG$5:$AG$26,0)))</f>
        <v>6.5987883284297638E-2</v>
      </c>
    </row>
    <row r="12" spans="1:35" x14ac:dyDescent="0.25">
      <c r="A12" s="25" t="str">
        <f>Valores!A11</f>
        <v>UNIVERSIDAD DEL BÍO-BÍO</v>
      </c>
      <c r="B12" s="26" t="str">
        <f>Valores!B11</f>
        <v>UBB</v>
      </c>
      <c r="C12" s="27" t="str">
        <f>Valores!C11</f>
        <v>CRUCH-ESTATAL</v>
      </c>
      <c r="D12" s="27" t="str">
        <f>Valores!D11</f>
        <v>Categoría II</v>
      </c>
      <c r="E12" s="27" t="str">
        <f t="shared" si="0"/>
        <v>CRUCH-ESTATALCategoría II</v>
      </c>
      <c r="F12" s="28">
        <f>IFERROR(Valores!E11/Valores!F11*100,0)</f>
        <v>3.6365070600299756</v>
      </c>
      <c r="G12" s="29">
        <f>IFERROR(Valores!G11/Valores!H11,0)</f>
        <v>0.4510501801564285</v>
      </c>
      <c r="H12" s="29">
        <f>IFERROR((Valores!G11+Valores!I11+Valores!J11)/(Valores!H11),0)</f>
        <v>0.85367782757711586</v>
      </c>
      <c r="I12" s="29">
        <f>IFERROR(Valores!K11/Valores!H11,0)</f>
        <v>0.48914667369716153</v>
      </c>
      <c r="J12" s="29">
        <f>IFERROR(Valores!K11/Valores!G11,0)</f>
        <v>1.0844617632732589</v>
      </c>
      <c r="K12" s="29">
        <f>IFERROR(Valores!L11/Valores!M11,0)</f>
        <v>3.509452736318408</v>
      </c>
      <c r="L12" s="29">
        <f>IFERROR(Valores!N11/Valores!O11,0)</f>
        <v>0.79680940386230059</v>
      </c>
      <c r="M12" s="29">
        <f>IFERROR(Valores!P11/Valores!Q11,0)</f>
        <v>0.86605182257356172</v>
      </c>
      <c r="N12" s="29">
        <f>IFERROR(Valores!R11/Valores!S11,0)</f>
        <v>0.70874704491725771</v>
      </c>
      <c r="O12" s="29">
        <f>IF(Valores!W11&gt;0,Valores!T11/Valores!W11,IF(AND(Valores!W11=0,OR(Valores!V11&gt;0,Valores!U11&gt;0)),0,IF(AND(Valores!V11=0,Valores!W11=0,Valores!U11=0),"NC",)))</f>
        <v>0</v>
      </c>
      <c r="P12" s="30">
        <f>IFERROR((Valores!X11+Valores!Y11)*1000/(Valores!H11),0)</f>
        <v>1.9333860620441168</v>
      </c>
      <c r="Q12" s="31">
        <f t="array" ref="Q12">F12/MAX(IF($E$5:$E$26=$E12,F$5:F$26))</f>
        <v>0.86775909210239099</v>
      </c>
      <c r="R12" s="31">
        <f t="array" ref="R12">G12/MAX(IF($E$5:$E$26=$E12,G$5:G$26))</f>
        <v>0.91918503044751587</v>
      </c>
      <c r="S12" s="31">
        <f t="array" ref="S12">H12/MAX(IF($E$5:$E$26=$E12,H$5:H$26))</f>
        <v>0.88346018355023903</v>
      </c>
      <c r="T12" s="31">
        <f t="array" ref="T12">I12/MAX(IF($E$5:$E$26=$E12,I$5:I$26))</f>
        <v>0.40933253113585305</v>
      </c>
      <c r="U12" s="31">
        <f t="array" ref="U12">J12/MAX(IF($E$5:$E$26=$E12,J$5:J$26))</f>
        <v>0.44481016379551375</v>
      </c>
      <c r="V12" s="31">
        <f t="array" ref="V12">K12/MAX(IF($E$5:$E$26=$E12,K$5:K$26))</f>
        <v>0.52028250356608563</v>
      </c>
      <c r="W12" s="31">
        <f t="array" ref="W12">L12/MAX(IF($E$5:$E$26=$E12,L$5:L$26))</f>
        <v>0.94950536938844188</v>
      </c>
      <c r="X12" s="31">
        <f t="array" ref="X12">M12/MAX(IF($E$5:$E$26=$E12,M$5:M$26))</f>
        <v>1</v>
      </c>
      <c r="Y12" s="31">
        <f t="array" ref="Y12">N12/MAX(IF($E$5:$E$26=$E12,N$5:N$26))</f>
        <v>0.98657588652482275</v>
      </c>
      <c r="Z12" s="31">
        <f t="array" ref="Z12">IF(O12="NC","NC",IF(O12=0,0,IF(O12&gt;0,O12/MAX(IF($E$5:$E$26=$E12,$O$5:$O$26,"ERROR")))))</f>
        <v>0</v>
      </c>
      <c r="AA12" s="32">
        <f t="array" ref="AA12">IF(P12=0,0,P12/MAX(IF($E$5:$E$26=$E12,$P$5:$P$26)))</f>
        <v>0.19392631162668061</v>
      </c>
      <c r="AB12" s="35">
        <f t="shared" si="1"/>
        <v>0.65225791564886759</v>
      </c>
      <c r="AC12" s="11">
        <f t="array" ref="AC12">SUM(IF($E$5:$E$26=$E12,$AB$5:$AB$26,"ERROR"))</f>
        <v>5.5658798795273032</v>
      </c>
      <c r="AD12" s="36">
        <f t="shared" si="2"/>
        <v>0.11718864398206565</v>
      </c>
      <c r="AE12" s="12">
        <f>VLOOKUP(E12,Categorías!$A$26:$E$29,5,0)</f>
        <v>17258539</v>
      </c>
      <c r="AF12" s="12">
        <f t="shared" si="3"/>
        <v>2022504.7825215952</v>
      </c>
      <c r="AG12" s="105">
        <f t="shared" si="4"/>
        <v>2022505</v>
      </c>
      <c r="AH12" s="105">
        <f t="shared" si="4"/>
        <v>2022505</v>
      </c>
      <c r="AI12" s="22">
        <f t="array" ref="AI12">AG12/(SUM(IF($C$5:$C$26=$C12,$AG$5:$AG$26,0)))</f>
        <v>6.2500619982985658E-2</v>
      </c>
    </row>
    <row r="13" spans="1:35" x14ac:dyDescent="0.25">
      <c r="A13" s="25" t="str">
        <f>Valores!A12</f>
        <v>UNIVERSIDAD DE LA SERENA</v>
      </c>
      <c r="B13" s="26" t="str">
        <f>Valores!B12</f>
        <v>ULS</v>
      </c>
      <c r="C13" s="27" t="str">
        <f>Valores!C12</f>
        <v>CRUCH-ESTATAL</v>
      </c>
      <c r="D13" s="27" t="str">
        <f>Valores!D12</f>
        <v>Categoría II</v>
      </c>
      <c r="E13" s="27" t="str">
        <f t="shared" si="0"/>
        <v>CRUCH-ESTATALCategoría II</v>
      </c>
      <c r="F13" s="28">
        <f>IFERROR(Valores!E12/Valores!F12*100,0)</f>
        <v>3.045019031368946</v>
      </c>
      <c r="G13" s="29">
        <f>IFERROR(Valores!G12/Valores!H12,0)</f>
        <v>0.32856621226874433</v>
      </c>
      <c r="H13" s="29">
        <f>IFERROR((Valores!G12+Valores!I12+Valores!J12)/(Valores!H12),0)</f>
        <v>0.60388266796494694</v>
      </c>
      <c r="I13" s="29">
        <f>IFERROR(Valores!K12/Valores!H12,0)</f>
        <v>0.46324245374878337</v>
      </c>
      <c r="J13" s="29">
        <f>IFERROR(Valores!K12/Valores!G12,0)</f>
        <v>1.4098907205037969</v>
      </c>
      <c r="K13" s="29">
        <f>IFERROR(Valores!L12/Valores!M12,0)</f>
        <v>6.7452830188679247</v>
      </c>
      <c r="L13" s="29">
        <f>IFERROR(Valores!N12/Valores!O12,0)</f>
        <v>0.67343485617597287</v>
      </c>
      <c r="M13" s="29">
        <f>IFERROR(Valores!P12/Valores!Q12,0)</f>
        <v>0.80895522388059704</v>
      </c>
      <c r="N13" s="29">
        <f>IFERROR(Valores!R12/Valores!S12,0)</f>
        <v>0.60672703751617074</v>
      </c>
      <c r="O13" s="29">
        <f>IF(Valores!W12&gt;0,Valores!T12/Valores!W12,IF(AND(Valores!W12=0,OR(Valores!V12&gt;0,Valores!U12&gt;0)),0,IF(AND(Valores!V12=0,Valores!W12=0,Valores!U12=0),"NC",)))</f>
        <v>0</v>
      </c>
      <c r="P13" s="30">
        <f>IFERROR((Valores!X12+Valores!Y12)*1000/(Valores!H12),0)</f>
        <v>0</v>
      </c>
      <c r="Q13" s="31">
        <f t="array" ref="Q13">F13/MAX(IF($E$5:$E$26=$E13,F$5:F$26))</f>
        <v>0.726615652458939</v>
      </c>
      <c r="R13" s="31">
        <f t="array" ref="R13">G13/MAX(IF($E$5:$E$26=$E13,G$5:G$26))</f>
        <v>0.66957770357952118</v>
      </c>
      <c r="S13" s="31">
        <f t="array" ref="S13">H13/MAX(IF($E$5:$E$26=$E13,H$5:H$26))</f>
        <v>0.62495039164517419</v>
      </c>
      <c r="T13" s="31">
        <f t="array" ref="T13">I13/MAX(IF($E$5:$E$26=$E13,I$5:I$26))</f>
        <v>0.38765510698324757</v>
      </c>
      <c r="U13" s="31">
        <f t="array" ref="U13">J13/MAX(IF($E$5:$E$26=$E13,J$5:J$26))</f>
        <v>0.57829030359555955</v>
      </c>
      <c r="V13" s="31">
        <f t="array" ref="V13">K13/MAX(IF($E$5:$E$26=$E13,K$5:K$26))</f>
        <v>1</v>
      </c>
      <c r="W13" s="31">
        <f t="array" ref="W13">L13/MAX(IF($E$5:$E$26=$E13,L$5:L$26))</f>
        <v>0.80248803386728285</v>
      </c>
      <c r="X13" s="31">
        <f t="array" ref="X13">M13/MAX(IF($E$5:$E$26=$E13,M$5:M$26))</f>
        <v>0.93407253791892464</v>
      </c>
      <c r="Y13" s="31">
        <f t="array" ref="Y13">N13/MAX(IF($E$5:$E$26=$E13,N$5:N$26))</f>
        <v>0.84456403622250975</v>
      </c>
      <c r="Z13" s="31">
        <f t="array" ref="Z13">IF(O13="NC","NC",IF(O13=0,0,IF(O13&gt;0,O13/MAX(IF($E$5:$E$26=$E13,$O$5:$O$26,"ERROR")))))</f>
        <v>0</v>
      </c>
      <c r="AA13" s="32">
        <f t="array" ref="AA13">IF(P13=0,0,P13/MAX(IF($E$5:$E$26=$E13,$P$5:$P$26)))</f>
        <v>0</v>
      </c>
      <c r="AB13" s="11">
        <f t="shared" si="1"/>
        <v>0.5971103423882872</v>
      </c>
      <c r="AC13" s="11">
        <f t="array" ref="AC13">SUM(IF($E$5:$E$26=$E13,$AB$5:$AB$26,"ERROR"))</f>
        <v>5.5658798795273032</v>
      </c>
      <c r="AD13" s="36">
        <f t="shared" si="2"/>
        <v>0.10728049388643981</v>
      </c>
      <c r="AE13" s="12">
        <f>VLOOKUP(E13,Categorías!$A$26:$E$29,5,0)</f>
        <v>17258539</v>
      </c>
      <c r="AF13" s="12">
        <f t="shared" si="3"/>
        <v>1851504.5876783831</v>
      </c>
      <c r="AG13" s="105">
        <f t="shared" si="4"/>
        <v>1851505</v>
      </c>
      <c r="AH13" s="105">
        <f t="shared" si="4"/>
        <v>1851505</v>
      </c>
      <c r="AI13" s="22">
        <f t="array" ref="AI13">AG13/(SUM(IF($C$5:$C$26=$C13,$AG$5:$AG$26,0)))</f>
        <v>5.7216279021113849E-2</v>
      </c>
    </row>
    <row r="14" spans="1:35" x14ac:dyDescent="0.25">
      <c r="A14" s="25" t="str">
        <f>Valores!A13</f>
        <v>UNIVERSIDAD DE PLAYA ANCHA CS. EDUCACIÓN</v>
      </c>
      <c r="B14" s="26" t="str">
        <f>Valores!B13</f>
        <v>UPA</v>
      </c>
      <c r="C14" s="27" t="str">
        <f>Valores!C13</f>
        <v>CRUCH-ESTATAL</v>
      </c>
      <c r="D14" s="27" t="str">
        <f>Valores!D13</f>
        <v>Categoría III</v>
      </c>
      <c r="E14" s="27" t="str">
        <f t="shared" si="0"/>
        <v>CRUCH-ESTATALCategoría III</v>
      </c>
      <c r="F14" s="28">
        <f>IFERROR(Valores!E13/Valores!F13*100,0)</f>
        <v>3.7676985841132709</v>
      </c>
      <c r="G14" s="29">
        <f>IFERROR(Valores!G13/Valores!H13,0)</f>
        <v>0.29364282331776353</v>
      </c>
      <c r="H14" s="29">
        <f>IFERROR((Valores!G13+Valores!I13+Valores!J13)/(Valores!H13),0)</f>
        <v>0.75413673185338692</v>
      </c>
      <c r="I14" s="29">
        <f>IFERROR(Valores!K13/Valores!H13,0)</f>
        <v>0.20101388342971166</v>
      </c>
      <c r="J14" s="29">
        <f>IFERROR(Valores!K13/Valores!G13,0)</f>
        <v>0.6845523454601371</v>
      </c>
      <c r="K14" s="29">
        <f>IFERROR(Valores!L13/Valores!M13,0)</f>
        <v>2.3230403800475061</v>
      </c>
      <c r="L14" s="29">
        <f>IFERROR(Valores!N13/Valores!O13,0)</f>
        <v>0.74169096209912533</v>
      </c>
      <c r="M14" s="29">
        <f>IFERROR(Valores!P13/Valores!Q13,0)</f>
        <v>0.78789561354802884</v>
      </c>
      <c r="N14" s="29">
        <f>IFERROR(Valores!R13/Valores!S13,0)</f>
        <v>0.59623430962343094</v>
      </c>
      <c r="O14" s="29">
        <f>IF(Valores!W13&gt;0,Valores!T13/Valores!W13,IF(AND(Valores!W13=0,OR(Valores!V13&gt;0,Valores!U13&gt;0)),0,IF(AND(Valores!V13=0,Valores!W13=0,Valores!U13=0),"NC",)))</f>
        <v>9.0909090909090912E-2</v>
      </c>
      <c r="P14" s="30">
        <f>IFERROR((Valores!X13+Valores!Y13)*1000/(Valores!H13),0)</f>
        <v>0</v>
      </c>
      <c r="Q14" s="31">
        <f t="array" ref="Q14">F14/MAX(IF($E$5:$E$26=$E14,F$5:F$26))</f>
        <v>0.25028283451609584</v>
      </c>
      <c r="R14" s="31">
        <f t="array" ref="R14">G14/MAX(IF($E$5:$E$26=$E14,G$5:G$26))</f>
        <v>0.4399086194169145</v>
      </c>
      <c r="S14" s="31">
        <f t="array" ref="S14">H14/MAX(IF($E$5:$E$26=$E14,H$5:H$26))</f>
        <v>0.8760836650555045</v>
      </c>
      <c r="T14" s="31">
        <f t="array" ref="T14">I14/MAX(IF($E$5:$E$26=$E14,I$5:I$26))</f>
        <v>0.30905002249503666</v>
      </c>
      <c r="U14" s="31">
        <f t="array" ref="U14">J14/MAX(IF($E$5:$E$26=$E14,J$5:J$26))</f>
        <v>0.3738595963940019</v>
      </c>
      <c r="V14" s="31">
        <f t="array" ref="V14">K14/MAX(IF($E$5:$E$26=$E14,K$5:K$26))</f>
        <v>0.52662144208704065</v>
      </c>
      <c r="W14" s="31">
        <f t="array" ref="W14">L14/MAX(IF($E$5:$E$26=$E14,L$5:L$26))</f>
        <v>0.97833944027861275</v>
      </c>
      <c r="X14" s="31">
        <f t="array" ref="X14">M14/MAX(IF($E$5:$E$26=$E14,M$5:M$26))</f>
        <v>0.93797096850955819</v>
      </c>
      <c r="Y14" s="31">
        <f t="array" ref="Y14">N14/MAX(IF($E$5:$E$26=$E14,N$5:N$26))</f>
        <v>0.92905764066695806</v>
      </c>
      <c r="Z14" s="31">
        <f t="array" ref="Z14">IF(O14="NC","NC",IF(O14=0,0,IF(O14&gt;0,O14/MAX(IF($E$5:$E$26=$E14,$O$5:$O$26,"ERROR")))))</f>
        <v>0.31818181818181823</v>
      </c>
      <c r="AA14" s="32">
        <f t="array" ref="AA14">IF(P14=0,0,P14/MAX(IF($E$5:$E$26=$E14,$P$5:$P$26)))</f>
        <v>0</v>
      </c>
      <c r="AB14" s="11">
        <f t="shared" si="1"/>
        <v>0.53994145887286737</v>
      </c>
      <c r="AC14" s="11">
        <f t="array" ref="AC14">SUM(IF($E$5:$E$26=$E14,$AB$5:$AB$26,"ERROR"))</f>
        <v>4.4227599029838522</v>
      </c>
      <c r="AD14" s="36">
        <f t="shared" si="2"/>
        <v>0.12208247128870625</v>
      </c>
      <c r="AE14" s="12">
        <f>VLOOKUP(E14,Categorías!$A$26:$E$29,5,0)</f>
        <v>8629269</v>
      </c>
      <c r="AF14" s="12">
        <f t="shared" si="3"/>
        <v>1053482.4849350229</v>
      </c>
      <c r="AG14" s="105">
        <f t="shared" si="4"/>
        <v>1053482</v>
      </c>
      <c r="AH14" s="105">
        <f t="shared" si="4"/>
        <v>1053482</v>
      </c>
      <c r="AI14" s="22">
        <f t="array" ref="AI14">AG14/(SUM(IF($C$5:$C$26=$C14,$AG$5:$AG$26,0)))</f>
        <v>3.2555310439734732E-2</v>
      </c>
    </row>
    <row r="15" spans="1:35" x14ac:dyDescent="0.25">
      <c r="A15" s="25" t="str">
        <f>Valores!A14</f>
        <v>UNIVERSIDAD ARTURO PRAT</v>
      </c>
      <c r="B15" s="26" t="str">
        <f>Valores!B14</f>
        <v>UAP</v>
      </c>
      <c r="C15" s="27" t="str">
        <f>Valores!C14</f>
        <v>CRUCH-ESTATAL</v>
      </c>
      <c r="D15" s="27" t="str">
        <f>Valores!D14</f>
        <v>Categoría III</v>
      </c>
      <c r="E15" s="27" t="str">
        <f t="shared" si="0"/>
        <v>CRUCH-ESTATALCategoría III</v>
      </c>
      <c r="F15" s="28">
        <f>IFERROR(Valores!E14/Valores!F14*100,0)</f>
        <v>2.0695929042528998</v>
      </c>
      <c r="G15" s="29">
        <f>IFERROR(Valores!G14/Valores!H14,0)</f>
        <v>0.15731170565253927</v>
      </c>
      <c r="H15" s="29">
        <f>IFERROR((Valores!G14+Valores!I14+Valores!J14)/(Valores!H14),0)</f>
        <v>0.53746105533850952</v>
      </c>
      <c r="I15" s="29">
        <f>IFERROR(Valores!K14/Valores!H14,0)</f>
        <v>0.14143711982592341</v>
      </c>
      <c r="J15" s="29">
        <f>IFERROR(Valores!K14/Valores!G14,0)</f>
        <v>0.89908833700094326</v>
      </c>
      <c r="K15" s="29">
        <f>IFERROR(Valores!L14/Valores!M14,0)</f>
        <v>4.4112149532710276</v>
      </c>
      <c r="L15" s="29">
        <f>IFERROR(Valores!N14/Valores!O14,0)</f>
        <v>0.69678714859437751</v>
      </c>
      <c r="M15" s="29">
        <f>IFERROR(Valores!P14/Valores!Q14,0)</f>
        <v>0.78375527426160341</v>
      </c>
      <c r="N15" s="29">
        <f>IFERROR(Valores!R14/Valores!S14,0)</f>
        <v>0.62112403100775193</v>
      </c>
      <c r="O15" s="29" t="str">
        <f>IF(Valores!W14&gt;0,Valores!T14/Valores!W14,IF(AND(Valores!W14=0,OR(Valores!V14&gt;0,Valores!U14&gt;0)),0,IF(AND(Valores!V14=0,Valores!W14=0,Valores!U14=0),"NC",)))</f>
        <v>NC</v>
      </c>
      <c r="P15" s="30">
        <f>IFERROR((Valores!X14+Valores!Y14)*1000/(Valores!H14),0)</f>
        <v>0</v>
      </c>
      <c r="Q15" s="31">
        <f t="array" ref="Q15">F15/MAX(IF($E$5:$E$26=$E15,F$5:F$26))</f>
        <v>0.13748010006822833</v>
      </c>
      <c r="R15" s="31">
        <f t="array" ref="R15">G15/MAX(IF($E$5:$E$26=$E15,G$5:G$26))</f>
        <v>0.23566990151447109</v>
      </c>
      <c r="S15" s="31">
        <f t="array" ref="S15">H15/MAX(IF($E$5:$E$26=$E15,H$5:H$26))</f>
        <v>0.62437066290135523</v>
      </c>
      <c r="T15" s="31">
        <f t="array" ref="T15">I15/MAX(IF($E$5:$E$26=$E15,I$5:I$26))</f>
        <v>0.21745336350918898</v>
      </c>
      <c r="U15" s="31">
        <f t="array" ref="U15">J15/MAX(IF($E$5:$E$26=$E15,J$5:J$26))</f>
        <v>0.49102571194579409</v>
      </c>
      <c r="V15" s="31">
        <f t="array" ref="V15">K15/MAX(IF($E$5:$E$26=$E15,K$5:K$26))</f>
        <v>1</v>
      </c>
      <c r="W15" s="31">
        <f t="array" ref="W15">L15/MAX(IF($E$5:$E$26=$E15,L$5:L$26))</f>
        <v>0.91910833997468466</v>
      </c>
      <c r="X15" s="31">
        <f t="array" ref="X15">M15/MAX(IF($E$5:$E$26=$E15,M$5:M$26))</f>
        <v>0.9330419931685755</v>
      </c>
      <c r="Y15" s="31">
        <f t="array" ref="Y15">N15/MAX(IF($E$5:$E$26=$E15,N$5:N$26))</f>
        <v>0.96784102742103439</v>
      </c>
      <c r="Z15" s="31" t="str">
        <f t="array" ref="Z15">IF(O15="NC","NC",IF(O15=0,0,IF(O15&gt;0,O15/MAX(IF($E$5:$E$26=$E15,$O$5:$O$26,"ERROR")))))</f>
        <v>NC</v>
      </c>
      <c r="AA15" s="32">
        <f t="array" ref="AA15">IF(P15=0,0,P15/MAX(IF($E$5:$E$26=$E15,$P$5:$P$26)))</f>
        <v>0</v>
      </c>
      <c r="AB15" s="11">
        <f t="shared" si="1"/>
        <v>0.55259911005033313</v>
      </c>
      <c r="AC15" s="11">
        <f t="array" ref="AC15">SUM(IF($E$5:$E$26=$E15,$AB$5:$AB$26,"ERROR"))</f>
        <v>4.4227599029838522</v>
      </c>
      <c r="AD15" s="36">
        <f t="shared" si="2"/>
        <v>0.12494440624676856</v>
      </c>
      <c r="AE15" s="12">
        <f>VLOOKUP(E15,Categorías!$A$26:$E$29,5,0)</f>
        <v>8629269</v>
      </c>
      <c r="AF15" s="12">
        <f t="shared" si="3"/>
        <v>1078178.8915486464</v>
      </c>
      <c r="AG15" s="105">
        <f t="shared" si="4"/>
        <v>1078179</v>
      </c>
      <c r="AH15" s="105">
        <f t="shared" si="4"/>
        <v>1078179</v>
      </c>
      <c r="AI15" s="22">
        <f t="array" ref="AI15">AG15/(SUM(IF($C$5:$C$26=$C15,$AG$5:$AG$26,0)))</f>
        <v>3.3318511426491157E-2</v>
      </c>
    </row>
    <row r="16" spans="1:35" x14ac:dyDescent="0.25">
      <c r="A16" s="25" t="str">
        <f>Valores!A15</f>
        <v>UNIVERSIDAD DE ATACAMA</v>
      </c>
      <c r="B16" s="26" t="str">
        <f>Valores!B15</f>
        <v>ATA</v>
      </c>
      <c r="C16" s="27" t="str">
        <f>Valores!C15</f>
        <v>CRUCH-ESTATAL</v>
      </c>
      <c r="D16" s="27" t="str">
        <f>Valores!D15</f>
        <v>Categoría III</v>
      </c>
      <c r="E16" s="27" t="str">
        <f t="shared" si="0"/>
        <v>CRUCH-ESTATALCategoría III</v>
      </c>
      <c r="F16" s="28">
        <f>IFERROR(Valores!E15/Valores!F15*100,0)</f>
        <v>4.476752555059738</v>
      </c>
      <c r="G16" s="29">
        <f>IFERROR(Valores!G15/Valores!H15,0)</f>
        <v>0.21938884535935607</v>
      </c>
      <c r="H16" s="29">
        <f>IFERROR((Valores!G15+Valores!I15+Valores!J15)/(Valores!H15),0)</f>
        <v>0.43692570695918515</v>
      </c>
      <c r="I16" s="29">
        <f>IFERROR(Valores!K15/Valores!H15,0)</f>
        <v>0.29147375169171597</v>
      </c>
      <c r="J16" s="29">
        <f>IFERROR(Valores!K15/Valores!G15,0)</f>
        <v>1.3285714285714285</v>
      </c>
      <c r="K16" s="29">
        <f>IFERROR(Valores!L15/Valores!M15,0)</f>
        <v>3.3876651982378854</v>
      </c>
      <c r="L16" s="29">
        <f>IFERROR(Valores!N15/Valores!O15,0)</f>
        <v>0.6701323251417769</v>
      </c>
      <c r="M16" s="29">
        <f>IFERROR(Valores!P15/Valores!Q15,0)</f>
        <v>0.77873563218390807</v>
      </c>
      <c r="N16" s="29">
        <f>IFERROR(Valores!R15/Valores!S15,0)</f>
        <v>0.53543307086614178</v>
      </c>
      <c r="O16" s="29" t="str">
        <f>IF(Valores!W15&gt;0,Valores!T15/Valores!W15,IF(AND(Valores!W15=0,OR(Valores!V15&gt;0,Valores!U15&gt;0)),0,IF(AND(Valores!V15=0,Valores!W15=0,Valores!U15=0),"NC",)))</f>
        <v>NC</v>
      </c>
      <c r="P16" s="30">
        <f>IFERROR((Valores!X15+Valores!Y15)*1000/(Valores!H15),0)</f>
        <v>0</v>
      </c>
      <c r="Q16" s="31">
        <f t="array" ref="Q16">F16/MAX(IF($E$5:$E$26=$E16,F$5:F$26))</f>
        <v>0.29738427687182545</v>
      </c>
      <c r="R16" s="31">
        <f t="array" ref="R16">G16/MAX(IF($E$5:$E$26=$E16,G$5:G$26))</f>
        <v>0.32866815196456045</v>
      </c>
      <c r="S16" s="31">
        <f t="array" ref="S16">H16/MAX(IF($E$5:$E$26=$E16,H$5:H$26))</f>
        <v>0.50757834559925386</v>
      </c>
      <c r="T16" s="31">
        <f t="array" ref="T16">I16/MAX(IF($E$5:$E$26=$E16,I$5:I$26))</f>
        <v>0.44812809931377567</v>
      </c>
      <c r="U16" s="31">
        <f t="array" ref="U16">J16/MAX(IF($E$5:$E$26=$E16,J$5:J$26))</f>
        <v>0.72558246474555477</v>
      </c>
      <c r="V16" s="31">
        <f t="array" ref="V16">K16/MAX(IF($E$5:$E$26=$E16,K$5:K$26))</f>
        <v>0.7679664750242664</v>
      </c>
      <c r="W16" s="31">
        <f t="array" ref="W16">L16/MAX(IF($E$5:$E$26=$E16,L$5:L$26))</f>
        <v>0.8839488646811765</v>
      </c>
      <c r="X16" s="31">
        <f t="array" ref="X16">M16/MAX(IF($E$5:$E$26=$E16,M$5:M$26))</f>
        <v>0.92706622879036682</v>
      </c>
      <c r="Y16" s="31">
        <f t="array" ref="Y16">N16/MAX(IF($E$5:$E$26=$E16,N$5:N$26))</f>
        <v>0.83431660594664481</v>
      </c>
      <c r="Z16" s="31" t="str">
        <f t="array" ref="Z16">IF(O16="NC","NC",IF(O16=0,0,IF(O16&gt;0,O16/MAX(IF($E$5:$E$26=$E16,$O$5:$O$26,"ERROR")))))</f>
        <v>NC</v>
      </c>
      <c r="AA16" s="32">
        <f t="array" ref="AA16">IF(P16=0,0,P16/MAX(IF($E$5:$E$26=$E16,$P$5:$P$26)))</f>
        <v>0</v>
      </c>
      <c r="AB16" s="11">
        <f t="shared" si="1"/>
        <v>0.57206395129374255</v>
      </c>
      <c r="AC16" s="11">
        <f t="array" ref="AC16">SUM(IF($E$5:$E$26=$E16,$AB$5:$AB$26,"ERROR"))</f>
        <v>4.4227599029838522</v>
      </c>
      <c r="AD16" s="36">
        <f t="shared" si="2"/>
        <v>0.12934546840487424</v>
      </c>
      <c r="AE16" s="12">
        <f>VLOOKUP(E16,Categorías!$A$26:$E$29,5,0)</f>
        <v>8629269</v>
      </c>
      <c r="AF16" s="12">
        <f t="shared" si="3"/>
        <v>1116156.8407966606</v>
      </c>
      <c r="AG16" s="105">
        <f t="shared" si="4"/>
        <v>1116157</v>
      </c>
      <c r="AH16" s="105">
        <f t="shared" si="4"/>
        <v>1116157</v>
      </c>
      <c r="AI16" s="22">
        <f t="array" ref="AI16">AG16/(SUM(IF($C$5:$C$26=$C16,$AG$5:$AG$26,0)))</f>
        <v>3.4492129561286285E-2</v>
      </c>
    </row>
    <row r="17" spans="1:35" x14ac:dyDescent="0.25">
      <c r="A17" s="25" t="str">
        <f>Valores!A16</f>
        <v>UNIVERSIDAD DE LOS LAGOS</v>
      </c>
      <c r="B17" s="26" t="str">
        <f>Valores!B16</f>
        <v>ULA</v>
      </c>
      <c r="C17" s="27" t="str">
        <f>Valores!C16</f>
        <v>CRUCH-ESTATAL</v>
      </c>
      <c r="D17" s="27" t="str">
        <f>Valores!D16</f>
        <v>Categoría II</v>
      </c>
      <c r="E17" s="27" t="str">
        <f t="shared" si="0"/>
        <v>CRUCH-ESTATALCategoría II</v>
      </c>
      <c r="F17" s="28">
        <f>IFERROR(Valores!E16/Valores!F16*100,0)</f>
        <v>3.0753138075313808</v>
      </c>
      <c r="G17" s="29">
        <f>IFERROR(Valores!G16/Valores!H16,0)</f>
        <v>0.21526285086635916</v>
      </c>
      <c r="H17" s="29">
        <f>IFERROR((Valores!G16+Valores!I16+Valores!J16)/(Valores!H16),0)</f>
        <v>0.59415910321159926</v>
      </c>
      <c r="I17" s="29">
        <f>IFERROR(Valores!K16/Valores!H16,0)</f>
        <v>0.27979966260070704</v>
      </c>
      <c r="J17" s="29">
        <f>IFERROR(Valores!K16/Valores!G16,0)</f>
        <v>1.2998046875</v>
      </c>
      <c r="K17" s="29">
        <f>IFERROR(Valores!L16/Valores!M16,0)</f>
        <v>4.0269662921348317</v>
      </c>
      <c r="L17" s="29">
        <f>IFERROR(Valores!N16/Valores!O16,0)</f>
        <v>0.83918367346938771</v>
      </c>
      <c r="M17" s="29">
        <f>IFERROR(Valores!P16/Valores!Q16,0)</f>
        <v>0.81782566111655242</v>
      </c>
      <c r="N17" s="29">
        <f>IFERROR(Valores!R16/Valores!S16,0)</f>
        <v>0.62669683257918551</v>
      </c>
      <c r="O17" s="29">
        <f>IF(Valores!W16&gt;0,Valores!T16/Valores!W16,IF(AND(Valores!W16=0,OR(Valores!V16&gt;0,Valores!U16&gt;0)),0,IF(AND(Valores!V16=0,Valores!W16=0,Valores!U16=0),"NC",)))</f>
        <v>0</v>
      </c>
      <c r="P17" s="30">
        <f>IFERROR((Valores!X16+Valores!Y16)*1000/(Valores!H16),0)</f>
        <v>2.3123939057909673</v>
      </c>
      <c r="Q17" s="31">
        <f t="array" ref="Q17">F17/MAX(IF($E$5:$E$26=$E17,F$5:F$26))</f>
        <v>0.73384472338447237</v>
      </c>
      <c r="R17" s="31">
        <f t="array" ref="R17">G17/MAX(IF($E$5:$E$26=$E17,G$5:G$26))</f>
        <v>0.43867932844897978</v>
      </c>
      <c r="S17" s="31">
        <f t="array" ref="S17">H17/MAX(IF($E$5:$E$26=$E17,H$5:H$26))</f>
        <v>0.61488759977656482</v>
      </c>
      <c r="T17" s="31">
        <f t="array" ref="T17">I17/MAX(IF($E$5:$E$26=$E17,I$5:I$26))</f>
        <v>0.23414470599919304</v>
      </c>
      <c r="U17" s="31">
        <f t="array" ref="U17">J17/MAX(IF($E$5:$E$26=$E17,J$5:J$26))</f>
        <v>0.53313667252218944</v>
      </c>
      <c r="V17" s="31">
        <f t="array" ref="V17">K17/MAX(IF($E$5:$E$26=$E17,K$5:K$26))</f>
        <v>0.59700479295984921</v>
      </c>
      <c r="W17" s="31">
        <f t="array" ref="W17">L17/MAX(IF($E$5:$E$26=$E17,L$5:L$26))</f>
        <v>1</v>
      </c>
      <c r="X17" s="31">
        <f t="array" ref="X17">M17/MAX(IF($E$5:$E$26=$E17,M$5:M$26))</f>
        <v>0.94431492411885898</v>
      </c>
      <c r="Y17" s="31">
        <f t="array" ref="Y17">N17/MAX(IF($E$5:$E$26=$E17,N$5:N$26))</f>
        <v>0.87236199095022626</v>
      </c>
      <c r="Z17" s="31">
        <f t="array" ref="Z17">IF(O17="NC","NC",IF(O17=0,0,IF(O17&gt;0,O17/MAX(IF($E$5:$E$26=$E17,$O$5:$O$26,"ERROR")))))</f>
        <v>0</v>
      </c>
      <c r="AA17" s="32">
        <f t="array" ref="AA17">IF(P17=0,0,P17/MAX(IF($E$5:$E$26=$E17,$P$5:$P$26)))</f>
        <v>0.23194230577205005</v>
      </c>
      <c r="AB17" s="11">
        <f t="shared" si="1"/>
        <v>0.56366518581203495</v>
      </c>
      <c r="AC17" s="11">
        <f t="array" ref="AC17">SUM(IF($E$5:$E$26=$E17,$AB$5:$AB$26,"ERROR"))</f>
        <v>5.5658798795273032</v>
      </c>
      <c r="AD17" s="36">
        <f t="shared" si="2"/>
        <v>0.10127153262601594</v>
      </c>
      <c r="AE17" s="12">
        <f>VLOOKUP(E17,Categorías!$A$26:$E$29,5,0)</f>
        <v>17258539</v>
      </c>
      <c r="AF17" s="12">
        <f t="shared" si="3"/>
        <v>1747798.6954158687</v>
      </c>
      <c r="AG17" s="105">
        <f t="shared" si="4"/>
        <v>1747799</v>
      </c>
      <c r="AH17" s="105">
        <f t="shared" si="4"/>
        <v>1747799</v>
      </c>
      <c r="AI17" s="22">
        <f t="array" ref="AI17">AG17/(SUM(IF($C$5:$C$26=$C17,$AG$5:$AG$26,0)))</f>
        <v>5.4011496191921575E-2</v>
      </c>
    </row>
    <row r="18" spans="1:35" x14ac:dyDescent="0.25">
      <c r="A18" s="25" t="str">
        <f>Valores!A17</f>
        <v>UNIVERSIDAD DE MAGALLANES</v>
      </c>
      <c r="B18" s="26" t="str">
        <f>Valores!B17</f>
        <v>MAG</v>
      </c>
      <c r="C18" s="27" t="str">
        <f>Valores!C17</f>
        <v>CRUCH-ESTATAL</v>
      </c>
      <c r="D18" s="27" t="str">
        <f>Valores!D17</f>
        <v>Categoría II</v>
      </c>
      <c r="E18" s="27" t="str">
        <f t="shared" si="0"/>
        <v>CRUCH-ESTATALCategoría II</v>
      </c>
      <c r="F18" s="28">
        <f>IFERROR(Valores!E17/Valores!F17*100,0)</f>
        <v>4.1906873614190685</v>
      </c>
      <c r="G18" s="29">
        <f>IFERROR(Valores!G17/Valores!H17,0)</f>
        <v>0.22407343869137911</v>
      </c>
      <c r="H18" s="29">
        <f>IFERROR((Valores!G17+Valores!I17+Valores!J17)/(Valores!H17),0)</f>
        <v>0.49054376626893892</v>
      </c>
      <c r="I18" s="29">
        <f>IFERROR(Valores!K17/Valores!H17,0)</f>
        <v>0.38458200973935458</v>
      </c>
      <c r="J18" s="29">
        <f>IFERROR(Valores!K17/Valores!G17,0)</f>
        <v>1.7163212738884559</v>
      </c>
      <c r="K18" s="29">
        <f>IFERROR(Valores!L17/Valores!M17,0)</f>
        <v>5.0317848410757948</v>
      </c>
      <c r="L18" s="29">
        <f>IFERROR(Valores!N17/Valores!O17,0)</f>
        <v>0.56091030789825969</v>
      </c>
      <c r="M18" s="29">
        <f>IFERROR(Valores!P17/Valores!Q17,0)</f>
        <v>0.77181208053691275</v>
      </c>
      <c r="N18" s="29">
        <f>IFERROR(Valores!R17/Valores!S17,0)</f>
        <v>0.67799642218246869</v>
      </c>
      <c r="O18" s="29" t="str">
        <f>IF(Valores!W17&gt;0,Valores!T17/Valores!W17,IF(AND(Valores!W17=0,OR(Valores!V17&gt;0,Valores!U17&gt;0)),0,IF(AND(Valores!V17=0,Valores!W17=0,Valores!U17=0),"NC",)))</f>
        <v>NC</v>
      </c>
      <c r="P18" s="30">
        <f>IFERROR((Valores!X17+Valores!Y17)*1000/(Valores!H17),0)</f>
        <v>0</v>
      </c>
      <c r="Q18" s="31">
        <f t="array" ref="Q18">F18/MAX(IF($E$5:$E$26=$E18,F$5:F$26))</f>
        <v>1</v>
      </c>
      <c r="R18" s="31">
        <f t="array" ref="R18">G18/MAX(IF($E$5:$E$26=$E18,G$5:G$26))</f>
        <v>0.45663422747017696</v>
      </c>
      <c r="S18" s="31">
        <f t="array" ref="S18">H18/MAX(IF($E$5:$E$26=$E18,H$5:H$26))</f>
        <v>0.50765742272746783</v>
      </c>
      <c r="T18" s="31">
        <f t="array" ref="T18">I18/MAX(IF($E$5:$E$26=$E18,I$5:I$26))</f>
        <v>0.32182970045787479</v>
      </c>
      <c r="U18" s="31">
        <f t="array" ref="U18">J18/MAX(IF($E$5:$E$26=$E18,J$5:J$26))</f>
        <v>0.70397792971487239</v>
      </c>
      <c r="V18" s="31">
        <f t="array" ref="V18">K18/MAX(IF($E$5:$E$26=$E18,K$5:K$26))</f>
        <v>0.74597089951613182</v>
      </c>
      <c r="W18" s="31">
        <f t="array" ref="W18">L18/MAX(IF($E$5:$E$26=$E18,L$5:L$26))</f>
        <v>0.66839992915891844</v>
      </c>
      <c r="X18" s="31">
        <f t="array" ref="X18">M18/MAX(IF($E$5:$E$26=$E18,M$5:M$26))</f>
        <v>0.89118463863212494</v>
      </c>
      <c r="Y18" s="31">
        <f t="array" ref="Y18">N18/MAX(IF($E$5:$E$26=$E18,N$5:N$26))</f>
        <v>0.94377101967799648</v>
      </c>
      <c r="Z18" s="31" t="str">
        <f t="array" ref="Z18">IF(O18="NC","NC",IF(O18=0,0,IF(O18&gt;0,O18/MAX(IF($E$5:$E$26=$E18,$O$5:$O$26,"ERROR")))))</f>
        <v>NC</v>
      </c>
      <c r="AA18" s="32">
        <f t="array" ref="AA18">IF(P18=0,0,P18/MAX(IF($E$5:$E$26=$E18,$P$5:$P$26)))</f>
        <v>0</v>
      </c>
      <c r="AB18" s="11">
        <f t="shared" si="1"/>
        <v>0.62394257673555642</v>
      </c>
      <c r="AC18" s="11">
        <f t="array" ref="AC18">SUM(IF($E$5:$E$26=$E18,$AB$5:$AB$26,"ERROR"))</f>
        <v>5.5658798795273032</v>
      </c>
      <c r="AD18" s="36">
        <f t="shared" si="2"/>
        <v>0.11210133711842635</v>
      </c>
      <c r="AE18" s="12">
        <f>VLOOKUP(E18,Categorías!$A$26:$E$29,5,0)</f>
        <v>17258539</v>
      </c>
      <c r="AF18" s="12">
        <f t="shared" si="3"/>
        <v>1934705.2986105087</v>
      </c>
      <c r="AG18" s="105">
        <f t="shared" si="4"/>
        <v>1934705</v>
      </c>
      <c r="AH18" s="105">
        <f t="shared" si="4"/>
        <v>1934705</v>
      </c>
      <c r="AI18" s="22">
        <f t="array" ref="AI18">AG18/(SUM(IF($C$5:$C$26=$C18,$AG$5:$AG$26,0)))</f>
        <v>5.978737357098364E-2</v>
      </c>
    </row>
    <row r="19" spans="1:35" x14ac:dyDescent="0.25">
      <c r="A19" s="25" t="str">
        <f>Valores!A18</f>
        <v>UNIVERSIDAD METROPOLITANA DE CS.DE LA EDUCACIÓN</v>
      </c>
      <c r="B19" s="26" t="str">
        <f>Valores!B18</f>
        <v>UMC</v>
      </c>
      <c r="C19" s="27" t="str">
        <f>Valores!C18</f>
        <v>CRUCH-ESTATAL</v>
      </c>
      <c r="D19" s="27" t="str">
        <f>Valores!D18</f>
        <v>Categoría III</v>
      </c>
      <c r="E19" s="27" t="str">
        <f t="shared" si="0"/>
        <v>CRUCH-ESTATALCategoría III</v>
      </c>
      <c r="F19" s="28">
        <f>IFERROR(Valores!E18/Valores!F18*100,0)</f>
        <v>4.8740861088545895</v>
      </c>
      <c r="G19" s="29">
        <f>IFERROR(Valores!G18/Valores!H18,0)</f>
        <v>0.21477532368621485</v>
      </c>
      <c r="H19" s="29">
        <f>IFERROR((Valores!G18+Valores!I18+Valores!J18)/(Valores!H18),0)</f>
        <v>0.6878764799556879</v>
      </c>
      <c r="I19" s="29">
        <f>IFERROR(Valores!K18/Valores!H18,0)</f>
        <v>0.10662604722010666</v>
      </c>
      <c r="J19" s="29">
        <f>IFERROR(Valores!K18/Valores!G18,0)</f>
        <v>0.49645390070921985</v>
      </c>
      <c r="K19" s="29">
        <f>IFERROR(Valores!L18/Valores!M18,0)</f>
        <v>3.5030303030303029</v>
      </c>
      <c r="L19" s="29">
        <f>IFERROR(Valores!N18/Valores!O18,0)</f>
        <v>0.63279857397504458</v>
      </c>
      <c r="M19" s="29">
        <f>IFERROR(Valores!P18/Valores!Q18,0)</f>
        <v>0.8230337078651685</v>
      </c>
      <c r="N19" s="29">
        <f>IFERROR(Valores!R18/Valores!S18,0)</f>
        <v>0.64176245210727967</v>
      </c>
      <c r="O19" s="29">
        <f>IF(Valores!W18&gt;0,Valores!T18/Valores!W18,IF(AND(Valores!W18=0,OR(Valores!V18&gt;0,Valores!U18&gt;0)),0,IF(AND(Valores!V18=0,Valores!W18=0,Valores!U18=0),"NC",)))</f>
        <v>0.2857142857142857</v>
      </c>
      <c r="P19" s="30">
        <f>IFERROR((Valores!X18+Valores!Y18)*1000/(Valores!H18),0)</f>
        <v>0</v>
      </c>
      <c r="Q19" s="31">
        <f t="array" ref="Q19">F19/MAX(IF($E$5:$E$26=$E19,F$5:F$26))</f>
        <v>0.32377857723105485</v>
      </c>
      <c r="R19" s="31">
        <f t="array" ref="R19">G19/MAX(IF($E$5:$E$26=$E19,G$5:G$26))</f>
        <v>0.32175659891875236</v>
      </c>
      <c r="S19" s="31">
        <f t="array" ref="S19">H19/MAX(IF($E$5:$E$26=$E19,H$5:H$26))</f>
        <v>0.79910886475984322</v>
      </c>
      <c r="T19" s="31">
        <f t="array" ref="T19">I19/MAX(IF($E$5:$E$26=$E19,I$5:I$26))</f>
        <v>0.1639328673705932</v>
      </c>
      <c r="U19" s="31">
        <f t="array" ref="U19">J19/MAX(IF($E$5:$E$26=$E19,J$5:J$26))</f>
        <v>0.27113201229720268</v>
      </c>
      <c r="V19" s="31">
        <f t="array" ref="V19">K19/MAX(IF($E$5:$E$26=$E19,K$5:K$26))</f>
        <v>0.79411915767847974</v>
      </c>
      <c r="W19" s="31">
        <f t="array" ref="W19">L19/MAX(IF($E$5:$E$26=$E19,L$5:L$26))</f>
        <v>0.83470317734451405</v>
      </c>
      <c r="X19" s="31">
        <f t="array" ref="X19">M19/MAX(IF($E$5:$E$26=$E19,M$5:M$26))</f>
        <v>0.97980203317281966</v>
      </c>
      <c r="Y19" s="31">
        <f t="array" ref="Y19">N19/MAX(IF($E$5:$E$26=$E19,N$5:N$26))</f>
        <v>1</v>
      </c>
      <c r="Z19" s="31">
        <f t="array" ref="Z19">IF(O19="NC","NC",IF(O19=0,0,IF(O19&gt;0,O19/MAX(IF($E$5:$E$26=$E19,$O$5:$O$26,"ERROR")))))</f>
        <v>1</v>
      </c>
      <c r="AA19" s="32">
        <f t="array" ref="AA19">IF(P19=0,0,P19/MAX(IF($E$5:$E$26=$E19,$P$5:$P$26)))</f>
        <v>0</v>
      </c>
      <c r="AB19" s="11">
        <f t="shared" si="1"/>
        <v>0.58984848079756902</v>
      </c>
      <c r="AC19" s="11">
        <f t="array" ref="AC19">SUM(IF($E$5:$E$26=$E19,$AB$5:$AB$26,"ERROR"))</f>
        <v>4.4227599029838522</v>
      </c>
      <c r="AD19" s="36">
        <f t="shared" si="2"/>
        <v>0.13336660676507056</v>
      </c>
      <c r="AE19" s="12">
        <f>VLOOKUP(E19,Categorías!$A$26:$E$29,5,0)</f>
        <v>8629269</v>
      </c>
      <c r="AF19" s="12">
        <f t="shared" si="3"/>
        <v>1150856.3253930137</v>
      </c>
      <c r="AG19" s="105">
        <f t="shared" si="4"/>
        <v>1150856</v>
      </c>
      <c r="AH19" s="105">
        <f t="shared" si="4"/>
        <v>1150856</v>
      </c>
      <c r="AI19" s="22">
        <f t="array" ref="AI19">AG19/(SUM(IF($C$5:$C$26=$C19,$AG$5:$AG$26,0)))</f>
        <v>3.5564418140444122E-2</v>
      </c>
    </row>
    <row r="20" spans="1:35" x14ac:dyDescent="0.25">
      <c r="A20" s="25" t="str">
        <f>Valores!A19</f>
        <v>UNIVERSIDAD TECNOLÓGICA METROPOLITANA</v>
      </c>
      <c r="B20" s="26" t="str">
        <f>Valores!B19</f>
        <v>UTM</v>
      </c>
      <c r="C20" s="27" t="str">
        <f>Valores!C19</f>
        <v>CRUCH-ESTATAL</v>
      </c>
      <c r="D20" s="27" t="str">
        <f>Valores!D19</f>
        <v>Categoría III</v>
      </c>
      <c r="E20" s="27" t="str">
        <f t="shared" si="0"/>
        <v>CRUCH-ESTATALCategoría III</v>
      </c>
      <c r="F20" s="28">
        <f>IFERROR(Valores!E19/Valores!F19*100,0)</f>
        <v>2.3041474654377883</v>
      </c>
      <c r="G20" s="29">
        <f>IFERROR(Valores!G19/Valores!H19,0)</f>
        <v>0.18009543156800667</v>
      </c>
      <c r="H20" s="29">
        <f>IFERROR((Valores!G19+Valores!I19+Valores!J19)/(Valores!H19),0)</f>
        <v>0.62442103273964178</v>
      </c>
      <c r="I20" s="29">
        <f>IFERROR(Valores!K19/Valores!H19,0)</f>
        <v>0.19955591250531474</v>
      </c>
      <c r="J20" s="29">
        <f>IFERROR(Valores!K19/Valores!G19,0)</f>
        <v>1.108056494092464</v>
      </c>
      <c r="K20" s="29">
        <f>IFERROR(Valores!L19/Valores!M19,0)</f>
        <v>4.0965517241379308</v>
      </c>
      <c r="L20" s="29">
        <f>IFERROR(Valores!N19/Valores!O19,0)</f>
        <v>0.74795574795574793</v>
      </c>
      <c r="M20" s="29">
        <f>IFERROR(Valores!P19/Valores!Q19,0)</f>
        <v>0.75210643015521061</v>
      </c>
      <c r="N20" s="29">
        <f>IFERROR(Valores!R19/Valores!S19,0)</f>
        <v>0.5579631635969664</v>
      </c>
      <c r="O20" s="29" t="str">
        <f>IF(Valores!W19&gt;0,Valores!T19/Valores!W19,IF(AND(Valores!W19=0,OR(Valores!V19&gt;0,Valores!U19&gt;0)),0,IF(AND(Valores!V19=0,Valores!W19=0,Valores!U19=0),"NC",)))</f>
        <v>NC</v>
      </c>
      <c r="P20" s="30">
        <f>IFERROR((Valores!X19+Valores!Y19)*1000/(Valores!H19),0)</f>
        <v>0</v>
      </c>
      <c r="Q20" s="31">
        <f t="array" ref="Q20">F20/MAX(IF($E$5:$E$26=$E20,F$5:F$26))</f>
        <v>0.15306122448979592</v>
      </c>
      <c r="R20" s="31">
        <f t="array" ref="R20">G20/MAX(IF($E$5:$E$26=$E20,G$5:G$26))</f>
        <v>0.26980238021564673</v>
      </c>
      <c r="S20" s="31">
        <f t="array" ref="S20">H20/MAX(IF($E$5:$E$26=$E20,H$5:H$26))</f>
        <v>0.72539241730853732</v>
      </c>
      <c r="T20" s="31">
        <f t="array" ref="T20">I20/MAX(IF($E$5:$E$26=$E20,I$5:I$26))</f>
        <v>0.30680845619476899</v>
      </c>
      <c r="U20" s="31">
        <f t="array" ref="U20">J20/MAX(IF($E$5:$E$26=$E20,J$5:J$26))</f>
        <v>0.60515102520715036</v>
      </c>
      <c r="V20" s="31">
        <f t="array" ref="V20">K20/MAX(IF($E$5:$E$26=$E20,K$5:K$26))</f>
        <v>0.92866744593804795</v>
      </c>
      <c r="W20" s="31">
        <f t="array" ref="W20">L20/MAX(IF($E$5:$E$26=$E20,L$5:L$26))</f>
        <v>0.98660310722567524</v>
      </c>
      <c r="X20" s="31">
        <f t="array" ref="X20">M20/MAX(IF($E$5:$E$26=$E20,M$5:M$26))</f>
        <v>0.89536479780382217</v>
      </c>
      <c r="Y20" s="31">
        <f t="array" ref="Y20">N20/MAX(IF($E$5:$E$26=$E20,N$5:N$26))</f>
        <v>0.86942319820184022</v>
      </c>
      <c r="Z20" s="31" t="str">
        <f t="array" ref="Z20">IF(O20="NC","NC",IF(O20=0,0,IF(O20&gt;0,O20/MAX(IF($E$5:$E$26=$E20,$O$5:$O$26,"ERROR")))))</f>
        <v>NC</v>
      </c>
      <c r="AA20" s="32">
        <f t="array" ref="AA20">IF(P20=0,0,P20/MAX(IF($E$5:$E$26=$E20,$P$5:$P$26)))</f>
        <v>0</v>
      </c>
      <c r="AB20" s="11">
        <f>IF(Z20="NC",(SUM(Q20:Y20)+AA20)/(COUNTA(Q20:Y20)+COUNTA(AA20)),AVERAGE(Q20:AA20))</f>
        <v>0.57402740525852847</v>
      </c>
      <c r="AC20" s="11">
        <f t="array" ref="AC20">SUM(IF($E$5:$E$26=$E20,$AB$5:$AB$26,"ERROR"))</f>
        <v>4.4227599029838522</v>
      </c>
      <c r="AD20" s="36">
        <f>AB20/AC20</f>
        <v>0.12978941155527254</v>
      </c>
      <c r="AE20" s="12">
        <f>VLOOKUP(E20,Categorías!$A$26:$E$29,5,0)</f>
        <v>8629269</v>
      </c>
      <c r="AF20" s="12">
        <f t="shared" si="3"/>
        <v>1119987.7456621551</v>
      </c>
      <c r="AG20" s="105">
        <f t="shared" si="4"/>
        <v>1119988</v>
      </c>
      <c r="AH20" s="105">
        <f t="shared" si="4"/>
        <v>1119988</v>
      </c>
      <c r="AI20" s="22">
        <f t="array" ref="AI20">AG20/(SUM(IF($C$5:$C$26=$C20,$AG$5:$AG$26,0)))</f>
        <v>3.4610517340379454E-2</v>
      </c>
    </row>
    <row r="21" spans="1:35" x14ac:dyDescent="0.25">
      <c r="A21" s="25" t="str">
        <f>Valores!A20</f>
        <v>U. DE O'HIGGINS</v>
      </c>
      <c r="B21" s="26" t="str">
        <f>Valores!B20</f>
        <v>URO</v>
      </c>
      <c r="C21" s="27" t="str">
        <f>Valores!C20</f>
        <v>CRUCH-ESTATAL</v>
      </c>
      <c r="D21" s="27" t="str">
        <f>Valores!D20</f>
        <v>Categoría III</v>
      </c>
      <c r="E21" s="27" t="str">
        <f t="shared" ref="E21" si="5">CONCATENATE(C21,D21)</f>
        <v>CRUCH-ESTATALCategoría III</v>
      </c>
      <c r="F21" s="28">
        <f>IFERROR(Valores!E20/Valores!F20*100,0)</f>
        <v>6.2068965517241379</v>
      </c>
      <c r="G21" s="29">
        <f>IFERROR(Valores!G20/Valores!H20,0)</f>
        <v>0.66750868329649504</v>
      </c>
      <c r="H21" s="29">
        <f>IFERROR((Valores!G20+Valores!I20+Valores!J20)/(Valores!H20),0)</f>
        <v>0.85191032522892318</v>
      </c>
      <c r="I21" s="29">
        <f>IFERROR(Valores!K20/Valores!H20,0)</f>
        <v>0.19450584149036942</v>
      </c>
      <c r="J21" s="29">
        <f>IFERROR(Valores!K20/Valores!G20,0)</f>
        <v>0.29139072847682118</v>
      </c>
      <c r="K21" s="29">
        <f>IFERROR(Valores!L20/Valores!M20,0)</f>
        <v>1.75</v>
      </c>
      <c r="L21" s="29">
        <f>IFERROR(Valores!N20/Valores!O20,0)</f>
        <v>0.75811209439528027</v>
      </c>
      <c r="M21" s="29">
        <f>IFERROR(Valores!P20/Valores!Q20,0)</f>
        <v>0</v>
      </c>
      <c r="N21" s="29">
        <f>IFERROR(Valores!R20/Valores!S20,0)</f>
        <v>0</v>
      </c>
      <c r="O21" s="29" t="str">
        <f>IF(Valores!W20&gt;0,Valores!T20/Valores!W20,IF(AND(Valores!W20=0,OR(Valores!V20&gt;0,Valores!U20&gt;0)),0,IF(AND(Valores!V20=0,Valores!W20=0,Valores!U20=0),"NC",)))</f>
        <v>NC</v>
      </c>
      <c r="P21" s="30">
        <f>IFERROR((Valores!X20+Valores!Y20)*1000/(Valores!H20),0)</f>
        <v>0</v>
      </c>
      <c r="Q21" s="31">
        <f t="array" ref="Q21">F21/MAX(IF($E$5:$E$26=$E21,F$5:F$26))</f>
        <v>0.41231527093596054</v>
      </c>
      <c r="R21" s="31">
        <f t="array" ref="R21">G21/MAX(IF($E$5:$E$26=$E21,G$5:G$26))</f>
        <v>1</v>
      </c>
      <c r="S21" s="31">
        <f t="array" ref="S21">H21/MAX(IF($E$5:$E$26=$E21,H$5:H$26))</f>
        <v>0.98966764049663081</v>
      </c>
      <c r="T21" s="31">
        <f t="array" ref="T21">I21/MAX(IF($E$5:$E$26=$E21,I$5:I$26))</f>
        <v>0.29904419367647322</v>
      </c>
      <c r="U21" s="31">
        <f t="array" ref="U21">J21/MAX(IF($E$5:$E$26=$E21,J$5:J$26))</f>
        <v>0.15913935707586049</v>
      </c>
      <c r="V21" s="31">
        <f t="array" ref="V21">K21/MAX(IF($E$5:$E$26=$E21,K$5:K$26))</f>
        <v>0.39671610169491528</v>
      </c>
      <c r="W21" s="31">
        <f t="array" ref="W21">L21/MAX(IF($E$5:$E$26=$E21,L$5:L$26))</f>
        <v>1</v>
      </c>
      <c r="X21" s="31">
        <f t="array" ref="X21">M21/MAX(IF($E$5:$E$26=$E21,M$5:M$26))</f>
        <v>0</v>
      </c>
      <c r="Y21" s="31">
        <f t="array" ref="Y21">N21/MAX(IF($E$5:$E$26=$E21,N$5:N$26))</f>
        <v>0</v>
      </c>
      <c r="Z21" s="31" t="str">
        <f t="array" ref="Z21">IF(O21="NC","NC",IF(O21=0,0,IF(O21&gt;0,O21/MAX(IF($E$5:$E$26=$E21,$O$5:$O$26,"ERROR")))))</f>
        <v>NC</v>
      </c>
      <c r="AA21" s="32">
        <f t="array" ref="AA21">IF(P21=0,0,P21/MAX(IF($E$5:$E$26=$E21,$P$5:$P$26)))</f>
        <v>0</v>
      </c>
      <c r="AB21" s="11">
        <f t="shared" ref="AB21:AB22" si="6">IF(Z21="NC",(SUM(Q21:Y21)+AA21)/(COUNTA(Q21:Y21)+COUNTA(AA21)),AVERAGE(Q21:AA21))</f>
        <v>0.42568825638798408</v>
      </c>
      <c r="AC21" s="11">
        <f t="array" ref="AC21">SUM(IF($E$5:$E$26=$E21,$AB$5:$AB$26,"ERROR"))</f>
        <v>4.4227599029838522</v>
      </c>
      <c r="AD21" s="36">
        <f t="shared" ref="AD21:AD22" si="7">AB21/AC21</f>
        <v>9.6249460908061024E-2</v>
      </c>
      <c r="AE21" s="12">
        <f>VLOOKUP(E21,Categorías!$A$26:$E$29,5,0)</f>
        <v>8629269</v>
      </c>
      <c r="AF21" s="12">
        <f t="shared" ref="AF21:AF22" si="8">AD21*AE21</f>
        <v>830562.48928064283</v>
      </c>
      <c r="AG21" s="105">
        <f t="shared" ref="AG21:AG23" si="9">ROUND(AF21,0)</f>
        <v>830562</v>
      </c>
      <c r="AH21" s="105">
        <f t="shared" ref="AH21:AH22" si="10">ROUND(AG21,0)</f>
        <v>830562</v>
      </c>
      <c r="AI21" s="22">
        <f t="array" ref="AI21">AG21/(SUM(IF($C$5:$C$26=$C21,$AG$5:$AG$26,0)))</f>
        <v>2.5666507590492254E-2</v>
      </c>
    </row>
    <row r="22" spans="1:35" x14ac:dyDescent="0.25">
      <c r="A22" s="25" t="str">
        <f>Valores!A21</f>
        <v>U. DE AYSÉN</v>
      </c>
      <c r="B22" s="26" t="str">
        <f>Valores!B21</f>
        <v>URY</v>
      </c>
      <c r="C22" s="27" t="str">
        <f>Valores!C21</f>
        <v>CRUCH-ESTATAL</v>
      </c>
      <c r="D22" s="27" t="str">
        <f>Valores!D21</f>
        <v>Categoría III</v>
      </c>
      <c r="E22" s="27" t="str">
        <f t="shared" ref="E22" si="11">CONCATENATE(C22,D22)</f>
        <v>CRUCH-ESTATALCategoría III</v>
      </c>
      <c r="F22" s="28">
        <f>IFERROR(Valores!E21/Valores!F21*100,0)</f>
        <v>15.053763440860216</v>
      </c>
      <c r="G22" s="29">
        <f>IFERROR(Valores!G21/Valores!H21,0)</f>
        <v>0.51517394522575866</v>
      </c>
      <c r="H22" s="29">
        <f>IFERROR((Valores!G21+Valores!I21+Valores!J21)/(Valores!H21),0)</f>
        <v>0.80014803849000737</v>
      </c>
      <c r="I22" s="29">
        <f>IFERROR(Valores!K21/Valores!H21,0)</f>
        <v>0.3256846780162842</v>
      </c>
      <c r="J22" s="29">
        <f>IFERROR(Valores!K21/Valores!G21,0)</f>
        <v>0.63218390804597702</v>
      </c>
      <c r="K22" s="29">
        <f>IFERROR(Valores!L21/Valores!M21,0)</f>
        <v>1</v>
      </c>
      <c r="L22" s="29">
        <f>IFERROR(Valores!N21/Valores!O21,0)</f>
        <v>0.68817204301075274</v>
      </c>
      <c r="M22" s="29">
        <f>IFERROR(Valores!P21/Valores!Q21,0)</f>
        <v>0</v>
      </c>
      <c r="N22" s="29">
        <f>IFERROR(Valores!R21/Valores!S21,0)</f>
        <v>0</v>
      </c>
      <c r="O22" s="29" t="str">
        <f>IF(Valores!W21&gt;0,Valores!T21/Valores!W21,IF(AND(Valores!W21=0,OR(Valores!V21&gt;0,Valores!U21&gt;0)),0,IF(AND(Valores!V21=0,Valores!W21=0,Valores!U21=0),"NC",)))</f>
        <v>NC</v>
      </c>
      <c r="P22" s="30">
        <f>IFERROR((Valores!X21+Valores!Y21)*1000/(Valores!H21),0)</f>
        <v>0</v>
      </c>
      <c r="Q22" s="31">
        <f t="array" ref="Q22">F22/MAX(IF($E$5:$E$26=$E22,F$5:F$26))</f>
        <v>1</v>
      </c>
      <c r="R22" s="31">
        <f t="array" ref="R22">G22/MAX(IF($E$5:$E$26=$E22,G$5:G$26))</f>
        <v>0.77178613270103014</v>
      </c>
      <c r="S22" s="31">
        <f t="array" ref="S22">H22/MAX(IF($E$5:$E$26=$E22,H$5:H$26))</f>
        <v>0.92953518445456196</v>
      </c>
      <c r="T22" s="31">
        <f t="array" ref="T22">I22/MAX(IF($E$5:$E$26=$E22,I$5:I$26))</f>
        <v>0.50072589688769731</v>
      </c>
      <c r="U22" s="31">
        <f t="array" ref="U22">J22/MAX(IF($E$5:$E$26=$E22,J$5:J$26))</f>
        <v>0.34525923733412262</v>
      </c>
      <c r="V22" s="31">
        <f t="array" ref="V22">K22/MAX(IF($E$5:$E$26=$E22,K$5:K$26))</f>
        <v>0.22669491525423732</v>
      </c>
      <c r="W22" s="31">
        <f t="array" ref="W22">L22/MAX(IF($E$5:$E$26=$E22,L$5:L$26))</f>
        <v>0.90774444583908631</v>
      </c>
      <c r="X22" s="31">
        <f t="array" ref="X22">M22/MAX(IF($E$5:$E$26=$E22,M$5:M$26))</f>
        <v>0</v>
      </c>
      <c r="Y22" s="31">
        <f t="array" ref="Y22">N22/MAX(IF($E$5:$E$26=$E22,N$5:N$26))</f>
        <v>0</v>
      </c>
      <c r="Z22" s="31" t="str">
        <f t="array" ref="Z22">IF(O22="NC","NC",IF(O22=0,0,IF(O22&gt;0,O22/MAX(IF($E$5:$E$26=$E22,$O$5:$O$26,"ERROR")))))</f>
        <v>NC</v>
      </c>
      <c r="AA22" s="32">
        <f t="array" ref="AA22">IF(P22=0,0,P22/MAX(IF($E$5:$E$26=$E22,$P$5:$P$26)))</f>
        <v>0</v>
      </c>
      <c r="AB22" s="11">
        <f t="shared" si="6"/>
        <v>0.46817458124707356</v>
      </c>
      <c r="AC22" s="11">
        <f t="array" ref="AC22">SUM(IF($E$5:$E$26=$E22,$AB$5:$AB$26,"ERROR"))</f>
        <v>4.4227599029838522</v>
      </c>
      <c r="AD22" s="36">
        <f t="shared" si="7"/>
        <v>0.10585575331168569</v>
      </c>
      <c r="AE22" s="12">
        <f>VLOOKUP(E22,Categorías!$A$26:$E$29,5,0)</f>
        <v>8629269</v>
      </c>
      <c r="AF22" s="12">
        <f t="shared" si="8"/>
        <v>913457.77052417665</v>
      </c>
      <c r="AG22" s="105">
        <f t="shared" si="9"/>
        <v>913458</v>
      </c>
      <c r="AH22" s="105">
        <f t="shared" si="10"/>
        <v>913458</v>
      </c>
      <c r="AI22" s="22">
        <f t="array" ref="AI22">AG22/(SUM(IF($C$5:$C$26=$C22,$AG$5:$AG$26,0)))</f>
        <v>2.822820775642983E-2</v>
      </c>
    </row>
    <row r="23" spans="1:35" x14ac:dyDescent="0.25">
      <c r="AF23" s="105">
        <f>SUM(AF5:AF22)</f>
        <v>32359760</v>
      </c>
      <c r="AG23" s="105">
        <f t="shared" si="9"/>
        <v>32359760</v>
      </c>
      <c r="AH23" s="105">
        <f>SUM(AH5:AH22)</f>
        <v>32359759</v>
      </c>
      <c r="AI23" s="137">
        <f>SUM(AI5:AI22)</f>
        <v>0.99999999999999989</v>
      </c>
    </row>
    <row r="28" spans="1:35" x14ac:dyDescent="0.25">
      <c r="AE28" s="1"/>
      <c r="AF28" s="37"/>
      <c r="AG28" s="37"/>
      <c r="AI28" s="37"/>
    </row>
    <row r="29" spans="1:35" x14ac:dyDescent="0.25">
      <c r="AE29" s="1"/>
      <c r="AF29" s="37"/>
      <c r="AG29" s="37"/>
      <c r="AI29" s="37"/>
    </row>
    <row r="30" spans="1:35" x14ac:dyDescent="0.25">
      <c r="AE30" s="1"/>
      <c r="AF30" s="37"/>
      <c r="AG30" s="37"/>
      <c r="AI30" s="37"/>
    </row>
    <row r="31" spans="1:35" x14ac:dyDescent="0.25">
      <c r="AE31" s="1"/>
      <c r="AF31" s="37"/>
      <c r="AG31" s="37"/>
      <c r="AI31" s="37"/>
    </row>
    <row r="32" spans="1:35" x14ac:dyDescent="0.25">
      <c r="AE32" s="1"/>
      <c r="AF32" s="37"/>
      <c r="AG32" s="37"/>
      <c r="AI32" s="37"/>
    </row>
    <row r="33" spans="31:35" x14ac:dyDescent="0.25">
      <c r="AE33" s="1"/>
      <c r="AF33" s="37"/>
      <c r="AG33" s="37"/>
      <c r="AI33" s="37"/>
    </row>
    <row r="34" spans="31:35" x14ac:dyDescent="0.25">
      <c r="AE34" s="1"/>
      <c r="AF34" s="37"/>
      <c r="AG34" s="37"/>
      <c r="AI34" s="37"/>
    </row>
    <row r="35" spans="31:35" x14ac:dyDescent="0.25">
      <c r="AE35" s="1"/>
      <c r="AF35" s="37"/>
      <c r="AG35" s="37"/>
      <c r="AI35" s="37"/>
    </row>
    <row r="36" spans="31:35" x14ac:dyDescent="0.25">
      <c r="AE36" s="1"/>
      <c r="AF36" s="37"/>
      <c r="AG36" s="37"/>
      <c r="AI36" s="37"/>
    </row>
    <row r="37" spans="31:35" x14ac:dyDescent="0.25">
      <c r="AE37" s="1"/>
      <c r="AF37" s="37"/>
      <c r="AG37" s="37"/>
      <c r="AI37" s="37"/>
    </row>
    <row r="38" spans="31:35" x14ac:dyDescent="0.25">
      <c r="AE38" s="1"/>
      <c r="AF38" s="37"/>
      <c r="AG38" s="37"/>
      <c r="AI38" s="37"/>
    </row>
    <row r="39" spans="31:35" x14ac:dyDescent="0.25">
      <c r="AE39" s="1"/>
      <c r="AF39" s="37"/>
      <c r="AG39" s="37"/>
      <c r="AI39" s="37"/>
    </row>
    <row r="40" spans="31:35" x14ac:dyDescent="0.25">
      <c r="AE40" s="1"/>
      <c r="AF40" s="37"/>
      <c r="AG40" s="37"/>
      <c r="AI40" s="37"/>
    </row>
    <row r="41" spans="31:35" x14ac:dyDescent="0.25">
      <c r="AE41" s="1"/>
      <c r="AF41" s="37"/>
      <c r="AG41" s="37"/>
      <c r="AI41" s="37"/>
    </row>
    <row r="42" spans="31:35" x14ac:dyDescent="0.25">
      <c r="AE42" s="1"/>
      <c r="AF42" s="37"/>
      <c r="AG42" s="37"/>
      <c r="AI42" s="37"/>
    </row>
    <row r="43" spans="31:35" x14ac:dyDescent="0.25">
      <c r="AE43" s="1"/>
      <c r="AF43" s="37"/>
      <c r="AG43" s="37"/>
      <c r="AI43" s="37"/>
    </row>
    <row r="44" spans="31:35" x14ac:dyDescent="0.25">
      <c r="AE44" s="1"/>
      <c r="AF44" s="37"/>
      <c r="AG44" s="37"/>
      <c r="AI44" s="37"/>
    </row>
    <row r="45" spans="31:35" x14ac:dyDescent="0.25">
      <c r="AE45" s="1"/>
      <c r="AF45" s="37"/>
      <c r="AG45" s="37"/>
      <c r="AI45" s="37"/>
    </row>
    <row r="46" spans="31:35" x14ac:dyDescent="0.25">
      <c r="AE46" s="1"/>
      <c r="AF46" s="37"/>
      <c r="AG46" s="37"/>
      <c r="AI46" s="37"/>
    </row>
    <row r="47" spans="31:35" x14ac:dyDescent="0.25">
      <c r="AE47" s="1"/>
      <c r="AF47" s="37"/>
      <c r="AG47" s="37"/>
      <c r="AI47" s="37"/>
    </row>
    <row r="48" spans="31:35" x14ac:dyDescent="0.25">
      <c r="AE48" s="1"/>
      <c r="AF48" s="37"/>
      <c r="AG48" s="37"/>
      <c r="AI48" s="37"/>
    </row>
    <row r="49" spans="23:35" x14ac:dyDescent="0.25">
      <c r="AE49" s="1"/>
      <c r="AF49" s="37"/>
      <c r="AG49" s="37"/>
      <c r="AI49" s="37"/>
    </row>
    <row r="50" spans="23:35" x14ac:dyDescent="0.25">
      <c r="AE50" s="1"/>
      <c r="AF50" s="37"/>
      <c r="AG50" s="37"/>
      <c r="AI50" s="37"/>
    </row>
    <row r="51" spans="23:35" x14ac:dyDescent="0.25">
      <c r="AE51" s="1"/>
      <c r="AF51" s="37"/>
      <c r="AG51" s="37"/>
      <c r="AI51" s="37"/>
    </row>
    <row r="52" spans="23:35" x14ac:dyDescent="0.25">
      <c r="AE52" s="1"/>
      <c r="AF52" s="37"/>
      <c r="AG52" s="37"/>
      <c r="AI52" s="37"/>
    </row>
    <row r="53" spans="23:35" x14ac:dyDescent="0.25">
      <c r="AE53" s="1"/>
      <c r="AF53" s="37"/>
      <c r="AG53" s="37"/>
      <c r="AI53" s="37"/>
    </row>
    <row r="54" spans="23:35" x14ac:dyDescent="0.25">
      <c r="AE54" s="1"/>
      <c r="AF54" s="37"/>
      <c r="AG54" s="37"/>
      <c r="AI54" s="37"/>
    </row>
    <row r="55" spans="23:35" x14ac:dyDescent="0.25">
      <c r="AG55" s="37"/>
      <c r="AI55" s="37"/>
    </row>
    <row r="60" spans="23:35" x14ac:dyDescent="0.25">
      <c r="W60" s="38"/>
      <c r="X60" s="38"/>
      <c r="Y60" s="38"/>
      <c r="Z60" s="38"/>
      <c r="AA60" s="38"/>
      <c r="AB60" s="38"/>
      <c r="AC60" s="38"/>
      <c r="AD60" s="38"/>
    </row>
    <row r="61" spans="23:35" x14ac:dyDescent="0.25">
      <c r="W61" s="38"/>
      <c r="X61" s="38"/>
      <c r="Y61" s="38"/>
      <c r="Z61" s="38"/>
      <c r="AA61" s="38"/>
      <c r="AB61" s="38"/>
      <c r="AC61" s="38"/>
      <c r="AD61" s="38"/>
    </row>
    <row r="62" spans="23:35" x14ac:dyDescent="0.25">
      <c r="W62" s="38"/>
      <c r="X62" s="38"/>
      <c r="Y62" s="38"/>
      <c r="Z62" s="38"/>
      <c r="AA62" s="38"/>
      <c r="AB62" s="38"/>
      <c r="AC62" s="38"/>
      <c r="AD62" s="38"/>
    </row>
    <row r="63" spans="23:35" x14ac:dyDescent="0.25">
      <c r="W63" s="38"/>
      <c r="X63" s="38"/>
      <c r="Y63" s="38"/>
      <c r="Z63" s="38"/>
      <c r="AA63" s="38"/>
      <c r="AB63" s="38"/>
      <c r="AC63" s="38"/>
      <c r="AD63" s="38"/>
    </row>
    <row r="64" spans="23:35" x14ac:dyDescent="0.25">
      <c r="W64" s="38"/>
      <c r="X64" s="38"/>
      <c r="Y64" s="38"/>
      <c r="Z64" s="38"/>
      <c r="AA64" s="38"/>
      <c r="AB64" s="38"/>
      <c r="AC64" s="38"/>
      <c r="AD64" s="38"/>
    </row>
    <row r="65" spans="23:30" x14ac:dyDescent="0.25">
      <c r="W65" s="38"/>
      <c r="X65" s="38"/>
      <c r="Y65" s="38"/>
      <c r="Z65" s="38"/>
      <c r="AA65" s="38"/>
      <c r="AB65" s="38"/>
      <c r="AC65" s="38"/>
      <c r="AD65" s="38"/>
    </row>
    <row r="66" spans="23:30" x14ac:dyDescent="0.25">
      <c r="W66" s="38"/>
      <c r="X66" s="38"/>
      <c r="Y66" s="38"/>
      <c r="Z66" s="38"/>
      <c r="AA66" s="38"/>
      <c r="AB66" s="38"/>
      <c r="AC66" s="38"/>
      <c r="AD66" s="38"/>
    </row>
    <row r="67" spans="23:30" x14ac:dyDescent="0.25">
      <c r="W67" s="38"/>
      <c r="X67" s="38"/>
      <c r="Y67" s="38"/>
      <c r="Z67" s="38"/>
      <c r="AA67" s="38"/>
      <c r="AB67" s="38"/>
      <c r="AC67" s="38"/>
      <c r="AD67" s="38"/>
    </row>
    <row r="68" spans="23:30" x14ac:dyDescent="0.25">
      <c r="W68" s="38"/>
      <c r="X68" s="38"/>
      <c r="Y68" s="38"/>
      <c r="Z68" s="38"/>
      <c r="AA68" s="38"/>
      <c r="AB68" s="38"/>
      <c r="AC68" s="38"/>
      <c r="AD68" s="38"/>
    </row>
    <row r="69" spans="23:30" x14ac:dyDescent="0.25">
      <c r="W69" s="38"/>
      <c r="X69" s="38"/>
      <c r="Y69" s="38"/>
      <c r="Z69" s="38"/>
      <c r="AA69" s="38"/>
      <c r="AB69" s="38"/>
      <c r="AC69" s="38"/>
      <c r="AD69" s="38"/>
    </row>
    <row r="70" spans="23:30" x14ac:dyDescent="0.25">
      <c r="W70" s="38"/>
      <c r="X70" s="38"/>
      <c r="Y70" s="38"/>
      <c r="Z70" s="38"/>
      <c r="AA70" s="38"/>
      <c r="AB70" s="38"/>
      <c r="AC70" s="38"/>
      <c r="AD70" s="38"/>
    </row>
    <row r="71" spans="23:30" x14ac:dyDescent="0.25">
      <c r="W71" s="38"/>
      <c r="X71" s="38"/>
      <c r="Y71" s="38"/>
      <c r="Z71" s="38"/>
      <c r="AA71" s="38"/>
      <c r="AB71" s="38"/>
      <c r="AC71" s="38"/>
      <c r="AD71" s="38"/>
    </row>
    <row r="72" spans="23:30" x14ac:dyDescent="0.25">
      <c r="W72" s="38"/>
      <c r="X72" s="38"/>
      <c r="Y72" s="38"/>
      <c r="Z72" s="38"/>
      <c r="AA72" s="38"/>
      <c r="AB72" s="38"/>
      <c r="AC72" s="38"/>
      <c r="AD72" s="38"/>
    </row>
    <row r="73" spans="23:30" x14ac:dyDescent="0.25">
      <c r="W73" s="38"/>
      <c r="X73" s="38"/>
      <c r="Y73" s="38"/>
      <c r="Z73" s="38"/>
      <c r="AA73" s="38"/>
      <c r="AB73" s="38"/>
      <c r="AC73" s="38"/>
      <c r="AD73" s="38"/>
    </row>
    <row r="74" spans="23:30" x14ac:dyDescent="0.25">
      <c r="W74" s="38"/>
      <c r="X74" s="38"/>
      <c r="Y74" s="38"/>
      <c r="Z74" s="38"/>
      <c r="AA74" s="38"/>
      <c r="AB74" s="38"/>
      <c r="AC74" s="38"/>
      <c r="AD74" s="38"/>
    </row>
    <row r="75" spans="23:30" x14ac:dyDescent="0.25">
      <c r="W75" s="38"/>
      <c r="X75" s="38"/>
      <c r="Y75" s="38"/>
      <c r="Z75" s="38"/>
      <c r="AA75" s="38"/>
      <c r="AB75" s="38"/>
      <c r="AC75" s="38"/>
      <c r="AD75" s="38"/>
    </row>
    <row r="76" spans="23:30" x14ac:dyDescent="0.25">
      <c r="W76" s="38"/>
      <c r="X76" s="38"/>
      <c r="Y76" s="38"/>
      <c r="Z76" s="38"/>
      <c r="AA76" s="38"/>
      <c r="AB76" s="38"/>
      <c r="AC76" s="38"/>
      <c r="AD76" s="38"/>
    </row>
    <row r="77" spans="23:30" x14ac:dyDescent="0.25">
      <c r="W77" s="38"/>
      <c r="X77" s="38"/>
      <c r="Y77" s="38"/>
      <c r="Z77" s="38"/>
      <c r="AA77" s="38"/>
      <c r="AB77" s="38"/>
      <c r="AC77" s="38"/>
      <c r="AD77" s="38"/>
    </row>
    <row r="78" spans="23:30" x14ac:dyDescent="0.25">
      <c r="W78" s="38"/>
      <c r="X78" s="38"/>
      <c r="Y78" s="38"/>
      <c r="Z78" s="38"/>
      <c r="AA78" s="38"/>
      <c r="AB78" s="38"/>
      <c r="AC78" s="38"/>
      <c r="AD78" s="38"/>
    </row>
    <row r="79" spans="23:30" x14ac:dyDescent="0.25">
      <c r="W79" s="38"/>
      <c r="X79" s="38"/>
      <c r="Y79" s="38"/>
      <c r="Z79" s="38"/>
      <c r="AA79" s="38"/>
      <c r="AB79" s="38"/>
      <c r="AC79" s="38"/>
      <c r="AD79" s="38"/>
    </row>
    <row r="80" spans="23:30" x14ac:dyDescent="0.25">
      <c r="W80" s="38"/>
      <c r="X80" s="38"/>
      <c r="Y80" s="38"/>
      <c r="Z80" s="38"/>
      <c r="AA80" s="38"/>
      <c r="AB80" s="38"/>
      <c r="AC80" s="38"/>
      <c r="AD80" s="38"/>
    </row>
    <row r="81" spans="17:30" x14ac:dyDescent="0.25">
      <c r="W81" s="38"/>
      <c r="X81" s="38"/>
      <c r="Y81" s="38"/>
      <c r="Z81" s="38"/>
      <c r="AA81" s="38"/>
      <c r="AB81" s="38"/>
      <c r="AC81" s="38"/>
      <c r="AD81" s="38"/>
    </row>
    <row r="83" spans="17:30" x14ac:dyDescent="0.25">
      <c r="Q83" s="38"/>
    </row>
    <row r="84" spans="17:30" x14ac:dyDescent="0.25">
      <c r="Q84" s="38"/>
    </row>
    <row r="85" spans="17:30" x14ac:dyDescent="0.25">
      <c r="Q85" s="38"/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  <ignoredErrors>
    <ignoredError sqref="M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2:E24"/>
  <sheetViews>
    <sheetView workbookViewId="0">
      <selection activeCell="A19" sqref="A19"/>
    </sheetView>
  </sheetViews>
  <sheetFormatPr baseColWidth="10" defaultRowHeight="15" x14ac:dyDescent="0.25"/>
  <cols>
    <col min="1" max="1" width="44.7109375" bestFit="1" customWidth="1"/>
    <col min="2" max="2" width="13.140625" bestFit="1" customWidth="1"/>
    <col min="3" max="3" width="12.140625" bestFit="1" customWidth="1"/>
    <col min="5" max="5" width="14.42578125" bestFit="1" customWidth="1"/>
  </cols>
  <sheetData>
    <row r="2" spans="1:5" ht="25.5" x14ac:dyDescent="0.25">
      <c r="A2" s="52" t="s">
        <v>11</v>
      </c>
      <c r="B2" s="53" t="s">
        <v>1</v>
      </c>
      <c r="C2" s="53" t="s">
        <v>140</v>
      </c>
      <c r="D2" s="53" t="s">
        <v>109</v>
      </c>
      <c r="E2" s="53" t="s">
        <v>110</v>
      </c>
    </row>
    <row r="3" spans="1:5" x14ac:dyDescent="0.25">
      <c r="A3" s="41" t="s">
        <v>12</v>
      </c>
      <c r="B3" s="41" t="s">
        <v>2</v>
      </c>
      <c r="C3" s="21">
        <f>IFERROR(VLOOKUP(B3,[8]SCOPUS!$C$7:$M$33,10,0),0)</f>
        <v>2693</v>
      </c>
      <c r="D3" s="50">
        <f>C3/$C$21</f>
        <v>0.43597215476768658</v>
      </c>
      <c r="E3" s="51">
        <f>$B$24*D3</f>
        <v>1179055.4842291295</v>
      </c>
    </row>
    <row r="4" spans="1:5" x14ac:dyDescent="0.25">
      <c r="A4" s="41" t="s">
        <v>13</v>
      </c>
      <c r="B4" s="41" t="s">
        <v>3</v>
      </c>
      <c r="C4" s="21">
        <f>IFERROR(VLOOKUP(B4,[8]SCOPUS!$C$7:$M$33,10,0),0)</f>
        <v>688</v>
      </c>
      <c r="D4" s="50">
        <f t="shared" ref="D4:D20" si="0">C4/$C$21</f>
        <v>0.11138092925368302</v>
      </c>
      <c r="E4" s="51">
        <f t="shared" ref="E4:E20" si="1">$B$24*D4</f>
        <v>301221.75014839997</v>
      </c>
    </row>
    <row r="5" spans="1:5" x14ac:dyDescent="0.25">
      <c r="A5" s="41" t="s">
        <v>19</v>
      </c>
      <c r="B5" s="41" t="s">
        <v>9</v>
      </c>
      <c r="C5" s="21">
        <f>IFERROR(VLOOKUP(B5,[8]SCOPUS!$C$7:$M$33,10,0),0)</f>
        <v>207</v>
      </c>
      <c r="D5" s="50">
        <f t="shared" si="0"/>
        <v>3.3511413307430793E-2</v>
      </c>
      <c r="E5" s="51">
        <f t="shared" si="1"/>
        <v>90629.218431277317</v>
      </c>
    </row>
    <row r="6" spans="1:5" x14ac:dyDescent="0.25">
      <c r="A6" s="41" t="s">
        <v>16</v>
      </c>
      <c r="B6" s="41" t="s">
        <v>6</v>
      </c>
      <c r="C6" s="21">
        <f>IFERROR(VLOOKUP(B6,[8]SCOPUS!$C$7:$M$33,10,0),0)</f>
        <v>507</v>
      </c>
      <c r="D6" s="50">
        <f t="shared" si="0"/>
        <v>8.2078678970373964E-2</v>
      </c>
      <c r="E6" s="51">
        <f t="shared" si="1"/>
        <v>221975.91180994007</v>
      </c>
    </row>
    <row r="7" spans="1:5" x14ac:dyDescent="0.25">
      <c r="A7" s="41" t="s">
        <v>15</v>
      </c>
      <c r="B7" s="41" t="s">
        <v>5</v>
      </c>
      <c r="C7" s="21">
        <f>IFERROR(VLOOKUP(B7,[8]SCOPUS!$C$7:$M$33,10,0),0)</f>
        <v>414</v>
      </c>
      <c r="D7" s="50">
        <f t="shared" si="0"/>
        <v>6.7022826614861586E-2</v>
      </c>
      <c r="E7" s="51">
        <f t="shared" si="1"/>
        <v>181258.43686255463</v>
      </c>
    </row>
    <row r="8" spans="1:5" x14ac:dyDescent="0.25">
      <c r="A8" s="41" t="s">
        <v>20</v>
      </c>
      <c r="B8" s="41" t="s">
        <v>10</v>
      </c>
      <c r="C8" s="21">
        <f>IFERROR(VLOOKUP(B8,[8]SCOPUS!$C$7:$M$33,10,0),0)</f>
        <v>233</v>
      </c>
      <c r="D8" s="50">
        <f t="shared" si="0"/>
        <v>3.7720576331552534E-2</v>
      </c>
      <c r="E8" s="51">
        <f t="shared" si="1"/>
        <v>102012.59852409476</v>
      </c>
    </row>
    <row r="9" spans="1:5" x14ac:dyDescent="0.25">
      <c r="A9" s="41" t="s">
        <v>14</v>
      </c>
      <c r="B9" s="41" t="s">
        <v>4</v>
      </c>
      <c r="C9" s="21">
        <f>IFERROR(VLOOKUP(B9,[8]SCOPUS!$C$7:$M$33,10,0),0)</f>
        <v>433</v>
      </c>
      <c r="D9" s="50">
        <f t="shared" si="0"/>
        <v>7.0098753440181322E-2</v>
      </c>
      <c r="E9" s="51">
        <f t="shared" si="1"/>
        <v>189577.06077653661</v>
      </c>
    </row>
    <row r="10" spans="1:5" x14ac:dyDescent="0.25">
      <c r="A10" s="41" t="s">
        <v>18</v>
      </c>
      <c r="B10" s="41" t="s">
        <v>8</v>
      </c>
      <c r="C10" s="21">
        <f>IFERROR(VLOOKUP(B10,[8]SCOPUS!$C$7:$M$33,10,0),0)</f>
        <v>253</v>
      </c>
      <c r="D10" s="50">
        <f t="shared" si="0"/>
        <v>4.0958394042415414E-2</v>
      </c>
      <c r="E10" s="51">
        <f t="shared" si="1"/>
        <v>110769.04474933894</v>
      </c>
    </row>
    <row r="11" spans="1:5" x14ac:dyDescent="0.25">
      <c r="A11" s="41" t="s">
        <v>17</v>
      </c>
      <c r="B11" s="41" t="s">
        <v>7</v>
      </c>
      <c r="C11" s="21">
        <f>IFERROR(VLOOKUP(B11,[8]SCOPUS!$C$7:$M$33,10,0),0)</f>
        <v>173</v>
      </c>
      <c r="D11" s="50">
        <f t="shared" si="0"/>
        <v>2.8007123198963899E-2</v>
      </c>
      <c r="E11" s="51">
        <f t="shared" si="1"/>
        <v>75743.259848362199</v>
      </c>
    </row>
    <row r="12" spans="1:5" x14ac:dyDescent="0.25">
      <c r="A12" s="41" t="s">
        <v>34</v>
      </c>
      <c r="B12" s="41" t="s">
        <v>27</v>
      </c>
      <c r="C12" s="21">
        <f>IFERROR(VLOOKUP(B12,[8]SCOPUS!$C$7:$M$33,10,0),0)</f>
        <v>86</v>
      </c>
      <c r="D12" s="50">
        <f t="shared" si="0"/>
        <v>1.3922616156710378E-2</v>
      </c>
      <c r="E12" s="51">
        <f t="shared" si="1"/>
        <v>37652.718768549996</v>
      </c>
    </row>
    <row r="13" spans="1:5" x14ac:dyDescent="0.25">
      <c r="A13" s="41" t="s">
        <v>30</v>
      </c>
      <c r="B13" s="41" t="s">
        <v>23</v>
      </c>
      <c r="C13" s="21">
        <f>IFERROR(VLOOKUP(B13,[8]SCOPUS!$C$7:$M$33,10,0),0)</f>
        <v>65</v>
      </c>
      <c r="D13" s="50">
        <f t="shared" si="0"/>
        <v>1.0522907560304355E-2</v>
      </c>
      <c r="E13" s="51">
        <f t="shared" si="1"/>
        <v>28458.4502320436</v>
      </c>
    </row>
    <row r="14" spans="1:5" x14ac:dyDescent="0.25">
      <c r="A14" s="41" t="s">
        <v>31</v>
      </c>
      <c r="B14" s="41" t="s">
        <v>24</v>
      </c>
      <c r="C14" s="21">
        <f>IFERROR(VLOOKUP(B14,[8]SCOPUS!$C$7:$M$33,10,0),0)</f>
        <v>93</v>
      </c>
      <c r="D14" s="50">
        <f t="shared" si="0"/>
        <v>1.5055852355512385E-2</v>
      </c>
      <c r="E14" s="51">
        <f t="shared" si="1"/>
        <v>40717.474947385461</v>
      </c>
    </row>
    <row r="15" spans="1:5" x14ac:dyDescent="0.25">
      <c r="A15" s="41" t="s">
        <v>32</v>
      </c>
      <c r="B15" s="41" t="s">
        <v>25</v>
      </c>
      <c r="C15" s="21">
        <f>IFERROR(VLOOKUP(B15,[8]SCOPUS!$C$7:$M$33,10,0),0)</f>
        <v>121</v>
      </c>
      <c r="D15" s="50">
        <f t="shared" si="0"/>
        <v>1.9588797150720413E-2</v>
      </c>
      <c r="E15" s="51">
        <f t="shared" si="1"/>
        <v>52976.499662727314</v>
      </c>
    </row>
    <row r="16" spans="1:5" x14ac:dyDescent="0.25">
      <c r="A16" s="41" t="s">
        <v>33</v>
      </c>
      <c r="B16" s="41" t="s">
        <v>26</v>
      </c>
      <c r="C16" s="21">
        <f>IFERROR(VLOOKUP(B16,[8]SCOPUS!$C$7:$M$33,10,0),0)</f>
        <v>104</v>
      </c>
      <c r="D16" s="50">
        <f t="shared" si="0"/>
        <v>1.6836652096486968E-2</v>
      </c>
      <c r="E16" s="51">
        <f t="shared" si="1"/>
        <v>45533.520371269762</v>
      </c>
    </row>
    <row r="17" spans="1:5" x14ac:dyDescent="0.25">
      <c r="A17" s="41" t="s">
        <v>35</v>
      </c>
      <c r="B17" s="41" t="s">
        <v>28</v>
      </c>
      <c r="C17" s="21">
        <f>IFERROR(VLOOKUP(B17,[8]SCOPUS!$C$7:$M$33,10,0),0)</f>
        <v>35</v>
      </c>
      <c r="D17" s="50">
        <f t="shared" si="0"/>
        <v>5.6661809940100373E-3</v>
      </c>
      <c r="E17" s="51">
        <f t="shared" si="1"/>
        <v>15323.780894177324</v>
      </c>
    </row>
    <row r="18" spans="1:5" x14ac:dyDescent="0.25">
      <c r="A18" s="41" t="s">
        <v>36</v>
      </c>
      <c r="B18" s="41" t="s">
        <v>29</v>
      </c>
      <c r="C18" s="21">
        <f>IFERROR(VLOOKUP(B18,[8]SCOPUS!$C$7:$M$33,10,0),0)</f>
        <v>60</v>
      </c>
      <c r="D18" s="50">
        <f t="shared" si="0"/>
        <v>9.7134531325886349E-3</v>
      </c>
      <c r="E18" s="51">
        <f t="shared" si="1"/>
        <v>26269.338675732553</v>
      </c>
    </row>
    <row r="19" spans="1:5" x14ac:dyDescent="0.25">
      <c r="A19" s="41" t="s">
        <v>92</v>
      </c>
      <c r="B19" s="41" t="s">
        <v>93</v>
      </c>
      <c r="C19" s="21">
        <f>IFERROR(VLOOKUP(B19,[8]SCOPUS!$C$7:$M$33,10,0),0)</f>
        <v>7</v>
      </c>
      <c r="D19" s="50">
        <f t="shared" si="0"/>
        <v>1.1332361988020075E-3</v>
      </c>
      <c r="E19" s="51">
        <f t="shared" si="1"/>
        <v>3064.7561788354651</v>
      </c>
    </row>
    <row r="20" spans="1:5" x14ac:dyDescent="0.25">
      <c r="A20" s="41" t="s">
        <v>94</v>
      </c>
      <c r="B20" s="41" t="s">
        <v>95</v>
      </c>
      <c r="C20" s="21">
        <f>IFERROR(VLOOKUP(B20,[8]SCOPUS!$C$7:$M$33,10,0),0)</f>
        <v>5</v>
      </c>
      <c r="D20" s="50">
        <f t="shared" si="0"/>
        <v>8.0945442771571965E-4</v>
      </c>
      <c r="E20" s="51">
        <f t="shared" si="1"/>
        <v>2189.1115563110461</v>
      </c>
    </row>
    <row r="21" spans="1:5" x14ac:dyDescent="0.25">
      <c r="C21" s="40">
        <f>SUM(C3:C20)</f>
        <v>6177</v>
      </c>
      <c r="D21" s="59">
        <f>SUM(D3:D20)</f>
        <v>1.0000000000000002</v>
      </c>
      <c r="E21" s="60">
        <f>SUM(E3:E20)</f>
        <v>2704428.416666667</v>
      </c>
    </row>
    <row r="24" spans="1:5" x14ac:dyDescent="0.25">
      <c r="A24" t="s">
        <v>111</v>
      </c>
      <c r="B24" s="6">
        <f>'Montos AIUE 2019'!B37/6</f>
        <v>2704428.4166666665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2:K24"/>
  <sheetViews>
    <sheetView workbookViewId="0">
      <selection activeCell="G27" sqref="G27"/>
    </sheetView>
  </sheetViews>
  <sheetFormatPr baseColWidth="10" defaultRowHeight="15" x14ac:dyDescent="0.25"/>
  <cols>
    <col min="1" max="1" width="44.7109375" bestFit="1" customWidth="1"/>
  </cols>
  <sheetData>
    <row r="2" spans="1:11" ht="51" x14ac:dyDescent="0.25">
      <c r="A2" s="57" t="s">
        <v>11</v>
      </c>
      <c r="B2" s="58" t="s">
        <v>1</v>
      </c>
      <c r="C2" s="53" t="s">
        <v>115</v>
      </c>
      <c r="D2" s="53" t="s">
        <v>118</v>
      </c>
      <c r="E2" s="53" t="s">
        <v>119</v>
      </c>
      <c r="F2" s="53" t="s">
        <v>120</v>
      </c>
      <c r="G2" s="53" t="s">
        <v>121</v>
      </c>
      <c r="H2" s="53" t="s">
        <v>122</v>
      </c>
      <c r="I2" s="53" t="s">
        <v>123</v>
      </c>
      <c r="J2" s="53" t="s">
        <v>125</v>
      </c>
      <c r="K2" s="53" t="s">
        <v>124</v>
      </c>
    </row>
    <row r="3" spans="1:11" x14ac:dyDescent="0.25">
      <c r="A3" s="41" t="s">
        <v>12</v>
      </c>
      <c r="B3" s="41" t="s">
        <v>2</v>
      </c>
      <c r="C3" s="54">
        <f>IFERROR(VLOOKUP(B3,'[3]Acreditación Investigación'!$D$5:$F$15,3,0),0)</f>
        <v>1</v>
      </c>
      <c r="D3" s="54">
        <f>IFERROR(VLOOKUP(B3,'[3]Acreditación Investigación'!$D$36:$J$40,7,0),0)</f>
        <v>1</v>
      </c>
      <c r="E3" s="54">
        <f>IFERROR(VLOOKUP(B3,'[3]Acreditación Investigación'!$D$61:$E$76,2,0),0)</f>
        <v>7</v>
      </c>
      <c r="F3" s="54">
        <f>C3*100</f>
        <v>100</v>
      </c>
      <c r="G3" s="54">
        <f>D3*100</f>
        <v>100</v>
      </c>
      <c r="H3" s="54">
        <f>E3/7*100</f>
        <v>100</v>
      </c>
      <c r="I3" s="54">
        <f>F3+G3+H3</f>
        <v>300</v>
      </c>
      <c r="J3" s="55">
        <f>I3/$I$21</f>
        <v>0.11229946524064167</v>
      </c>
      <c r="K3" s="56">
        <f>J3*$B$24</f>
        <v>303705.86497326189</v>
      </c>
    </row>
    <row r="4" spans="1:11" x14ac:dyDescent="0.25">
      <c r="A4" s="41" t="s">
        <v>13</v>
      </c>
      <c r="B4" s="41" t="s">
        <v>3</v>
      </c>
      <c r="C4" s="54">
        <f>IFERROR(VLOOKUP(B4,'[3]Acreditación Investigación'!$D$5:$F$15,3,0),0)</f>
        <v>1</v>
      </c>
      <c r="D4" s="54">
        <f>IFERROR(VLOOKUP(B4,'[3]Acreditación Investigación'!$D$36:$J$40,7,0),0)</f>
        <v>1</v>
      </c>
      <c r="E4" s="54">
        <f>IFERROR(VLOOKUP(B4,'[3]Acreditación Investigación'!$D$61:$E$76,2,0),0)</f>
        <v>6</v>
      </c>
      <c r="F4" s="54">
        <f t="shared" ref="F4:F20" si="0">C4*100</f>
        <v>100</v>
      </c>
      <c r="G4" s="54">
        <f t="shared" ref="G4:G20" si="1">D4*100</f>
        <v>100</v>
      </c>
      <c r="H4" s="54">
        <f t="shared" ref="H4:H20" si="2">E4/7*100</f>
        <v>85.714285714285708</v>
      </c>
      <c r="I4" s="54">
        <f t="shared" ref="I4:I20" si="3">F4+G4+H4</f>
        <v>285.71428571428572</v>
      </c>
      <c r="J4" s="55">
        <f t="shared" ref="J4:J20" si="4">I4/$I$21</f>
        <v>0.10695187165775397</v>
      </c>
      <c r="K4" s="56">
        <f t="shared" ref="K4:K20" si="5">J4*$B$24</f>
        <v>289243.68092691607</v>
      </c>
    </row>
    <row r="5" spans="1:11" x14ac:dyDescent="0.25">
      <c r="A5" s="41" t="s">
        <v>19</v>
      </c>
      <c r="B5" s="41" t="s">
        <v>9</v>
      </c>
      <c r="C5" s="54">
        <f>IFERROR(VLOOKUP(B5,'[3]Acreditación Investigación'!$D$5:$F$15,3,0),0)</f>
        <v>1</v>
      </c>
      <c r="D5" s="54">
        <f>IFERROR(VLOOKUP(B5,'[3]Acreditación Investigación'!$D$36:$J$40,7,0),0)</f>
        <v>0</v>
      </c>
      <c r="E5" s="54">
        <f>IFERROR(VLOOKUP(B5,'[3]Acreditación Investigación'!$D$61:$E$76,2,0),0)</f>
        <v>5</v>
      </c>
      <c r="F5" s="54">
        <f t="shared" si="0"/>
        <v>100</v>
      </c>
      <c r="G5" s="54">
        <f t="shared" si="1"/>
        <v>0</v>
      </c>
      <c r="H5" s="54">
        <f t="shared" si="2"/>
        <v>71.428571428571431</v>
      </c>
      <c r="I5" s="54">
        <f t="shared" si="3"/>
        <v>171.42857142857144</v>
      </c>
      <c r="J5" s="55">
        <f t="shared" si="4"/>
        <v>6.4171122994652385E-2</v>
      </c>
      <c r="K5" s="56">
        <f t="shared" si="5"/>
        <v>173546.20855614968</v>
      </c>
    </row>
    <row r="6" spans="1:11" x14ac:dyDescent="0.25">
      <c r="A6" s="41" t="s">
        <v>16</v>
      </c>
      <c r="B6" s="41" t="s">
        <v>6</v>
      </c>
      <c r="C6" s="54">
        <f>IFERROR(VLOOKUP(B6,'[3]Acreditación Investigación'!$D$5:$F$15,3,0),0)</f>
        <v>1</v>
      </c>
      <c r="D6" s="54">
        <f>IFERROR(VLOOKUP(B6,'[3]Acreditación Investigación'!$D$36:$J$40,7,0),0)</f>
        <v>1</v>
      </c>
      <c r="E6" s="54">
        <f>IFERROR(VLOOKUP(B6,'[3]Acreditación Investigación'!$D$61:$E$76,2,0),0)</f>
        <v>6</v>
      </c>
      <c r="F6" s="54">
        <f t="shared" si="0"/>
        <v>100</v>
      </c>
      <c r="G6" s="54">
        <f t="shared" si="1"/>
        <v>100</v>
      </c>
      <c r="H6" s="54">
        <f t="shared" si="2"/>
        <v>85.714285714285708</v>
      </c>
      <c r="I6" s="54">
        <f t="shared" si="3"/>
        <v>285.71428571428572</v>
      </c>
      <c r="J6" s="55">
        <f t="shared" si="4"/>
        <v>0.10695187165775397</v>
      </c>
      <c r="K6" s="56">
        <f t="shared" si="5"/>
        <v>289243.68092691607</v>
      </c>
    </row>
    <row r="7" spans="1:11" x14ac:dyDescent="0.25">
      <c r="A7" s="41" t="s">
        <v>15</v>
      </c>
      <c r="B7" s="41" t="s">
        <v>5</v>
      </c>
      <c r="C7" s="54">
        <f>IFERROR(VLOOKUP(B7,'[3]Acreditación Investigación'!$D$5:$F$15,3,0),0)</f>
        <v>1</v>
      </c>
      <c r="D7" s="54">
        <f>IFERROR(VLOOKUP(B7,'[3]Acreditación Investigación'!$D$36:$J$40,7,0),0)</f>
        <v>1</v>
      </c>
      <c r="E7" s="54">
        <f>IFERROR(VLOOKUP(B7,'[3]Acreditación Investigación'!$D$61:$E$76,2,0),0)</f>
        <v>5</v>
      </c>
      <c r="F7" s="54">
        <f t="shared" si="0"/>
        <v>100</v>
      </c>
      <c r="G7" s="54">
        <f t="shared" si="1"/>
        <v>100</v>
      </c>
      <c r="H7" s="54">
        <f t="shared" si="2"/>
        <v>71.428571428571431</v>
      </c>
      <c r="I7" s="54">
        <f t="shared" si="3"/>
        <v>271.42857142857144</v>
      </c>
      <c r="J7" s="55">
        <f t="shared" si="4"/>
        <v>0.10160427807486627</v>
      </c>
      <c r="K7" s="56">
        <f t="shared" si="5"/>
        <v>274781.49688057031</v>
      </c>
    </row>
    <row r="8" spans="1:11" x14ac:dyDescent="0.25">
      <c r="A8" s="41" t="s">
        <v>20</v>
      </c>
      <c r="B8" s="41" t="s">
        <v>10</v>
      </c>
      <c r="C8" s="54">
        <f>IFERROR(VLOOKUP(B8,'[3]Acreditación Investigación'!$D$5:$F$15,3,0),0)</f>
        <v>1</v>
      </c>
      <c r="D8" s="54">
        <f>IFERROR(VLOOKUP(B8,'[3]Acreditación Investigación'!$D$36:$J$40,7,0),0)</f>
        <v>0</v>
      </c>
      <c r="E8" s="54">
        <f>IFERROR(VLOOKUP(B8,'[3]Acreditación Investigación'!$D$61:$E$76,2,0),0)</f>
        <v>5</v>
      </c>
      <c r="F8" s="54">
        <f t="shared" si="0"/>
        <v>100</v>
      </c>
      <c r="G8" s="54">
        <f t="shared" si="1"/>
        <v>0</v>
      </c>
      <c r="H8" s="54">
        <f t="shared" si="2"/>
        <v>71.428571428571431</v>
      </c>
      <c r="I8" s="54">
        <f t="shared" si="3"/>
        <v>171.42857142857144</v>
      </c>
      <c r="J8" s="55">
        <f t="shared" si="4"/>
        <v>6.4171122994652385E-2</v>
      </c>
      <c r="K8" s="56">
        <f t="shared" si="5"/>
        <v>173546.20855614968</v>
      </c>
    </row>
    <row r="9" spans="1:11" x14ac:dyDescent="0.25">
      <c r="A9" s="41" t="s">
        <v>14</v>
      </c>
      <c r="B9" s="41" t="s">
        <v>4</v>
      </c>
      <c r="C9" s="54">
        <f>IFERROR(VLOOKUP(B9,'[3]Acreditación Investigación'!$D$5:$F$15,3,0),0)</f>
        <v>1</v>
      </c>
      <c r="D9" s="54">
        <f>IFERROR(VLOOKUP(B9,'[3]Acreditación Investigación'!$D$36:$J$40,7,0),0)</f>
        <v>1</v>
      </c>
      <c r="E9" s="54">
        <f>IFERROR(VLOOKUP(B9,'[3]Acreditación Investigación'!$D$61:$E$76,2,0),0)</f>
        <v>5</v>
      </c>
      <c r="F9" s="54">
        <f t="shared" si="0"/>
        <v>100</v>
      </c>
      <c r="G9" s="54">
        <f t="shared" si="1"/>
        <v>100</v>
      </c>
      <c r="H9" s="54">
        <f t="shared" si="2"/>
        <v>71.428571428571431</v>
      </c>
      <c r="I9" s="54">
        <f t="shared" si="3"/>
        <v>271.42857142857144</v>
      </c>
      <c r="J9" s="55">
        <f t="shared" si="4"/>
        <v>0.10160427807486627</v>
      </c>
      <c r="K9" s="56">
        <f t="shared" si="5"/>
        <v>274781.49688057031</v>
      </c>
    </row>
    <row r="10" spans="1:11" x14ac:dyDescent="0.25">
      <c r="A10" s="41" t="s">
        <v>18</v>
      </c>
      <c r="B10" s="41" t="s">
        <v>8</v>
      </c>
      <c r="C10" s="54">
        <f>IFERROR(VLOOKUP(B10,'[3]Acreditación Investigación'!$D$5:$F$15,3,0),0)</f>
        <v>1</v>
      </c>
      <c r="D10" s="54">
        <f>IFERROR(VLOOKUP(B10,'[3]Acreditación Investigación'!$D$36:$J$40,7,0),0)</f>
        <v>0</v>
      </c>
      <c r="E10" s="54">
        <f>IFERROR(VLOOKUP(B10,'[3]Acreditación Investigación'!$D$61:$E$76,2,0),0)</f>
        <v>5</v>
      </c>
      <c r="F10" s="54">
        <f t="shared" si="0"/>
        <v>100</v>
      </c>
      <c r="G10" s="54">
        <f t="shared" si="1"/>
        <v>0</v>
      </c>
      <c r="H10" s="54">
        <f t="shared" si="2"/>
        <v>71.428571428571431</v>
      </c>
      <c r="I10" s="54">
        <f t="shared" si="3"/>
        <v>171.42857142857144</v>
      </c>
      <c r="J10" s="55">
        <f t="shared" si="4"/>
        <v>6.4171122994652385E-2</v>
      </c>
      <c r="K10" s="56">
        <f t="shared" si="5"/>
        <v>173546.20855614968</v>
      </c>
    </row>
    <row r="11" spans="1:11" x14ac:dyDescent="0.25">
      <c r="A11" s="41" t="s">
        <v>17</v>
      </c>
      <c r="B11" s="41" t="s">
        <v>7</v>
      </c>
      <c r="C11" s="54">
        <f>IFERROR(VLOOKUP(B11,'[3]Acreditación Investigación'!$D$5:$F$15,3,0),0)</f>
        <v>1</v>
      </c>
      <c r="D11" s="54">
        <f>IFERROR(VLOOKUP(B11,'[3]Acreditación Investigación'!$D$36:$J$40,7,0),0)</f>
        <v>0</v>
      </c>
      <c r="E11" s="54">
        <f>IFERROR(VLOOKUP(B11,'[3]Acreditación Investigación'!$D$61:$E$76,2,0),0)</f>
        <v>4</v>
      </c>
      <c r="F11" s="54">
        <f t="shared" si="0"/>
        <v>100</v>
      </c>
      <c r="G11" s="54">
        <f t="shared" si="1"/>
        <v>0</v>
      </c>
      <c r="H11" s="54">
        <f t="shared" si="2"/>
        <v>57.142857142857139</v>
      </c>
      <c r="I11" s="54">
        <f t="shared" si="3"/>
        <v>157.14285714285714</v>
      </c>
      <c r="J11" s="55">
        <f t="shared" si="4"/>
        <v>5.8823529411764684E-2</v>
      </c>
      <c r="K11" s="56">
        <f t="shared" si="5"/>
        <v>159084.02450980386</v>
      </c>
    </row>
    <row r="12" spans="1:11" x14ac:dyDescent="0.25">
      <c r="A12" s="41" t="s">
        <v>116</v>
      </c>
      <c r="B12" s="41" t="s">
        <v>27</v>
      </c>
      <c r="C12" s="54">
        <f>IFERROR(VLOOKUP(B12,'[3]Acreditación Investigación'!$D$5:$F$15,3,0),0)</f>
        <v>0</v>
      </c>
      <c r="D12" s="54">
        <f>IFERROR(VLOOKUP(B12,'[3]Acreditación Investigación'!$D$36:$J$40,7,0),0)</f>
        <v>0</v>
      </c>
      <c r="E12" s="54">
        <f>IFERROR(VLOOKUP(B12,'[3]Acreditación Investigación'!$D$61:$E$76,2,0),0)</f>
        <v>5</v>
      </c>
      <c r="F12" s="54">
        <f t="shared" si="0"/>
        <v>0</v>
      </c>
      <c r="G12" s="54">
        <f t="shared" si="1"/>
        <v>0</v>
      </c>
      <c r="H12" s="54">
        <f t="shared" si="2"/>
        <v>71.428571428571431</v>
      </c>
      <c r="I12" s="54">
        <f t="shared" si="3"/>
        <v>71.428571428571431</v>
      </c>
      <c r="J12" s="55">
        <f t="shared" si="4"/>
        <v>2.6737967914438492E-2</v>
      </c>
      <c r="K12" s="56">
        <f t="shared" si="5"/>
        <v>72310.920231729018</v>
      </c>
    </row>
    <row r="13" spans="1:11" x14ac:dyDescent="0.25">
      <c r="A13" s="41" t="s">
        <v>30</v>
      </c>
      <c r="B13" s="41" t="s">
        <v>23</v>
      </c>
      <c r="C13" s="54">
        <f>IFERROR(VLOOKUP(B13,'[3]Acreditación Investigación'!$D$5:$F$15,3,0),0)</f>
        <v>0</v>
      </c>
      <c r="D13" s="54">
        <f>IFERROR(VLOOKUP(B13,'[3]Acreditación Investigación'!$D$36:$J$40,7,0),0)</f>
        <v>0</v>
      </c>
      <c r="E13" s="54">
        <f>IFERROR(VLOOKUP(B13,'[3]Acreditación Investigación'!$D$61:$E$76,2,0),0)</f>
        <v>4</v>
      </c>
      <c r="F13" s="54">
        <f t="shared" si="0"/>
        <v>0</v>
      </c>
      <c r="G13" s="54">
        <f t="shared" si="1"/>
        <v>0</v>
      </c>
      <c r="H13" s="54">
        <f t="shared" si="2"/>
        <v>57.142857142857139</v>
      </c>
      <c r="I13" s="54">
        <f t="shared" si="3"/>
        <v>57.142857142857139</v>
      </c>
      <c r="J13" s="55">
        <f t="shared" si="4"/>
        <v>2.1390374331550794E-2</v>
      </c>
      <c r="K13" s="56">
        <f t="shared" si="5"/>
        <v>57848.736185383219</v>
      </c>
    </row>
    <row r="14" spans="1:11" x14ac:dyDescent="0.25">
      <c r="A14" s="41" t="s">
        <v>31</v>
      </c>
      <c r="B14" s="41" t="s">
        <v>24</v>
      </c>
      <c r="C14" s="54">
        <f>IFERROR(VLOOKUP(B14,'[3]Acreditación Investigación'!$D$5:$F$15,3,0),0)</f>
        <v>1</v>
      </c>
      <c r="D14" s="54">
        <f>IFERROR(VLOOKUP(B14,'[3]Acreditación Investigación'!$D$36:$J$40,7,0),0)</f>
        <v>0</v>
      </c>
      <c r="E14" s="54">
        <f>IFERROR(VLOOKUP(B14,'[3]Acreditación Investigación'!$D$61:$E$76,2,0),0)</f>
        <v>3</v>
      </c>
      <c r="F14" s="54">
        <f t="shared" si="0"/>
        <v>100</v>
      </c>
      <c r="G14" s="54">
        <f t="shared" si="1"/>
        <v>0</v>
      </c>
      <c r="H14" s="54">
        <f t="shared" si="2"/>
        <v>42.857142857142854</v>
      </c>
      <c r="I14" s="54">
        <f t="shared" si="3"/>
        <v>142.85714285714286</v>
      </c>
      <c r="J14" s="55">
        <f t="shared" si="4"/>
        <v>5.3475935828876983E-2</v>
      </c>
      <c r="K14" s="56">
        <f t="shared" si="5"/>
        <v>144621.84046345804</v>
      </c>
    </row>
    <row r="15" spans="1:11" x14ac:dyDescent="0.25">
      <c r="A15" s="41" t="s">
        <v>32</v>
      </c>
      <c r="B15" s="41" t="s">
        <v>25</v>
      </c>
      <c r="C15" s="54">
        <f>IFERROR(VLOOKUP(B15,'[3]Acreditación Investigación'!$D$5:$F$15,3,0),0)</f>
        <v>0</v>
      </c>
      <c r="D15" s="54">
        <f>IFERROR(VLOOKUP(B15,'[3]Acreditación Investigación'!$D$36:$J$40,7,0),0)</f>
        <v>0</v>
      </c>
      <c r="E15" s="54">
        <f>IFERROR(VLOOKUP(B15,'[3]Acreditación Investigación'!$D$61:$E$76,2,0),0)</f>
        <v>4</v>
      </c>
      <c r="F15" s="54">
        <f t="shared" si="0"/>
        <v>0</v>
      </c>
      <c r="G15" s="54">
        <f t="shared" si="1"/>
        <v>0</v>
      </c>
      <c r="H15" s="54">
        <f t="shared" si="2"/>
        <v>57.142857142857139</v>
      </c>
      <c r="I15" s="54">
        <f t="shared" si="3"/>
        <v>57.142857142857139</v>
      </c>
      <c r="J15" s="55">
        <f t="shared" si="4"/>
        <v>2.1390374331550794E-2</v>
      </c>
      <c r="K15" s="56">
        <f t="shared" si="5"/>
        <v>57848.736185383219</v>
      </c>
    </row>
    <row r="16" spans="1:11" x14ac:dyDescent="0.25">
      <c r="A16" s="41" t="s">
        <v>33</v>
      </c>
      <c r="B16" s="41" t="s">
        <v>26</v>
      </c>
      <c r="C16" s="54">
        <f>IFERROR(VLOOKUP(B16,'[3]Acreditación Investigación'!$D$5:$F$15,3,0),0)</f>
        <v>1</v>
      </c>
      <c r="D16" s="54">
        <f>IFERROR(VLOOKUP(B16,'[3]Acreditación Investigación'!$D$36:$J$40,7,0),0)</f>
        <v>0</v>
      </c>
      <c r="E16" s="54">
        <f>IFERROR(VLOOKUP(B16,'[3]Acreditación Investigación'!$D$61:$E$76,2,0),0)</f>
        <v>4</v>
      </c>
      <c r="F16" s="54">
        <f t="shared" si="0"/>
        <v>100</v>
      </c>
      <c r="G16" s="54">
        <f t="shared" si="1"/>
        <v>0</v>
      </c>
      <c r="H16" s="54">
        <f t="shared" si="2"/>
        <v>57.142857142857139</v>
      </c>
      <c r="I16" s="54">
        <f t="shared" si="3"/>
        <v>157.14285714285714</v>
      </c>
      <c r="J16" s="55">
        <f t="shared" si="4"/>
        <v>5.8823529411764684E-2</v>
      </c>
      <c r="K16" s="56">
        <f t="shared" si="5"/>
        <v>159084.02450980386</v>
      </c>
    </row>
    <row r="17" spans="1:11" x14ac:dyDescent="0.25">
      <c r="A17" s="41" t="s">
        <v>117</v>
      </c>
      <c r="B17" s="41" t="s">
        <v>28</v>
      </c>
      <c r="C17" s="54">
        <f>IFERROR(VLOOKUP(B17,'[3]Acreditación Investigación'!$D$5:$F$15,3,0),0)</f>
        <v>0</v>
      </c>
      <c r="D17" s="54">
        <f>IFERROR(VLOOKUP(B17,'[3]Acreditación Investigación'!$D$36:$J$40,7,0),0)</f>
        <v>0</v>
      </c>
      <c r="E17" s="54">
        <f>IFERROR(VLOOKUP(B17,'[3]Acreditación Investigación'!$D$61:$E$76,2,0),0)</f>
        <v>3</v>
      </c>
      <c r="F17" s="54">
        <f t="shared" si="0"/>
        <v>0</v>
      </c>
      <c r="G17" s="54">
        <f t="shared" si="1"/>
        <v>0</v>
      </c>
      <c r="H17" s="54">
        <f t="shared" si="2"/>
        <v>42.857142857142854</v>
      </c>
      <c r="I17" s="54">
        <f t="shared" si="3"/>
        <v>42.857142857142854</v>
      </c>
      <c r="J17" s="55">
        <f t="shared" si="4"/>
        <v>1.6042780748663093E-2</v>
      </c>
      <c r="K17" s="56">
        <f t="shared" si="5"/>
        <v>43386.552139037405</v>
      </c>
    </row>
    <row r="18" spans="1:11" x14ac:dyDescent="0.25">
      <c r="A18" s="41" t="s">
        <v>36</v>
      </c>
      <c r="B18" s="41" t="s">
        <v>29</v>
      </c>
      <c r="C18" s="54">
        <f>IFERROR(VLOOKUP(B18,'[3]Acreditación Investigación'!$D$5:$F$15,3,0),0)</f>
        <v>0</v>
      </c>
      <c r="D18" s="54">
        <f>IFERROR(VLOOKUP(B18,'[3]Acreditación Investigación'!$D$36:$J$40,7,0),0)</f>
        <v>0</v>
      </c>
      <c r="E18" s="54">
        <f>IFERROR(VLOOKUP(B18,'[3]Acreditación Investigación'!$D$61:$E$76,2,0),0)</f>
        <v>4</v>
      </c>
      <c r="F18" s="54">
        <f t="shared" si="0"/>
        <v>0</v>
      </c>
      <c r="G18" s="54">
        <f t="shared" si="1"/>
        <v>0</v>
      </c>
      <c r="H18" s="54">
        <f t="shared" si="2"/>
        <v>57.142857142857139</v>
      </c>
      <c r="I18" s="54">
        <f t="shared" si="3"/>
        <v>57.142857142857139</v>
      </c>
      <c r="J18" s="55">
        <f t="shared" si="4"/>
        <v>2.1390374331550794E-2</v>
      </c>
      <c r="K18" s="56">
        <f t="shared" si="5"/>
        <v>57848.736185383219</v>
      </c>
    </row>
    <row r="19" spans="1:11" x14ac:dyDescent="0.25">
      <c r="A19" s="41" t="s">
        <v>92</v>
      </c>
      <c r="B19" s="41" t="s">
        <v>93</v>
      </c>
      <c r="C19" s="54">
        <f>IFERROR(VLOOKUP(B19,'[3]Acreditación Investigación'!$D$5:$F$15,3,0),0)</f>
        <v>0</v>
      </c>
      <c r="D19" s="54">
        <f>IFERROR(VLOOKUP(B19,'[3]Acreditación Investigación'!$D$36:$J$40,7,0),0)</f>
        <v>0</v>
      </c>
      <c r="E19" s="54">
        <f>IFERROR(VLOOKUP(B19,'[3]Acreditación Investigación'!$D$61:$E$76,2,0),0)</f>
        <v>0</v>
      </c>
      <c r="F19" s="54">
        <f t="shared" si="0"/>
        <v>0</v>
      </c>
      <c r="G19" s="54">
        <f t="shared" si="1"/>
        <v>0</v>
      </c>
      <c r="H19" s="54">
        <f t="shared" si="2"/>
        <v>0</v>
      </c>
      <c r="I19" s="54">
        <f t="shared" si="3"/>
        <v>0</v>
      </c>
      <c r="J19" s="55">
        <f t="shared" si="4"/>
        <v>0</v>
      </c>
      <c r="K19" s="56">
        <f t="shared" si="5"/>
        <v>0</v>
      </c>
    </row>
    <row r="20" spans="1:11" x14ac:dyDescent="0.25">
      <c r="A20" s="41" t="s">
        <v>94</v>
      </c>
      <c r="B20" s="41" t="s">
        <v>95</v>
      </c>
      <c r="C20" s="54">
        <f>IFERROR(VLOOKUP(B20,'[3]Acreditación Investigación'!$D$5:$F$15,3,0),0)</f>
        <v>0</v>
      </c>
      <c r="D20" s="54">
        <f>IFERROR(VLOOKUP(B20,'[3]Acreditación Investigación'!$D$36:$J$40,7,0),0)</f>
        <v>0</v>
      </c>
      <c r="E20" s="54">
        <f>IFERROR(VLOOKUP(B20,'[3]Acreditación Investigación'!$D$61:$E$76,2,0),0)</f>
        <v>0</v>
      </c>
      <c r="F20" s="54">
        <f t="shared" si="0"/>
        <v>0</v>
      </c>
      <c r="G20" s="54">
        <f t="shared" si="1"/>
        <v>0</v>
      </c>
      <c r="H20" s="54">
        <f t="shared" si="2"/>
        <v>0</v>
      </c>
      <c r="I20" s="54">
        <f t="shared" si="3"/>
        <v>0</v>
      </c>
      <c r="J20" s="55">
        <f t="shared" si="4"/>
        <v>0</v>
      </c>
      <c r="K20" s="56">
        <f t="shared" si="5"/>
        <v>0</v>
      </c>
    </row>
    <row r="21" spans="1:11" x14ac:dyDescent="0.25">
      <c r="C21" s="61">
        <f t="shared" ref="C21:K21" si="6">SUM(C3:C20)</f>
        <v>11</v>
      </c>
      <c r="D21" s="61">
        <f t="shared" si="6"/>
        <v>5</v>
      </c>
      <c r="E21" s="61">
        <f t="shared" si="6"/>
        <v>75</v>
      </c>
      <c r="F21" s="61">
        <f t="shared" si="6"/>
        <v>1100</v>
      </c>
      <c r="G21" s="61">
        <f t="shared" si="6"/>
        <v>500</v>
      </c>
      <c r="H21" s="61">
        <f t="shared" si="6"/>
        <v>1071.4285714285716</v>
      </c>
      <c r="I21" s="61">
        <f t="shared" si="6"/>
        <v>2671.4285714285725</v>
      </c>
      <c r="J21" s="61">
        <f t="shared" si="6"/>
        <v>0.99999999999999967</v>
      </c>
      <c r="K21" s="61">
        <f t="shared" si="6"/>
        <v>2704428.4166666646</v>
      </c>
    </row>
    <row r="22" spans="1:11" x14ac:dyDescent="0.25">
      <c r="C22" t="s">
        <v>183</v>
      </c>
      <c r="D22" t="s">
        <v>183</v>
      </c>
      <c r="E22" t="s">
        <v>183</v>
      </c>
      <c r="F22" t="s">
        <v>184</v>
      </c>
      <c r="G22" t="s">
        <v>185</v>
      </c>
      <c r="H22" t="s">
        <v>186</v>
      </c>
      <c r="I22" t="s">
        <v>187</v>
      </c>
      <c r="J22" t="s">
        <v>189</v>
      </c>
      <c r="K22" t="s">
        <v>190</v>
      </c>
    </row>
    <row r="23" spans="1:11" x14ac:dyDescent="0.25">
      <c r="I23" t="s">
        <v>188</v>
      </c>
    </row>
    <row r="24" spans="1:11" x14ac:dyDescent="0.25">
      <c r="A24" t="s">
        <v>132</v>
      </c>
      <c r="B24" s="6">
        <f>'Montos AIUE 2019'!B37/6</f>
        <v>2704428.4166666665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4559A-3A8B-4F61-8795-8F172962E6FA}">
  <sheetPr>
    <tabColor theme="6" tint="-0.249977111117893"/>
  </sheetPr>
  <dimension ref="A2:E24"/>
  <sheetViews>
    <sheetView workbookViewId="0">
      <selection activeCell="H21" sqref="H21"/>
    </sheetView>
  </sheetViews>
  <sheetFormatPr baseColWidth="10" defaultRowHeight="15" x14ac:dyDescent="0.25"/>
  <cols>
    <col min="1" max="1" width="50" bestFit="1" customWidth="1"/>
    <col min="5" max="5" width="12.140625" bestFit="1" customWidth="1"/>
    <col min="8" max="8" width="11.85546875" bestFit="1" customWidth="1"/>
  </cols>
  <sheetData>
    <row r="2" spans="1:5" ht="25.5" x14ac:dyDescent="0.25">
      <c r="A2" s="52" t="s">
        <v>11</v>
      </c>
      <c r="B2" s="53" t="s">
        <v>1</v>
      </c>
      <c r="C2" s="53" t="s">
        <v>141</v>
      </c>
      <c r="D2" s="53" t="s">
        <v>125</v>
      </c>
      <c r="E2" s="53" t="s">
        <v>124</v>
      </c>
    </row>
    <row r="3" spans="1:5" x14ac:dyDescent="0.25">
      <c r="A3" s="41" t="s">
        <v>12</v>
      </c>
      <c r="B3" s="41" t="s">
        <v>2</v>
      </c>
      <c r="C3" s="56">
        <f>IFERROR(VLOOKUP(B3,'[5]PAC 2018'!$D$32:$G$59,4,0),0)</f>
        <v>1076</v>
      </c>
      <c r="D3" s="55">
        <f>C3/$C$21</f>
        <v>0.31656369520447192</v>
      </c>
      <c r="E3" s="62">
        <f>D3*$B$24</f>
        <v>856123.85299597925</v>
      </c>
    </row>
    <row r="4" spans="1:5" x14ac:dyDescent="0.25">
      <c r="A4" s="41" t="s">
        <v>13</v>
      </c>
      <c r="B4" s="41" t="s">
        <v>3</v>
      </c>
      <c r="C4" s="56">
        <f>IFERROR(VLOOKUP(B4,'[5]PAC 2018'!$D$32:$G$59,4,0),0)</f>
        <v>426</v>
      </c>
      <c r="D4" s="55">
        <f t="shared" ref="D4:D20" si="0">C4/$C$21</f>
        <v>0.12533097969991175</v>
      </c>
      <c r="E4" s="62">
        <f t="shared" ref="E4:E20" si="1">D4*$B$24</f>
        <v>338948.66298911447</v>
      </c>
    </row>
    <row r="5" spans="1:5" x14ac:dyDescent="0.25">
      <c r="A5" s="41" t="s">
        <v>19</v>
      </c>
      <c r="B5" s="41" t="s">
        <v>9</v>
      </c>
      <c r="C5" s="56">
        <f>IFERROR(VLOOKUP(B5,'[5]PAC 2018'!$D$32:$G$59,4,0),0)</f>
        <v>147</v>
      </c>
      <c r="D5" s="55">
        <f t="shared" si="0"/>
        <v>4.3248014121800529E-2</v>
      </c>
      <c r="E5" s="62">
        <f t="shared" si="1"/>
        <v>116961.15835539864</v>
      </c>
    </row>
    <row r="6" spans="1:5" x14ac:dyDescent="0.25">
      <c r="A6" s="41" t="s">
        <v>16</v>
      </c>
      <c r="B6" s="41" t="s">
        <v>6</v>
      </c>
      <c r="C6" s="56">
        <f>IFERROR(VLOOKUP(B6,'[5]PAC 2018'!$D$32:$G$59,4,0),0)</f>
        <v>192</v>
      </c>
      <c r="D6" s="55">
        <f t="shared" si="0"/>
        <v>5.6487202118270081E-2</v>
      </c>
      <c r="E6" s="62">
        <f t="shared" si="1"/>
        <v>152765.59458664313</v>
      </c>
    </row>
    <row r="7" spans="1:5" x14ac:dyDescent="0.25">
      <c r="A7" s="41" t="s">
        <v>15</v>
      </c>
      <c r="B7" s="41" t="s">
        <v>5</v>
      </c>
      <c r="C7" s="56">
        <f>IFERROR(VLOOKUP(B7,'[5]PAC 2018'!$D$32:$G$59,4,0),0)</f>
        <v>243</v>
      </c>
      <c r="D7" s="55">
        <f t="shared" si="0"/>
        <v>7.1491615180935567E-2</v>
      </c>
      <c r="E7" s="62">
        <f t="shared" si="1"/>
        <v>193343.95564872021</v>
      </c>
    </row>
    <row r="8" spans="1:5" x14ac:dyDescent="0.25">
      <c r="A8" s="41" t="s">
        <v>126</v>
      </c>
      <c r="B8" s="41" t="s">
        <v>10</v>
      </c>
      <c r="C8" s="56">
        <f>IFERROR(VLOOKUP(B8,'[5]PAC 2018'!$D$32:$G$59,4,0),0)</f>
        <v>128</v>
      </c>
      <c r="D8" s="55">
        <f t="shared" si="0"/>
        <v>3.7658134745513383E-2</v>
      </c>
      <c r="E8" s="62">
        <f t="shared" si="1"/>
        <v>101843.72972442873</v>
      </c>
    </row>
    <row r="9" spans="1:5" x14ac:dyDescent="0.25">
      <c r="A9" s="41" t="s">
        <v>127</v>
      </c>
      <c r="B9" s="41" t="s">
        <v>4</v>
      </c>
      <c r="C9" s="56">
        <f>IFERROR(VLOOKUP(B9,'[5]PAC 2018'!$D$32:$G$59,4,0),0)</f>
        <v>238</v>
      </c>
      <c r="D9" s="55">
        <f t="shared" si="0"/>
        <v>7.0020594292438953E-2</v>
      </c>
      <c r="E9" s="62">
        <f t="shared" si="1"/>
        <v>189365.68495635971</v>
      </c>
    </row>
    <row r="10" spans="1:5" x14ac:dyDescent="0.25">
      <c r="A10" s="41" t="s">
        <v>128</v>
      </c>
      <c r="B10" s="41" t="s">
        <v>8</v>
      </c>
      <c r="C10" s="56">
        <f>IFERROR(VLOOKUP(B10,'[5]PAC 2018'!$D$32:$G$59,4,0),0)</f>
        <v>241</v>
      </c>
      <c r="D10" s="55">
        <f t="shared" si="0"/>
        <v>7.0903206825536927E-2</v>
      </c>
      <c r="E10" s="62">
        <f t="shared" si="1"/>
        <v>191752.64737177602</v>
      </c>
    </row>
    <row r="11" spans="1:5" x14ac:dyDescent="0.25">
      <c r="A11" s="41" t="s">
        <v>17</v>
      </c>
      <c r="B11" s="41" t="s">
        <v>7</v>
      </c>
      <c r="C11" s="56">
        <f>IFERROR(VLOOKUP(B11,'[5]PAC 2018'!$D$32:$G$59,4,0),0)</f>
        <v>105</v>
      </c>
      <c r="D11" s="55">
        <f t="shared" si="0"/>
        <v>3.089143865842895E-2</v>
      </c>
      <c r="E11" s="62">
        <f t="shared" si="1"/>
        <v>83543.684539570459</v>
      </c>
    </row>
    <row r="12" spans="1:5" x14ac:dyDescent="0.25">
      <c r="A12" s="41" t="s">
        <v>129</v>
      </c>
      <c r="B12" s="41" t="s">
        <v>27</v>
      </c>
      <c r="C12" s="56">
        <f>IFERROR(VLOOKUP(B12,'[5]PAC 2018'!$D$32:$G$59,4,0),0)</f>
        <v>105</v>
      </c>
      <c r="D12" s="55">
        <f t="shared" si="0"/>
        <v>3.089143865842895E-2</v>
      </c>
      <c r="E12" s="62">
        <f t="shared" si="1"/>
        <v>83543.684539570459</v>
      </c>
    </row>
    <row r="13" spans="1:5" x14ac:dyDescent="0.25">
      <c r="A13" s="41" t="s">
        <v>30</v>
      </c>
      <c r="B13" s="41" t="s">
        <v>23</v>
      </c>
      <c r="C13" s="56">
        <f>IFERROR(VLOOKUP(B13,'[5]PAC 2018'!$D$32:$G$59,4,0),0)</f>
        <v>70</v>
      </c>
      <c r="D13" s="55">
        <f t="shared" si="0"/>
        <v>2.0594292438952635E-2</v>
      </c>
      <c r="E13" s="62">
        <f t="shared" si="1"/>
        <v>55695.789693046972</v>
      </c>
    </row>
    <row r="14" spans="1:5" x14ac:dyDescent="0.25">
      <c r="A14" s="41" t="s">
        <v>31</v>
      </c>
      <c r="B14" s="41" t="s">
        <v>24</v>
      </c>
      <c r="C14" s="56">
        <f>IFERROR(VLOOKUP(B14,'[5]PAC 2018'!$D$32:$G$59,4,0),0)</f>
        <v>74</v>
      </c>
      <c r="D14" s="55">
        <f t="shared" si="0"/>
        <v>2.1771109149749928E-2</v>
      </c>
      <c r="E14" s="62">
        <f t="shared" si="1"/>
        <v>58878.406246935374</v>
      </c>
    </row>
    <row r="15" spans="1:5" x14ac:dyDescent="0.25">
      <c r="A15" s="41" t="s">
        <v>32</v>
      </c>
      <c r="B15" s="41" t="s">
        <v>25</v>
      </c>
      <c r="C15" s="56">
        <f>IFERROR(VLOOKUP(B15,'[5]PAC 2018'!$D$32:$G$59,4,0),0)</f>
        <v>104</v>
      </c>
      <c r="D15" s="55">
        <f t="shared" si="0"/>
        <v>3.0597234480729627E-2</v>
      </c>
      <c r="E15" s="62">
        <f t="shared" si="1"/>
        <v>82748.030401098353</v>
      </c>
    </row>
    <row r="16" spans="1:5" x14ac:dyDescent="0.25">
      <c r="A16" s="41" t="s">
        <v>33</v>
      </c>
      <c r="B16" s="41" t="s">
        <v>26</v>
      </c>
      <c r="C16" s="56">
        <f>IFERROR(VLOOKUP(B16,'[5]PAC 2018'!$D$32:$G$59,4,0),0)</f>
        <v>74</v>
      </c>
      <c r="D16" s="55">
        <f t="shared" si="0"/>
        <v>2.1771109149749928E-2</v>
      </c>
      <c r="E16" s="62">
        <f t="shared" si="1"/>
        <v>58878.406246935374</v>
      </c>
    </row>
    <row r="17" spans="1:5" x14ac:dyDescent="0.25">
      <c r="A17" s="41" t="s">
        <v>130</v>
      </c>
      <c r="B17" s="41" t="s">
        <v>28</v>
      </c>
      <c r="C17" s="56">
        <f>IFERROR(VLOOKUP(B17,'[5]PAC 2018'!$D$32:$G$59,4,0),0)</f>
        <v>67</v>
      </c>
      <c r="D17" s="55">
        <f t="shared" si="0"/>
        <v>1.9711679905854661E-2</v>
      </c>
      <c r="E17" s="62">
        <f t="shared" si="1"/>
        <v>53308.827277630669</v>
      </c>
    </row>
    <row r="18" spans="1:5" x14ac:dyDescent="0.25">
      <c r="A18" s="41" t="s">
        <v>131</v>
      </c>
      <c r="B18" s="41" t="s">
        <v>29</v>
      </c>
      <c r="C18" s="56">
        <f>IFERROR(VLOOKUP(B18,'[5]PAC 2018'!$D$32:$G$59,4,0),0)</f>
        <v>50</v>
      </c>
      <c r="D18" s="55">
        <f t="shared" si="0"/>
        <v>1.4710208884966167E-2</v>
      </c>
      <c r="E18" s="62">
        <f t="shared" si="1"/>
        <v>39782.706923604979</v>
      </c>
    </row>
    <row r="19" spans="1:5" x14ac:dyDescent="0.25">
      <c r="A19" s="41" t="s">
        <v>136</v>
      </c>
      <c r="B19" s="41" t="s">
        <v>93</v>
      </c>
      <c r="C19" s="56">
        <f>IFERROR(VLOOKUP(B19,'[5]PAC 2018'!$D$32:$G$59,4,0),0)</f>
        <v>42</v>
      </c>
      <c r="D19" s="55">
        <f t="shared" si="0"/>
        <v>1.2356575463371581E-2</v>
      </c>
      <c r="E19" s="62">
        <f t="shared" si="1"/>
        <v>33417.473815828183</v>
      </c>
    </row>
    <row r="20" spans="1:5" x14ac:dyDescent="0.25">
      <c r="A20" s="41" t="s">
        <v>137</v>
      </c>
      <c r="B20" s="41" t="s">
        <v>95</v>
      </c>
      <c r="C20" s="56">
        <f>IFERROR(VLOOKUP(B20,'[5]PAC 2018'!$D$32:$G$59,4,0),0)</f>
        <v>17</v>
      </c>
      <c r="D20" s="55">
        <f t="shared" si="0"/>
        <v>5.0014710208884962E-3</v>
      </c>
      <c r="E20" s="62">
        <f t="shared" si="1"/>
        <v>13526.120354025692</v>
      </c>
    </row>
    <row r="21" spans="1:5" x14ac:dyDescent="0.25">
      <c r="C21" s="63">
        <f>SUM(C3:C20)</f>
        <v>3399</v>
      </c>
      <c r="D21" s="64">
        <f>SUM(D3:D20)</f>
        <v>1</v>
      </c>
      <c r="E21" s="65">
        <f>SUM(E3:E20)</f>
        <v>2704428.4166666665</v>
      </c>
    </row>
    <row r="22" spans="1:5" x14ac:dyDescent="0.25">
      <c r="C22" t="s">
        <v>191</v>
      </c>
      <c r="D22" t="s">
        <v>193</v>
      </c>
      <c r="E22" t="s">
        <v>194</v>
      </c>
    </row>
    <row r="23" spans="1:5" x14ac:dyDescent="0.25">
      <c r="C23" t="s">
        <v>192</v>
      </c>
    </row>
    <row r="24" spans="1:5" x14ac:dyDescent="0.25">
      <c r="A24" t="s">
        <v>133</v>
      </c>
      <c r="B24" s="6">
        <f>'Montos AIUE 2019'!B37/6</f>
        <v>2704428.4166666665</v>
      </c>
    </row>
  </sheetData>
  <autoFilter ref="A2:C20" xr:uid="{8ABAA2A2-4EA5-4CA7-A3F1-190DB176F36F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B12F-9721-4CA1-B8BD-0B9F5ECF5FC5}">
  <sheetPr>
    <tabColor theme="6" tint="-0.249977111117893"/>
  </sheetPr>
  <dimension ref="A2:G24"/>
  <sheetViews>
    <sheetView workbookViewId="0">
      <selection activeCell="H28" sqref="H28"/>
    </sheetView>
  </sheetViews>
  <sheetFormatPr baseColWidth="10" defaultRowHeight="15" x14ac:dyDescent="0.25"/>
  <cols>
    <col min="1" max="1" width="50" bestFit="1" customWidth="1"/>
    <col min="7" max="7" width="13.140625" bestFit="1" customWidth="1"/>
  </cols>
  <sheetData>
    <row r="2" spans="1:7" ht="63.75" x14ac:dyDescent="0.25">
      <c r="A2" s="52" t="s">
        <v>11</v>
      </c>
      <c r="B2" s="53" t="s">
        <v>1</v>
      </c>
      <c r="C2" s="53" t="s">
        <v>147</v>
      </c>
      <c r="D2" s="53" t="s">
        <v>148</v>
      </c>
      <c r="E2" s="53" t="s">
        <v>134</v>
      </c>
      <c r="F2" s="53" t="s">
        <v>125</v>
      </c>
      <c r="G2" s="53" t="s">
        <v>124</v>
      </c>
    </row>
    <row r="3" spans="1:7" x14ac:dyDescent="0.25">
      <c r="A3" s="41" t="s">
        <v>12</v>
      </c>
      <c r="B3" s="66" t="s">
        <v>2</v>
      </c>
      <c r="C3" s="66">
        <f>IFERROR(VLOOKUP(B3,'[3]Acreditación Doctorados'!$C$43:$M$52,10,0),0)</f>
        <v>34</v>
      </c>
      <c r="D3" s="66">
        <f>IFERROR(VLOOKUP(B3,'[3]Acreditación Doctorados'!$D$72:$J$74,6,0),0)</f>
        <v>3</v>
      </c>
      <c r="E3" s="54">
        <f>C3+D3</f>
        <v>37</v>
      </c>
      <c r="F3" s="55">
        <f>E3/$E$21</f>
        <v>0.45121951219512196</v>
      </c>
      <c r="G3" s="62">
        <f>F3*$B$24</f>
        <v>1220290.8709349593</v>
      </c>
    </row>
    <row r="4" spans="1:7" x14ac:dyDescent="0.25">
      <c r="A4" s="41" t="s">
        <v>13</v>
      </c>
      <c r="B4" s="66" t="s">
        <v>3</v>
      </c>
      <c r="C4" s="66">
        <f>IFERROR(VLOOKUP(B4,'[3]Acreditación Doctorados'!$C$43:$M$52,10,0),0)</f>
        <v>11</v>
      </c>
      <c r="D4" s="66">
        <f>IFERROR(VLOOKUP(B4,'[3]Acreditación Doctorados'!$D$72:$J$74,6,0),0)</f>
        <v>1</v>
      </c>
      <c r="E4" s="54">
        <f t="shared" ref="E4:E20" si="0">C4+D4</f>
        <v>12</v>
      </c>
      <c r="F4" s="55">
        <f t="shared" ref="F4:F20" si="1">E4/$E$21</f>
        <v>0.14634146341463414</v>
      </c>
      <c r="G4" s="62">
        <f t="shared" ref="G4:G20" si="2">F4*$B$24</f>
        <v>395770.0121951219</v>
      </c>
    </row>
    <row r="5" spans="1:7" x14ac:dyDescent="0.25">
      <c r="A5" s="41" t="s">
        <v>19</v>
      </c>
      <c r="B5" s="66" t="s">
        <v>9</v>
      </c>
      <c r="C5" s="66">
        <f>IFERROR(VLOOKUP(B5,'[3]Acreditación Doctorados'!$C$43:$M$52,10,0),0)</f>
        <v>3</v>
      </c>
      <c r="D5" s="66">
        <f>IFERROR(VLOOKUP(B5,'[3]Acreditación Doctorados'!$D$72:$J$74,6,0),0)</f>
        <v>0</v>
      </c>
      <c r="E5" s="54">
        <f t="shared" si="0"/>
        <v>3</v>
      </c>
      <c r="F5" s="55">
        <f t="shared" si="1"/>
        <v>3.6585365853658534E-2</v>
      </c>
      <c r="G5" s="62">
        <f t="shared" si="2"/>
        <v>98942.503048780476</v>
      </c>
    </row>
    <row r="6" spans="1:7" x14ac:dyDescent="0.25">
      <c r="A6" s="41" t="s">
        <v>16</v>
      </c>
      <c r="B6" s="66" t="s">
        <v>6</v>
      </c>
      <c r="C6" s="66">
        <f>IFERROR(VLOOKUP(B6,'[3]Acreditación Doctorados'!$C$43:$M$52,10,0),0)</f>
        <v>9</v>
      </c>
      <c r="D6" s="66">
        <f>IFERROR(VLOOKUP(B6,'[3]Acreditación Doctorados'!$D$72:$J$74,6,0),0)</f>
        <v>0</v>
      </c>
      <c r="E6" s="54">
        <f t="shared" si="0"/>
        <v>9</v>
      </c>
      <c r="F6" s="55">
        <f t="shared" si="1"/>
        <v>0.10975609756097561</v>
      </c>
      <c r="G6" s="62">
        <f t="shared" si="2"/>
        <v>296827.50914634147</v>
      </c>
    </row>
    <row r="7" spans="1:7" x14ac:dyDescent="0.25">
      <c r="A7" s="41" t="s">
        <v>15</v>
      </c>
      <c r="B7" s="66" t="s">
        <v>5</v>
      </c>
      <c r="C7" s="66">
        <f>IFERROR(VLOOKUP(B7,'[3]Acreditación Doctorados'!$C$43:$M$52,10,0),0)</f>
        <v>7</v>
      </c>
      <c r="D7" s="66">
        <f>IFERROR(VLOOKUP(B7,'[3]Acreditación Doctorados'!$D$72:$J$74,6,0),0)</f>
        <v>0</v>
      </c>
      <c r="E7" s="54">
        <f t="shared" si="0"/>
        <v>7</v>
      </c>
      <c r="F7" s="55">
        <f t="shared" si="1"/>
        <v>8.5365853658536592E-2</v>
      </c>
      <c r="G7" s="62">
        <f t="shared" si="2"/>
        <v>230865.84044715448</v>
      </c>
    </row>
    <row r="8" spans="1:7" x14ac:dyDescent="0.25">
      <c r="A8" s="41" t="s">
        <v>126</v>
      </c>
      <c r="B8" s="66" t="s">
        <v>10</v>
      </c>
      <c r="C8" s="66">
        <f>IFERROR(VLOOKUP(B8,'[3]Acreditación Doctorados'!$C$43:$M$52,10,0),0)</f>
        <v>0</v>
      </c>
      <c r="D8" s="66">
        <f>IFERROR(VLOOKUP(B8,'[3]Acreditación Doctorados'!$D$72:$J$74,6,0),0)</f>
        <v>0</v>
      </c>
      <c r="E8" s="54">
        <f t="shared" si="0"/>
        <v>0</v>
      </c>
      <c r="F8" s="55">
        <f t="shared" si="1"/>
        <v>0</v>
      </c>
      <c r="G8" s="62">
        <f t="shared" si="2"/>
        <v>0</v>
      </c>
    </row>
    <row r="9" spans="1:7" x14ac:dyDescent="0.25">
      <c r="A9" s="41" t="s">
        <v>127</v>
      </c>
      <c r="B9" s="66" t="s">
        <v>4</v>
      </c>
      <c r="C9" s="66">
        <f>IFERROR(VLOOKUP(B9,'[3]Acreditación Doctorados'!$C$43:$M$52,10,0),0)</f>
        <v>6</v>
      </c>
      <c r="D9" s="66">
        <f>IFERROR(VLOOKUP(B9,'[3]Acreditación Doctorados'!$D$72:$J$74,6,0),0)</f>
        <v>0</v>
      </c>
      <c r="E9" s="54">
        <f t="shared" si="0"/>
        <v>6</v>
      </c>
      <c r="F9" s="55">
        <f t="shared" si="1"/>
        <v>7.3170731707317069E-2</v>
      </c>
      <c r="G9" s="62">
        <f t="shared" si="2"/>
        <v>197885.00609756095</v>
      </c>
    </row>
    <row r="10" spans="1:7" x14ac:dyDescent="0.25">
      <c r="A10" s="41" t="s">
        <v>128</v>
      </c>
      <c r="B10" s="66" t="s">
        <v>8</v>
      </c>
      <c r="C10" s="66">
        <f>IFERROR(VLOOKUP(B10,'[3]Acreditación Doctorados'!$C$43:$M$52,10,0),0)</f>
        <v>2</v>
      </c>
      <c r="D10" s="66">
        <f>IFERROR(VLOOKUP(B10,'[3]Acreditación Doctorados'!$D$72:$J$74,6,0),0)</f>
        <v>0</v>
      </c>
      <c r="E10" s="54">
        <f t="shared" si="0"/>
        <v>2</v>
      </c>
      <c r="F10" s="55">
        <f t="shared" si="1"/>
        <v>2.4390243902439025E-2</v>
      </c>
      <c r="G10" s="62">
        <f t="shared" si="2"/>
        <v>65961.668699186994</v>
      </c>
    </row>
    <row r="11" spans="1:7" x14ac:dyDescent="0.25">
      <c r="A11" s="41" t="s">
        <v>17</v>
      </c>
      <c r="B11" s="66" t="s">
        <v>7</v>
      </c>
      <c r="C11" s="66">
        <f>IFERROR(VLOOKUP(B11,'[3]Acreditación Doctorados'!$C$43:$M$52,10,0),0)</f>
        <v>3</v>
      </c>
      <c r="D11" s="66">
        <f>IFERROR(VLOOKUP(B11,'[3]Acreditación Doctorados'!$D$72:$J$74,6,0),0)</f>
        <v>1</v>
      </c>
      <c r="E11" s="54">
        <f t="shared" si="0"/>
        <v>4</v>
      </c>
      <c r="F11" s="55">
        <f t="shared" si="1"/>
        <v>4.878048780487805E-2</v>
      </c>
      <c r="G11" s="62">
        <f t="shared" si="2"/>
        <v>131923.33739837399</v>
      </c>
    </row>
    <row r="12" spans="1:7" x14ac:dyDescent="0.25">
      <c r="A12" s="41" t="s">
        <v>129</v>
      </c>
      <c r="B12" s="66" t="s">
        <v>27</v>
      </c>
      <c r="C12" s="66">
        <f>IFERROR(VLOOKUP(B12,'[3]Acreditación Doctorados'!$C$43:$M$52,10,0),0)</f>
        <v>0</v>
      </c>
      <c r="D12" s="66">
        <f>IFERROR(VLOOKUP(B12,'[3]Acreditación Doctorados'!$D$72:$J$74,6,0),0)</f>
        <v>0</v>
      </c>
      <c r="E12" s="54">
        <f t="shared" si="0"/>
        <v>0</v>
      </c>
      <c r="F12" s="55">
        <f t="shared" si="1"/>
        <v>0</v>
      </c>
      <c r="G12" s="62">
        <f t="shared" si="2"/>
        <v>0</v>
      </c>
    </row>
    <row r="13" spans="1:7" x14ac:dyDescent="0.25">
      <c r="A13" s="41" t="s">
        <v>30</v>
      </c>
      <c r="B13" s="66" t="s">
        <v>23</v>
      </c>
      <c r="C13" s="66">
        <f>IFERROR(VLOOKUP(B13,'[3]Acreditación Doctorados'!$C$43:$M$52,10,0),0)</f>
        <v>0</v>
      </c>
      <c r="D13" s="66">
        <f>IFERROR(VLOOKUP(B13,'[3]Acreditación Doctorados'!$D$72:$J$74,6,0),0)</f>
        <v>0</v>
      </c>
      <c r="E13" s="54">
        <f t="shared" si="0"/>
        <v>0</v>
      </c>
      <c r="F13" s="55">
        <f t="shared" si="1"/>
        <v>0</v>
      </c>
      <c r="G13" s="62">
        <f t="shared" si="2"/>
        <v>0</v>
      </c>
    </row>
    <row r="14" spans="1:7" x14ac:dyDescent="0.25">
      <c r="A14" s="41" t="s">
        <v>31</v>
      </c>
      <c r="B14" s="66" t="s">
        <v>24</v>
      </c>
      <c r="C14" s="66">
        <f>IFERROR(VLOOKUP(B14,'[3]Acreditación Doctorados'!$C$43:$M$52,10,0),0)</f>
        <v>0</v>
      </c>
      <c r="D14" s="66">
        <f>IFERROR(VLOOKUP(B14,'[3]Acreditación Doctorados'!$D$72:$J$74,6,0),0)</f>
        <v>0</v>
      </c>
      <c r="E14" s="54">
        <f t="shared" si="0"/>
        <v>0</v>
      </c>
      <c r="F14" s="55">
        <f t="shared" si="1"/>
        <v>0</v>
      </c>
      <c r="G14" s="62">
        <f t="shared" si="2"/>
        <v>0</v>
      </c>
    </row>
    <row r="15" spans="1:7" x14ac:dyDescent="0.25">
      <c r="A15" s="41" t="s">
        <v>32</v>
      </c>
      <c r="B15" s="66" t="s">
        <v>25</v>
      </c>
      <c r="C15" s="66">
        <f>IFERROR(VLOOKUP(B15,'[3]Acreditación Doctorados'!$C$43:$M$52,10,0),0)</f>
        <v>1</v>
      </c>
      <c r="D15" s="66">
        <f>IFERROR(VLOOKUP(B15,'[3]Acreditación Doctorados'!$D$72:$J$74,6,0),0)</f>
        <v>0</v>
      </c>
      <c r="E15" s="54">
        <f t="shared" si="0"/>
        <v>1</v>
      </c>
      <c r="F15" s="55">
        <f t="shared" si="1"/>
        <v>1.2195121951219513E-2</v>
      </c>
      <c r="G15" s="62">
        <f t="shared" si="2"/>
        <v>32980.834349593497</v>
      </c>
    </row>
    <row r="16" spans="1:7" x14ac:dyDescent="0.25">
      <c r="A16" s="41" t="s">
        <v>33</v>
      </c>
      <c r="B16" s="66" t="s">
        <v>26</v>
      </c>
      <c r="C16" s="66">
        <f>IFERROR(VLOOKUP(B16,'[3]Acreditación Doctorados'!$C$43:$M$52,10,0),0)</f>
        <v>1</v>
      </c>
      <c r="D16" s="66">
        <f>IFERROR(VLOOKUP(B16,'[3]Acreditación Doctorados'!$D$72:$J$74,6,0),0)</f>
        <v>0</v>
      </c>
      <c r="E16" s="54">
        <f t="shared" si="0"/>
        <v>1</v>
      </c>
      <c r="F16" s="55">
        <f t="shared" si="1"/>
        <v>1.2195121951219513E-2</v>
      </c>
      <c r="G16" s="62">
        <f t="shared" si="2"/>
        <v>32980.834349593497</v>
      </c>
    </row>
    <row r="17" spans="1:7" x14ac:dyDescent="0.25">
      <c r="A17" s="41" t="s">
        <v>130</v>
      </c>
      <c r="B17" s="66" t="s">
        <v>28</v>
      </c>
      <c r="C17" s="66">
        <f>IFERROR(VLOOKUP(B17,'[3]Acreditación Doctorados'!$C$43:$M$52,10,0),0)</f>
        <v>0</v>
      </c>
      <c r="D17" s="66">
        <f>IFERROR(VLOOKUP(B17,'[3]Acreditación Doctorados'!$D$72:$J$74,6,0),0)</f>
        <v>0</v>
      </c>
      <c r="E17" s="54">
        <f t="shared" si="0"/>
        <v>0</v>
      </c>
      <c r="F17" s="55">
        <f t="shared" si="1"/>
        <v>0</v>
      </c>
      <c r="G17" s="62">
        <f t="shared" si="2"/>
        <v>0</v>
      </c>
    </row>
    <row r="18" spans="1:7" x14ac:dyDescent="0.25">
      <c r="A18" s="41" t="s">
        <v>131</v>
      </c>
      <c r="B18" s="66" t="s">
        <v>29</v>
      </c>
      <c r="C18" s="66">
        <f>IFERROR(VLOOKUP(B18,'[3]Acreditación Doctorados'!$C$43:$M$52,10,0),0)</f>
        <v>0</v>
      </c>
      <c r="D18" s="66">
        <f>IFERROR(VLOOKUP(B18,'[3]Acreditación Doctorados'!$D$72:$J$74,6,0),0)</f>
        <v>0</v>
      </c>
      <c r="E18" s="54">
        <f t="shared" si="0"/>
        <v>0</v>
      </c>
      <c r="F18" s="55">
        <f t="shared" si="1"/>
        <v>0</v>
      </c>
      <c r="G18" s="62">
        <f t="shared" si="2"/>
        <v>0</v>
      </c>
    </row>
    <row r="19" spans="1:7" x14ac:dyDescent="0.25">
      <c r="A19" s="41" t="s">
        <v>92</v>
      </c>
      <c r="B19" s="66" t="s">
        <v>93</v>
      </c>
      <c r="C19" s="66">
        <f>IFERROR(VLOOKUP(B19,'[3]Acreditación Doctorados'!$C$43:$M$52,10,0),0)</f>
        <v>0</v>
      </c>
      <c r="D19" s="66">
        <f>IFERROR(VLOOKUP(B19,'[3]Acreditación Doctorados'!$D$72:$J$74,6,0),0)</f>
        <v>0</v>
      </c>
      <c r="E19" s="54">
        <f t="shared" si="0"/>
        <v>0</v>
      </c>
      <c r="F19" s="55">
        <f t="shared" si="1"/>
        <v>0</v>
      </c>
      <c r="G19" s="62">
        <f t="shared" si="2"/>
        <v>0</v>
      </c>
    </row>
    <row r="20" spans="1:7" x14ac:dyDescent="0.25">
      <c r="A20" s="41" t="s">
        <v>94</v>
      </c>
      <c r="B20" s="66" t="s">
        <v>95</v>
      </c>
      <c r="C20" s="66">
        <f>IFERROR(VLOOKUP(B20,'[3]Acreditación Doctorados'!$C$43:$M$52,10,0),0)</f>
        <v>0</v>
      </c>
      <c r="D20" s="66">
        <f>IFERROR(VLOOKUP(B20,'[3]Acreditación Doctorados'!$D$72:$J$74,6,0),0)</f>
        <v>0</v>
      </c>
      <c r="E20" s="54">
        <f t="shared" si="0"/>
        <v>0</v>
      </c>
      <c r="F20" s="55">
        <f t="shared" si="1"/>
        <v>0</v>
      </c>
      <c r="G20" s="62">
        <f t="shared" si="2"/>
        <v>0</v>
      </c>
    </row>
    <row r="21" spans="1:7" x14ac:dyDescent="0.25">
      <c r="C21" s="67">
        <f>SUM(C3:C20)</f>
        <v>77</v>
      </c>
      <c r="D21" s="67">
        <f>SUM(D3:D20)</f>
        <v>5</v>
      </c>
      <c r="E21" s="67">
        <f>SUM(E3:E20)</f>
        <v>82</v>
      </c>
      <c r="F21" s="68">
        <f>SUM(F3:F20)</f>
        <v>1</v>
      </c>
      <c r="G21" s="65">
        <f>SUM(G3:G20)</f>
        <v>2704428.4166666665</v>
      </c>
    </row>
    <row r="22" spans="1:7" x14ac:dyDescent="0.25">
      <c r="C22" t="s">
        <v>195</v>
      </c>
      <c r="D22" t="s">
        <v>195</v>
      </c>
      <c r="E22" t="s">
        <v>196</v>
      </c>
      <c r="F22" t="s">
        <v>197</v>
      </c>
      <c r="G22" t="s">
        <v>198</v>
      </c>
    </row>
    <row r="24" spans="1:7" x14ac:dyDescent="0.25">
      <c r="A24" t="s">
        <v>133</v>
      </c>
      <c r="B24" s="6">
        <f>'Montos AIUE 2019'!B37/6</f>
        <v>2704428.4166666665</v>
      </c>
      <c r="C24" s="6"/>
      <c r="D24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EE5E-24A6-4BFE-AB11-397F663DB8B0}">
  <sheetPr>
    <tabColor theme="6" tint="-0.249977111117893"/>
  </sheetPr>
  <dimension ref="A2:E24"/>
  <sheetViews>
    <sheetView workbookViewId="0">
      <selection activeCell="G18" sqref="G18"/>
    </sheetView>
  </sheetViews>
  <sheetFormatPr baseColWidth="10" defaultRowHeight="15" x14ac:dyDescent="0.25"/>
  <cols>
    <col min="1" max="1" width="50" bestFit="1" customWidth="1"/>
    <col min="5" max="5" width="12" bestFit="1" customWidth="1"/>
    <col min="9" max="9" width="11.85546875" bestFit="1" customWidth="1"/>
  </cols>
  <sheetData>
    <row r="2" spans="1:5" ht="25.5" x14ac:dyDescent="0.25">
      <c r="A2" s="52" t="s">
        <v>11</v>
      </c>
      <c r="B2" s="53" t="s">
        <v>1</v>
      </c>
      <c r="C2" s="53" t="s">
        <v>142</v>
      </c>
      <c r="D2" s="53" t="s">
        <v>125</v>
      </c>
      <c r="E2" s="53" t="s">
        <v>124</v>
      </c>
    </row>
    <row r="3" spans="1:5" x14ac:dyDescent="0.25">
      <c r="A3" s="41" t="s">
        <v>12</v>
      </c>
      <c r="B3" s="66" t="s">
        <v>2</v>
      </c>
      <c r="C3" s="56">
        <f>IFERROR(VLOOKUP(B3,'[5]PAC 2018'!$D$32:$Z$59,23,0),0)</f>
        <v>1579</v>
      </c>
      <c r="D3" s="55">
        <f>C3/$C$21</f>
        <v>0.23179682912507341</v>
      </c>
      <c r="E3" s="62">
        <f>D3*$B$24</f>
        <v>626877.9315790761</v>
      </c>
    </row>
    <row r="4" spans="1:5" x14ac:dyDescent="0.25">
      <c r="A4" s="41" t="s">
        <v>13</v>
      </c>
      <c r="B4" s="66" t="s">
        <v>3</v>
      </c>
      <c r="C4" s="56">
        <f>IFERROR(VLOOKUP(B4,'[5]PAC 2018'!$D$32:$Z$59,23,0),0)</f>
        <v>653</v>
      </c>
      <c r="D4" s="55">
        <f t="shared" ref="D4:D20" si="0">C4/$C$21</f>
        <v>9.58602466236054E-2</v>
      </c>
      <c r="E4" s="62">
        <f t="shared" ref="E4:E20" si="1">D4*$B$24</f>
        <v>259247.17499755332</v>
      </c>
    </row>
    <row r="5" spans="1:5" x14ac:dyDescent="0.25">
      <c r="A5" s="41" t="s">
        <v>19</v>
      </c>
      <c r="B5" s="66" t="s">
        <v>9</v>
      </c>
      <c r="C5" s="56">
        <f>IFERROR(VLOOKUP(B5,'[5]PAC 2018'!$D$32:$Z$59,23,0),0)</f>
        <v>333</v>
      </c>
      <c r="D5" s="55">
        <f t="shared" si="0"/>
        <v>4.8884321785085144E-2</v>
      </c>
      <c r="E5" s="62">
        <f t="shared" si="1"/>
        <v>132204.14896506164</v>
      </c>
    </row>
    <row r="6" spans="1:5" x14ac:dyDescent="0.25">
      <c r="A6" s="41" t="s">
        <v>16</v>
      </c>
      <c r="B6" s="66" t="s">
        <v>6</v>
      </c>
      <c r="C6" s="56">
        <f>IFERROR(VLOOKUP(B6,'[5]PAC 2018'!$D$32:$Z$59,23,0),0)</f>
        <v>321</v>
      </c>
      <c r="D6" s="55">
        <f t="shared" si="0"/>
        <v>4.7122724603640635E-2</v>
      </c>
      <c r="E6" s="62">
        <f t="shared" si="1"/>
        <v>127440.03548884322</v>
      </c>
    </row>
    <row r="7" spans="1:5" x14ac:dyDescent="0.25">
      <c r="A7" s="41" t="s">
        <v>15</v>
      </c>
      <c r="B7" s="66" t="s">
        <v>5</v>
      </c>
      <c r="C7" s="56">
        <f>IFERROR(VLOOKUP(B7,'[5]PAC 2018'!$D$32:$Z$59,23,0),0)</f>
        <v>419</v>
      </c>
      <c r="D7" s="55">
        <f t="shared" si="0"/>
        <v>6.1509101585437466E-2</v>
      </c>
      <c r="E7" s="62">
        <f t="shared" si="1"/>
        <v>166346.96221129378</v>
      </c>
    </row>
    <row r="8" spans="1:5" x14ac:dyDescent="0.25">
      <c r="A8" s="41" t="s">
        <v>126</v>
      </c>
      <c r="B8" s="66" t="s">
        <v>10</v>
      </c>
      <c r="C8" s="56">
        <f>IFERROR(VLOOKUP(B8,'[5]PAC 2018'!$D$32:$Z$59,23,0),0)</f>
        <v>319</v>
      </c>
      <c r="D8" s="55">
        <f t="shared" si="0"/>
        <v>4.6829125073399883E-2</v>
      </c>
      <c r="E8" s="62">
        <f t="shared" si="1"/>
        <v>126646.01657614014</v>
      </c>
    </row>
    <row r="9" spans="1:5" x14ac:dyDescent="0.25">
      <c r="A9" s="41" t="s">
        <v>127</v>
      </c>
      <c r="B9" s="66" t="s">
        <v>4</v>
      </c>
      <c r="C9" s="56">
        <f>IFERROR(VLOOKUP(B9,'[5]PAC 2018'!$D$32:$Z$59,23,0),0)</f>
        <v>564</v>
      </c>
      <c r="D9" s="55">
        <f t="shared" si="0"/>
        <v>8.2795067527891952E-2</v>
      </c>
      <c r="E9" s="62">
        <f t="shared" si="1"/>
        <v>223913.33338226657</v>
      </c>
    </row>
    <row r="10" spans="1:5" x14ac:dyDescent="0.25">
      <c r="A10" s="41" t="s">
        <v>128</v>
      </c>
      <c r="B10" s="66" t="s">
        <v>8</v>
      </c>
      <c r="C10" s="56">
        <f>IFERROR(VLOOKUP(B10,'[5]PAC 2018'!$D$32:$Z$59,23,0),0)</f>
        <v>459</v>
      </c>
      <c r="D10" s="55">
        <f t="shared" si="0"/>
        <v>6.7381092190252498E-2</v>
      </c>
      <c r="E10" s="62">
        <f t="shared" si="1"/>
        <v>182227.34046535526</v>
      </c>
    </row>
    <row r="11" spans="1:5" x14ac:dyDescent="0.25">
      <c r="A11" s="41" t="s">
        <v>17</v>
      </c>
      <c r="B11" s="66" t="s">
        <v>7</v>
      </c>
      <c r="C11" s="56">
        <f>IFERROR(VLOOKUP(B11,'[5]PAC 2018'!$D$32:$Z$59,23,0),0)</f>
        <v>213</v>
      </c>
      <c r="D11" s="55">
        <f t="shared" si="0"/>
        <v>3.1268349970640048E-2</v>
      </c>
      <c r="E11" s="62">
        <f t="shared" si="1"/>
        <v>84563.014202877268</v>
      </c>
    </row>
    <row r="12" spans="1:5" x14ac:dyDescent="0.25">
      <c r="A12" s="41" t="s">
        <v>129</v>
      </c>
      <c r="B12" s="66" t="s">
        <v>27</v>
      </c>
      <c r="C12" s="56">
        <f>IFERROR(VLOOKUP(B12,'[5]PAC 2018'!$D$32:$Z$59,23,0),0)</f>
        <v>289</v>
      </c>
      <c r="D12" s="55">
        <f t="shared" si="0"/>
        <v>4.2425132119788607E-2</v>
      </c>
      <c r="E12" s="62">
        <f t="shared" si="1"/>
        <v>114735.73288559404</v>
      </c>
    </row>
    <row r="13" spans="1:5" x14ac:dyDescent="0.25">
      <c r="A13" s="41" t="s">
        <v>30</v>
      </c>
      <c r="B13" s="66" t="s">
        <v>23</v>
      </c>
      <c r="C13" s="56">
        <f>IFERROR(VLOOKUP(B13,'[5]PAC 2018'!$D$32:$Z$59,23,0),0)</f>
        <v>311</v>
      </c>
      <c r="D13" s="55">
        <f t="shared" si="0"/>
        <v>4.5654726952436879E-2</v>
      </c>
      <c r="E13" s="62">
        <f t="shared" si="1"/>
        <v>123469.94092532786</v>
      </c>
    </row>
    <row r="14" spans="1:5" x14ac:dyDescent="0.25">
      <c r="A14" s="41" t="s">
        <v>31</v>
      </c>
      <c r="B14" s="66" t="s">
        <v>24</v>
      </c>
      <c r="C14" s="56">
        <f>IFERROR(VLOOKUP(B14,'[5]PAC 2018'!$D$32:$Z$59,23,0),0)</f>
        <v>328</v>
      </c>
      <c r="D14" s="55">
        <f t="shared" si="0"/>
        <v>4.8150322959483266E-2</v>
      </c>
      <c r="E14" s="62">
        <f t="shared" si="1"/>
        <v>130219.10168330398</v>
      </c>
    </row>
    <row r="15" spans="1:5" x14ac:dyDescent="0.25">
      <c r="A15" s="41" t="s">
        <v>32</v>
      </c>
      <c r="B15" s="66" t="s">
        <v>25</v>
      </c>
      <c r="C15" s="56">
        <f>IFERROR(VLOOKUP(B15,'[5]PAC 2018'!$D$32:$Z$59,23,0),0)</f>
        <v>325</v>
      </c>
      <c r="D15" s="55">
        <f t="shared" si="0"/>
        <v>4.7709923664122141E-2</v>
      </c>
      <c r="E15" s="62">
        <f t="shared" si="1"/>
        <v>129028.07331424937</v>
      </c>
    </row>
    <row r="16" spans="1:5" x14ac:dyDescent="0.25">
      <c r="A16" s="41" t="s">
        <v>33</v>
      </c>
      <c r="B16" s="66" t="s">
        <v>26</v>
      </c>
      <c r="C16" s="56">
        <f>IFERROR(VLOOKUP(B16,'[5]PAC 2018'!$D$32:$Z$59,23,0),0)</f>
        <v>200</v>
      </c>
      <c r="D16" s="55">
        <f t="shared" si="0"/>
        <v>2.9359953024075163E-2</v>
      </c>
      <c r="E16" s="62">
        <f t="shared" si="1"/>
        <v>79401.8912703073</v>
      </c>
    </row>
    <row r="17" spans="1:5" x14ac:dyDescent="0.25">
      <c r="A17" s="41" t="s">
        <v>130</v>
      </c>
      <c r="B17" s="66" t="s">
        <v>28</v>
      </c>
      <c r="C17" s="56">
        <f>IFERROR(VLOOKUP(B17,'[5]PAC 2018'!$D$32:$Z$59,23,0),0)</f>
        <v>229</v>
      </c>
      <c r="D17" s="55">
        <f t="shared" si="0"/>
        <v>3.3617146212566063E-2</v>
      </c>
      <c r="E17" s="62">
        <f t="shared" si="1"/>
        <v>90915.165504501856</v>
      </c>
    </row>
    <row r="18" spans="1:5" x14ac:dyDescent="0.25">
      <c r="A18" s="41" t="s">
        <v>131</v>
      </c>
      <c r="B18" s="66" t="s">
        <v>29</v>
      </c>
      <c r="C18" s="56">
        <f>IFERROR(VLOOKUP(B18,'[5]PAC 2018'!$D$32:$Z$59,23,0),0)</f>
        <v>197</v>
      </c>
      <c r="D18" s="55">
        <f t="shared" si="0"/>
        <v>2.8919553728714034E-2</v>
      </c>
      <c r="E18" s="62">
        <f t="shared" si="1"/>
        <v>78210.862901252694</v>
      </c>
    </row>
    <row r="19" spans="1:5" x14ac:dyDescent="0.25">
      <c r="A19" s="41" t="s">
        <v>136</v>
      </c>
      <c r="B19" s="66" t="s">
        <v>93</v>
      </c>
      <c r="C19" s="56">
        <f>IFERROR(VLOOKUP(B19,'[5]PAC 2018'!$D$32:$Z$59,23,0),0)</f>
        <v>51</v>
      </c>
      <c r="D19" s="55">
        <f t="shared" si="0"/>
        <v>7.4867880211391662E-3</v>
      </c>
      <c r="E19" s="62">
        <f t="shared" si="1"/>
        <v>20247.482273928359</v>
      </c>
    </row>
    <row r="20" spans="1:5" x14ac:dyDescent="0.25">
      <c r="A20" s="41" t="s">
        <v>137</v>
      </c>
      <c r="B20" s="66" t="s">
        <v>95</v>
      </c>
      <c r="C20" s="56">
        <f>IFERROR(VLOOKUP(B20,'[5]PAC 2018'!$D$32:$Z$59,23,0),0)</f>
        <v>22</v>
      </c>
      <c r="D20" s="55">
        <f t="shared" si="0"/>
        <v>3.2295948326482677E-3</v>
      </c>
      <c r="E20" s="62">
        <f t="shared" si="1"/>
        <v>8734.2080397338032</v>
      </c>
    </row>
    <row r="21" spans="1:5" x14ac:dyDescent="0.25">
      <c r="C21" s="63">
        <f>SUM(C3:C20)</f>
        <v>6812</v>
      </c>
      <c r="D21" s="68">
        <f>SUM(D3:D20)</f>
        <v>1</v>
      </c>
      <c r="E21" s="63">
        <f>SUM(E3:E20)</f>
        <v>2704428.4166666665</v>
      </c>
    </row>
    <row r="22" spans="1:5" x14ac:dyDescent="0.25">
      <c r="C22" t="s">
        <v>199</v>
      </c>
      <c r="D22" t="s">
        <v>201</v>
      </c>
      <c r="E22" t="s">
        <v>202</v>
      </c>
    </row>
    <row r="23" spans="1:5" x14ac:dyDescent="0.25">
      <c r="C23" t="s">
        <v>200</v>
      </c>
    </row>
    <row r="24" spans="1:5" x14ac:dyDescent="0.25">
      <c r="A24" t="s">
        <v>133</v>
      </c>
      <c r="B24" s="6">
        <f>'Montos AIUE 2019'!B37/6</f>
        <v>2704428.4166666665</v>
      </c>
    </row>
  </sheetData>
  <autoFilter ref="A2:C20" xr:uid="{F104A81B-AC08-48F4-A852-4A21590014B4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C5B1-E8B6-4875-B61D-F7AD45B4FE41}">
  <sheetPr>
    <tabColor theme="6" tint="-0.249977111117893"/>
  </sheetPr>
  <dimension ref="A2:E24"/>
  <sheetViews>
    <sheetView workbookViewId="0">
      <selection activeCell="H29" sqref="H29"/>
    </sheetView>
  </sheetViews>
  <sheetFormatPr baseColWidth="10" defaultRowHeight="15" x14ac:dyDescent="0.25"/>
  <cols>
    <col min="1" max="1" width="50" bestFit="1" customWidth="1"/>
  </cols>
  <sheetData>
    <row r="2" spans="1:5" ht="38.25" x14ac:dyDescent="0.25">
      <c r="A2" s="52" t="s">
        <v>11</v>
      </c>
      <c r="B2" s="53" t="s">
        <v>1</v>
      </c>
      <c r="C2" s="53" t="s">
        <v>135</v>
      </c>
      <c r="D2" s="53" t="s">
        <v>125</v>
      </c>
      <c r="E2" s="53" t="s">
        <v>124</v>
      </c>
    </row>
    <row r="3" spans="1:5" x14ac:dyDescent="0.25">
      <c r="A3" s="41" t="s">
        <v>12</v>
      </c>
      <c r="B3" s="66" t="s">
        <v>2</v>
      </c>
      <c r="C3" s="56">
        <f>IFERROR(VLOOKUP(B3,'[9]Matrícula total'!$C$9:$D$26,2,0),0)</f>
        <v>29808</v>
      </c>
      <c r="D3" s="55">
        <f>C3/$C$21</f>
        <v>0.17073533960340462</v>
      </c>
      <c r="E3" s="56">
        <f>D3*$B$24</f>
        <v>461741.50415268115</v>
      </c>
    </row>
    <row r="4" spans="1:5" x14ac:dyDescent="0.25">
      <c r="A4" s="41" t="s">
        <v>13</v>
      </c>
      <c r="B4" s="66" t="s">
        <v>3</v>
      </c>
      <c r="C4" s="56">
        <f>IFERROR(VLOOKUP(B4,'[9]Matrícula total'!$C$9:$D$26,2,0),0)</f>
        <v>19224</v>
      </c>
      <c r="D4" s="55">
        <f t="shared" ref="D4:D20" si="0">C4/$C$21</f>
        <v>0.11011192191813776</v>
      </c>
      <c r="E4" s="56">
        <f t="shared" ref="E4:E20" si="1">D4*$B$24</f>
        <v>297789.81064919289</v>
      </c>
    </row>
    <row r="5" spans="1:5" x14ac:dyDescent="0.25">
      <c r="A5" s="41" t="s">
        <v>19</v>
      </c>
      <c r="B5" s="66" t="s">
        <v>9</v>
      </c>
      <c r="C5" s="56">
        <f>IFERROR(VLOOKUP(B5,'[9]Matrícula total'!$C$9:$D$26,2,0),0)</f>
        <v>7871</v>
      </c>
      <c r="D5" s="55">
        <f t="shared" si="0"/>
        <v>4.5083798242699875E-2</v>
      </c>
      <c r="E5" s="56">
        <f t="shared" si="1"/>
        <v>121925.90509882427</v>
      </c>
    </row>
    <row r="6" spans="1:5" x14ac:dyDescent="0.25">
      <c r="A6" s="41" t="s">
        <v>16</v>
      </c>
      <c r="B6" s="66" t="s">
        <v>6</v>
      </c>
      <c r="C6" s="56">
        <f>IFERROR(VLOOKUP(B6,'[9]Matrícula total'!$C$9:$D$26,2,0),0)</f>
        <v>10014</v>
      </c>
      <c r="D6" s="55">
        <f t="shared" si="0"/>
        <v>5.7358551086570515E-2</v>
      </c>
      <c r="E6" s="56">
        <f t="shared" si="1"/>
        <v>155122.095497348</v>
      </c>
    </row>
    <row r="7" spans="1:5" x14ac:dyDescent="0.25">
      <c r="A7" s="41" t="s">
        <v>15</v>
      </c>
      <c r="B7" s="66" t="s">
        <v>5</v>
      </c>
      <c r="C7" s="56">
        <f>IFERROR(VLOOKUP(B7,'[9]Matrícula total'!$C$9:$D$26,2,0),0)</f>
        <v>10521</v>
      </c>
      <c r="D7" s="55">
        <f t="shared" si="0"/>
        <v>6.0262564008568845E-2</v>
      </c>
      <c r="E7" s="56">
        <f t="shared" si="1"/>
        <v>162975.79056596747</v>
      </c>
    </row>
    <row r="8" spans="1:5" x14ac:dyDescent="0.25">
      <c r="A8" s="41" t="s">
        <v>126</v>
      </c>
      <c r="B8" s="66" t="s">
        <v>10</v>
      </c>
      <c r="C8" s="56">
        <f>IFERROR(VLOOKUP(B8,'[9]Matrícula total'!$C$9:$D$26,2,0),0)</f>
        <v>8885</v>
      </c>
      <c r="D8" s="55">
        <f t="shared" si="0"/>
        <v>5.0891824086696527E-2</v>
      </c>
      <c r="E8" s="56">
        <f t="shared" si="1"/>
        <v>137633.29523606322</v>
      </c>
    </row>
    <row r="9" spans="1:5" x14ac:dyDescent="0.25">
      <c r="A9" s="41" t="s">
        <v>127</v>
      </c>
      <c r="B9" s="66" t="s">
        <v>4</v>
      </c>
      <c r="C9" s="56">
        <f>IFERROR(VLOOKUP(B9,'[9]Matrícula total'!$C$9:$D$26,2,0),0)</f>
        <v>15481</v>
      </c>
      <c r="D9" s="55">
        <f t="shared" si="0"/>
        <v>8.8672631253365108E-2</v>
      </c>
      <c r="E9" s="56">
        <f t="shared" si="1"/>
        <v>239808.78374220536</v>
      </c>
    </row>
    <row r="10" spans="1:5" x14ac:dyDescent="0.25">
      <c r="A10" s="41" t="s">
        <v>128</v>
      </c>
      <c r="B10" s="66" t="s">
        <v>8</v>
      </c>
      <c r="C10" s="56">
        <f>IFERROR(VLOOKUP(B10,'[9]Matrícula total'!$C$9:$D$26,2,0),0)</f>
        <v>11674</v>
      </c>
      <c r="D10" s="55">
        <f t="shared" si="0"/>
        <v>6.6866759075756357E-2</v>
      </c>
      <c r="E10" s="56">
        <f t="shared" si="1"/>
        <v>180836.36337487921</v>
      </c>
    </row>
    <row r="11" spans="1:5" x14ac:dyDescent="0.25">
      <c r="A11" s="41" t="s">
        <v>17</v>
      </c>
      <c r="B11" s="66" t="s">
        <v>7</v>
      </c>
      <c r="C11" s="56">
        <f>IFERROR(VLOOKUP(B11,'[9]Matrícula total'!$C$9:$D$26,2,0),0)</f>
        <v>7517</v>
      </c>
      <c r="D11" s="55">
        <f t="shared" si="0"/>
        <v>4.3056144249825304E-2</v>
      </c>
      <c r="E11" s="56">
        <f t="shared" si="1"/>
        <v>116442.26002132664</v>
      </c>
    </row>
    <row r="12" spans="1:5" x14ac:dyDescent="0.25">
      <c r="A12" s="41" t="s">
        <v>129</v>
      </c>
      <c r="B12" s="66" t="s">
        <v>27</v>
      </c>
      <c r="C12" s="56">
        <f>IFERROR(VLOOKUP(B12,'[9]Matrícula total'!$C$9:$D$26,2,0),0)</f>
        <v>8158</v>
      </c>
      <c r="D12" s="55">
        <f t="shared" si="0"/>
        <v>4.6727687214324173E-2</v>
      </c>
      <c r="E12" s="56">
        <f t="shared" si="1"/>
        <v>126371.68514752996</v>
      </c>
    </row>
    <row r="13" spans="1:5" x14ac:dyDescent="0.25">
      <c r="A13" s="41" t="s">
        <v>30</v>
      </c>
      <c r="B13" s="66" t="s">
        <v>23</v>
      </c>
      <c r="C13" s="56">
        <f>IFERROR(VLOOKUP(B13,'[9]Matrícula total'!$C$9:$D$26,2,0),0)</f>
        <v>10209</v>
      </c>
      <c r="D13" s="55">
        <f t="shared" si="0"/>
        <v>5.847547913349295E-2</v>
      </c>
      <c r="E13" s="56">
        <f t="shared" si="1"/>
        <v>158142.74744681703</v>
      </c>
    </row>
    <row r="14" spans="1:5" x14ac:dyDescent="0.25">
      <c r="A14" s="41" t="s">
        <v>31</v>
      </c>
      <c r="B14" s="66" t="s">
        <v>24</v>
      </c>
      <c r="C14" s="56">
        <f>IFERROR(VLOOKUP(B14,'[9]Matrícula total'!$C$9:$D$26,2,0),0)</f>
        <v>7106</v>
      </c>
      <c r="D14" s="55">
        <f t="shared" si="0"/>
        <v>4.0702003597081093E-2</v>
      </c>
      <c r="E14" s="56">
        <f t="shared" si="1"/>
        <v>110075.65514321499</v>
      </c>
    </row>
    <row r="15" spans="1:5" x14ac:dyDescent="0.25">
      <c r="A15" s="41" t="s">
        <v>32</v>
      </c>
      <c r="B15" s="66" t="s">
        <v>25</v>
      </c>
      <c r="C15" s="56">
        <f>IFERROR(VLOOKUP(B15,'[9]Matrícula total'!$C$9:$D$26,2,0),0)</f>
        <v>8721</v>
      </c>
      <c r="D15" s="55">
        <f t="shared" si="0"/>
        <v>4.9952458960054069E-2</v>
      </c>
      <c r="E15" s="56">
        <f t="shared" si="1"/>
        <v>135092.84949394566</v>
      </c>
    </row>
    <row r="16" spans="1:5" x14ac:dyDescent="0.25">
      <c r="A16" s="41" t="s">
        <v>33</v>
      </c>
      <c r="B16" s="66" t="s">
        <v>26</v>
      </c>
      <c r="C16" s="56">
        <f>IFERROR(VLOOKUP(B16,'[9]Matrícula total'!$C$9:$D$26,2,0),0)</f>
        <v>4172</v>
      </c>
      <c r="D16" s="55">
        <f t="shared" si="0"/>
        <v>2.3896532368002016E-2</v>
      </c>
      <c r="E16" s="56">
        <f t="shared" si="1"/>
        <v>64626.461195819436</v>
      </c>
    </row>
    <row r="17" spans="1:5" x14ac:dyDescent="0.25">
      <c r="A17" s="41" t="s">
        <v>130</v>
      </c>
      <c r="B17" s="66" t="s">
        <v>28</v>
      </c>
      <c r="C17" s="56">
        <f>IFERROR(VLOOKUP(B17,'[9]Matrícula total'!$C$9:$D$26,2,0),0)</f>
        <v>4853</v>
      </c>
      <c r="D17" s="55">
        <f t="shared" si="0"/>
        <v>2.7797188778023438E-2</v>
      </c>
      <c r="E17" s="56">
        <f t="shared" si="1"/>
        <v>75175.507234734352</v>
      </c>
    </row>
    <row r="18" spans="1:5" x14ac:dyDescent="0.25">
      <c r="A18" s="41" t="s">
        <v>131</v>
      </c>
      <c r="B18" s="66" t="s">
        <v>29</v>
      </c>
      <c r="C18" s="56">
        <f>IFERROR(VLOOKUP(B18,'[9]Matrícula total'!$C$9:$D$26,2,0),0)</f>
        <v>8906</v>
      </c>
      <c r="D18" s="55">
        <f t="shared" si="0"/>
        <v>5.1012108645595869E-2</v>
      </c>
      <c r="E18" s="56">
        <f t="shared" si="1"/>
        <v>137958.59621523682</v>
      </c>
    </row>
    <row r="19" spans="1:5" x14ac:dyDescent="0.25">
      <c r="A19" s="41" t="s">
        <v>92</v>
      </c>
      <c r="B19" s="66" t="s">
        <v>93</v>
      </c>
      <c r="C19" s="56">
        <f>IFERROR(VLOOKUP(B19,'[9]Matrícula total'!$C$9:$D$26,2,0),0)</f>
        <v>1267</v>
      </c>
      <c r="D19" s="55">
        <f t="shared" si="0"/>
        <v>7.2571683869267871E-3</v>
      </c>
      <c r="E19" s="56">
        <f t="shared" si="1"/>
        <v>19626.492410139796</v>
      </c>
    </row>
    <row r="20" spans="1:5" x14ac:dyDescent="0.25">
      <c r="A20" s="41" t="s">
        <v>94</v>
      </c>
      <c r="B20" s="66" t="s">
        <v>95</v>
      </c>
      <c r="C20" s="56">
        <f>IFERROR(VLOOKUP(B20,'[9]Matrícula total'!$C$9:$D$26,2,0),0)</f>
        <v>199</v>
      </c>
      <c r="D20" s="55">
        <f t="shared" si="0"/>
        <v>1.1398393914746887E-3</v>
      </c>
      <c r="E20" s="56">
        <f t="shared" si="1"/>
        <v>3082.614040740189</v>
      </c>
    </row>
    <row r="21" spans="1:5" x14ac:dyDescent="0.25">
      <c r="C21" s="63">
        <f>SUM(C3:C20)</f>
        <v>174586</v>
      </c>
      <c r="D21" s="63">
        <f>SUM(D3:D20)</f>
        <v>1</v>
      </c>
      <c r="E21" s="63">
        <f>SUM(E3:E20)</f>
        <v>2704428.416666666</v>
      </c>
    </row>
    <row r="22" spans="1:5" x14ac:dyDescent="0.25">
      <c r="C22" t="s">
        <v>203</v>
      </c>
      <c r="D22" t="s">
        <v>205</v>
      </c>
      <c r="E22" t="s">
        <v>206</v>
      </c>
    </row>
    <row r="23" spans="1:5" x14ac:dyDescent="0.25">
      <c r="C23" t="s">
        <v>204</v>
      </c>
    </row>
    <row r="24" spans="1:5" x14ac:dyDescent="0.25">
      <c r="A24" t="s">
        <v>133</v>
      </c>
      <c r="B24" s="6">
        <f>'Montos AIUE 2019'!B37/6</f>
        <v>2704428.4166666665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Montos AIUE 2019</vt:lpstr>
      <vt:lpstr>Montos AIUE 2019 Anticipo</vt:lpstr>
      <vt:lpstr>Categorías</vt:lpstr>
      <vt:lpstr>Valores</vt:lpstr>
      <vt:lpstr>Indicadores</vt:lpstr>
      <vt:lpstr>Publicaciones</vt:lpstr>
      <vt:lpstr>Acreditación</vt:lpstr>
      <vt:lpstr>Doctorado JC </vt:lpstr>
      <vt:lpstr>Programas Doct. Acreditados </vt:lpstr>
      <vt:lpstr>Académicos JC </vt:lpstr>
      <vt:lpstr>Matrícula Regular Pre </vt:lpstr>
      <vt:lpstr>'Montos AIUE 2019 Anticipo'!Área_de_impresión</vt:lpstr>
      <vt:lpstr>'Montos AIUE 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Roxana Acuña Molina</cp:lastModifiedBy>
  <cp:lastPrinted>2019-08-30T20:10:02Z</cp:lastPrinted>
  <dcterms:created xsi:type="dcterms:W3CDTF">2016-05-30T15:19:10Z</dcterms:created>
  <dcterms:modified xsi:type="dcterms:W3CDTF">2019-08-30T20:24:06Z</dcterms:modified>
</cp:coreProperties>
</file>