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CD Basal/FI 2022/"/>
    </mc:Choice>
  </mc:AlternateContent>
  <xr:revisionPtr revIDLastSave="32" documentId="8_{A434B6E3-0D39-4031-AC77-4F823E033A5E}" xr6:coauthVersionLast="47" xr6:coauthVersionMax="47" xr10:uidLastSave="{F93BF0D0-6511-4427-BA0A-E5349480BB9A}"/>
  <bookViews>
    <workbookView xWindow="-120" yWindow="-120" windowWidth="20730" windowHeight="11160" xr2:uid="{58240367-98E5-40ED-9E6A-5348AFFDA918}"/>
  </bookViews>
  <sheets>
    <sheet name="FI 2022" sheetId="15" r:id="rId1"/>
    <sheet name="I.Acreditación Institucional" sheetId="2" r:id="rId2"/>
    <sheet name="II.Doctorados Acreditados" sheetId="3" r:id="rId3"/>
    <sheet name="III. Planta Académica" sheetId="14" r:id="rId4"/>
    <sheet name="IV. Publicaciones por acad." sheetId="9" r:id="rId5"/>
    <sheet name="V.Citas" sheetId="6" r:id="rId6"/>
    <sheet name="VI. Proyectos" sheetId="7" r:id="rId7"/>
    <sheet name="VII. Publicaciones" sheetId="16" r:id="rId8"/>
  </sheets>
  <definedNames>
    <definedName name="_xlnm.Print_Area" localSheetId="0">'FI 2022'!$A$1:$Q$27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7" i="15" l="1"/>
  <c r="P27" i="15" l="1"/>
  <c r="O27" i="15" l="1"/>
  <c r="N26" i="15" l="1"/>
  <c r="S26" i="15" s="1"/>
  <c r="J13" i="16" l="1"/>
  <c r="H13" i="16"/>
  <c r="K13" i="16"/>
  <c r="L13" i="16" s="1"/>
  <c r="E14" i="16" l="1"/>
  <c r="F14" i="16"/>
  <c r="G14" i="16"/>
  <c r="D14" i="16"/>
  <c r="D14" i="7" l="1"/>
  <c r="E13" i="7" s="1"/>
  <c r="E13" i="6" l="1"/>
  <c r="F12" i="6" l="1"/>
  <c r="F12" i="9"/>
  <c r="D13" i="6" l="1"/>
  <c r="D13" i="9"/>
  <c r="R12" i="14" l="1"/>
  <c r="Q12" i="14"/>
  <c r="H13" i="14"/>
  <c r="I13" i="14"/>
  <c r="J13" i="14"/>
  <c r="K13" i="14"/>
  <c r="N12" i="14"/>
  <c r="D13" i="14" l="1"/>
  <c r="O12" i="14"/>
  <c r="P12" i="14" s="1"/>
  <c r="S12" i="14"/>
  <c r="G13" i="14"/>
  <c r="F13" i="14"/>
  <c r="E13" i="14"/>
  <c r="U12" i="14" l="1"/>
  <c r="V12" i="14" s="1"/>
  <c r="J8" i="3" l="1"/>
  <c r="J12" i="3"/>
  <c r="J7" i="3" l="1"/>
  <c r="J10" i="3"/>
  <c r="J6" i="3"/>
  <c r="J11" i="3"/>
  <c r="J9" i="3"/>
  <c r="J5" i="3"/>
  <c r="I10" i="3"/>
  <c r="I6" i="3"/>
  <c r="I9" i="3"/>
  <c r="I12" i="3"/>
  <c r="I8" i="3"/>
  <c r="I5" i="3"/>
  <c r="I11" i="3"/>
  <c r="I7" i="3"/>
  <c r="D13" i="3"/>
  <c r="D13" i="2" l="1"/>
  <c r="I12" i="2"/>
  <c r="H12" i="2"/>
  <c r="G12" i="2"/>
  <c r="J12" i="2" l="1"/>
  <c r="E13" i="2" l="1"/>
  <c r="F13" i="2"/>
  <c r="E15" i="15" l="1"/>
  <c r="D15" i="15"/>
  <c r="R10" i="14" l="1"/>
  <c r="R11" i="14"/>
  <c r="O5" i="14"/>
  <c r="O10" i="14"/>
  <c r="O11" i="14"/>
  <c r="Q10" i="14"/>
  <c r="Q11" i="14"/>
  <c r="N10" i="14"/>
  <c r="P10" i="14" s="1"/>
  <c r="N11" i="14"/>
  <c r="P11" i="14" s="1"/>
  <c r="N4" i="14"/>
  <c r="E13" i="9" l="1"/>
  <c r="S11" i="14"/>
  <c r="S10" i="14"/>
  <c r="U10" i="14" s="1"/>
  <c r="V10" i="14" s="1"/>
  <c r="U11" i="14"/>
  <c r="V11" i="14" s="1"/>
  <c r="N24" i="15" l="1"/>
  <c r="S24" i="15" s="1"/>
  <c r="N25" i="15"/>
  <c r="S25" i="15" s="1"/>
  <c r="H12" i="16"/>
  <c r="H5" i="16"/>
  <c r="J12" i="16"/>
  <c r="J5" i="16"/>
  <c r="F10" i="6"/>
  <c r="F11" i="6"/>
  <c r="J11" i="16" l="1"/>
  <c r="H11" i="16"/>
  <c r="K12" i="16"/>
  <c r="L12" i="16" s="1"/>
  <c r="F10" i="9"/>
  <c r="F11" i="9"/>
  <c r="K11" i="16" l="1"/>
  <c r="L11" i="16" s="1"/>
  <c r="H13" i="3"/>
  <c r="G13" i="3"/>
  <c r="F13" i="3"/>
  <c r="E13" i="3"/>
  <c r="I10" i="2"/>
  <c r="I11" i="2"/>
  <c r="G5" i="2"/>
  <c r="G6" i="2"/>
  <c r="G7" i="2"/>
  <c r="G8" i="2"/>
  <c r="G9" i="2"/>
  <c r="G10" i="2"/>
  <c r="G11" i="2"/>
  <c r="H7" i="2"/>
  <c r="H11" i="2"/>
  <c r="H5" i="2"/>
  <c r="H10" i="2"/>
  <c r="H6" i="2"/>
  <c r="H8" i="2"/>
  <c r="J11" i="2" l="1"/>
  <c r="J10" i="2"/>
  <c r="H9" i="2" l="1"/>
  <c r="E12" i="7" l="1"/>
  <c r="E11" i="7"/>
  <c r="R4" i="14" l="1"/>
  <c r="J4" i="3" l="1"/>
  <c r="J13" i="3" s="1"/>
  <c r="K12" i="3" s="1"/>
  <c r="I4" i="3"/>
  <c r="I13" i="3" s="1"/>
  <c r="K9" i="3" l="1"/>
  <c r="K5" i="3"/>
  <c r="K6" i="3"/>
  <c r="K10" i="3"/>
  <c r="K11" i="3"/>
  <c r="K8" i="3"/>
  <c r="K7" i="3"/>
  <c r="G4" i="2"/>
  <c r="G13" i="2" s="1"/>
  <c r="K4" i="3" l="1"/>
  <c r="C13" i="15"/>
  <c r="D16" i="15" s="1"/>
  <c r="K13" i="3" l="1"/>
  <c r="E16" i="15"/>
  <c r="F16" i="15"/>
  <c r="G16" i="15"/>
  <c r="H16" i="15"/>
  <c r="I16" i="15"/>
  <c r="I26" i="15" l="1"/>
  <c r="I24" i="15"/>
  <c r="I25" i="15"/>
  <c r="E26" i="15"/>
  <c r="E21" i="15"/>
  <c r="E25" i="15"/>
  <c r="E20" i="15"/>
  <c r="E22" i="15"/>
  <c r="E23" i="15"/>
  <c r="E24" i="15"/>
  <c r="E19" i="15"/>
  <c r="E18" i="15"/>
  <c r="J16" i="15"/>
  <c r="J7" i="16"/>
  <c r="J6" i="16"/>
  <c r="J8" i="16"/>
  <c r="J10" i="16"/>
  <c r="H6" i="16"/>
  <c r="H8" i="16"/>
  <c r="J9" i="16"/>
  <c r="H10" i="16"/>
  <c r="K5" i="16"/>
  <c r="H7" i="16"/>
  <c r="H9" i="16"/>
  <c r="K9" i="16" s="1"/>
  <c r="E27" i="15" l="1"/>
  <c r="H14" i="16"/>
  <c r="J14" i="16"/>
  <c r="K10" i="16"/>
  <c r="L10" i="16" s="1"/>
  <c r="L5" i="16"/>
  <c r="K16" i="15"/>
  <c r="K7" i="16"/>
  <c r="L7" i="16" s="1"/>
  <c r="K8" i="16"/>
  <c r="L8" i="16" s="1"/>
  <c r="K6" i="16"/>
  <c r="L9" i="16"/>
  <c r="I7" i="16" l="1"/>
  <c r="I13" i="16"/>
  <c r="P13" i="16" s="1"/>
  <c r="K14" i="16"/>
  <c r="I11" i="16"/>
  <c r="P11" i="16" s="1"/>
  <c r="I12" i="16"/>
  <c r="P12" i="16" s="1"/>
  <c r="L6" i="16"/>
  <c r="I10" i="16"/>
  <c r="I8" i="16"/>
  <c r="I6" i="16"/>
  <c r="I9" i="16"/>
  <c r="I5" i="16"/>
  <c r="P7" i="16"/>
  <c r="P5" i="16" l="1"/>
  <c r="I14" i="16"/>
  <c r="L14" i="16"/>
  <c r="P10" i="16"/>
  <c r="P6" i="16"/>
  <c r="P9" i="16"/>
  <c r="P8" i="16"/>
  <c r="M5" i="16" l="1"/>
  <c r="Q5" i="16" s="1"/>
  <c r="M13" i="16"/>
  <c r="Q13" i="16" s="1"/>
  <c r="R13" i="16" s="1"/>
  <c r="J26" i="15" s="1"/>
  <c r="P14" i="16"/>
  <c r="M12" i="16"/>
  <c r="Q12" i="16" s="1"/>
  <c r="R12" i="16" s="1"/>
  <c r="J25" i="15" s="1"/>
  <c r="M11" i="16"/>
  <c r="Q11" i="16" s="1"/>
  <c r="R11" i="16" s="1"/>
  <c r="J24" i="15" s="1"/>
  <c r="R5" i="16"/>
  <c r="J18" i="15" s="1"/>
  <c r="M7" i="16"/>
  <c r="Q7" i="16" s="1"/>
  <c r="R7" i="16" s="1"/>
  <c r="J23" i="15" s="1"/>
  <c r="M9" i="16"/>
  <c r="Q9" i="16" s="1"/>
  <c r="R9" i="16" s="1"/>
  <c r="J21" i="15" s="1"/>
  <c r="M8" i="16"/>
  <c r="Q8" i="16" s="1"/>
  <c r="R8" i="16" s="1"/>
  <c r="J20" i="15" s="1"/>
  <c r="M10" i="16"/>
  <c r="Q10" i="16" s="1"/>
  <c r="R10" i="16" s="1"/>
  <c r="J22" i="15" s="1"/>
  <c r="M6" i="16"/>
  <c r="Q6" i="16" l="1"/>
  <c r="M14" i="16"/>
  <c r="R6" i="16" l="1"/>
  <c r="J19" i="15" s="1"/>
  <c r="Q14" i="16"/>
  <c r="Y13" i="14"/>
  <c r="J27" i="15" l="1"/>
  <c r="R14" i="16"/>
  <c r="F9" i="6"/>
  <c r="F4" i="6"/>
  <c r="F8" i="6"/>
  <c r="F6" i="6"/>
  <c r="F7" i="6"/>
  <c r="F5" i="6"/>
  <c r="E5" i="7"/>
  <c r="F13" i="6" l="1"/>
  <c r="G12" i="6" s="1"/>
  <c r="H26" i="15" s="1"/>
  <c r="I18" i="15"/>
  <c r="E6" i="7"/>
  <c r="I19" i="15" s="1"/>
  <c r="E8" i="7"/>
  <c r="I20" i="15" s="1"/>
  <c r="E10" i="7"/>
  <c r="I22" i="15" s="1"/>
  <c r="E9" i="7"/>
  <c r="I21" i="15" s="1"/>
  <c r="E7" i="7"/>
  <c r="I23" i="15" s="1"/>
  <c r="G5" i="6" l="1"/>
  <c r="H19" i="15" s="1"/>
  <c r="E14" i="7"/>
  <c r="I27" i="15"/>
  <c r="G11" i="6"/>
  <c r="H25" i="15" s="1"/>
  <c r="G10" i="6"/>
  <c r="H24" i="15" s="1"/>
  <c r="G9" i="6"/>
  <c r="H22" i="15" s="1"/>
  <c r="G4" i="6"/>
  <c r="G8" i="6"/>
  <c r="H21" i="15" s="1"/>
  <c r="G7" i="6"/>
  <c r="H20" i="15" s="1"/>
  <c r="G6" i="6"/>
  <c r="H23" i="15" s="1"/>
  <c r="G13" i="6" l="1"/>
  <c r="H18" i="15"/>
  <c r="H27" i="15" s="1"/>
  <c r="N23" i="15"/>
  <c r="S23" i="15" s="1"/>
  <c r="N22" i="15"/>
  <c r="S22" i="15" s="1"/>
  <c r="N21" i="15"/>
  <c r="S21" i="15" s="1"/>
  <c r="N20" i="15"/>
  <c r="S20" i="15" s="1"/>
  <c r="N19" i="15"/>
  <c r="S19" i="15" s="1"/>
  <c r="N18" i="15"/>
  <c r="S18" i="15" s="1"/>
  <c r="Q4" i="14" l="1"/>
  <c r="O9" i="14"/>
  <c r="N5" i="14"/>
  <c r="N6" i="14"/>
  <c r="N7" i="14"/>
  <c r="N8" i="14"/>
  <c r="N9" i="14"/>
  <c r="O4" i="14"/>
  <c r="O6" i="14"/>
  <c r="O7" i="14"/>
  <c r="O8" i="14"/>
  <c r="Q7" i="14"/>
  <c r="R5" i="14"/>
  <c r="Q6" i="14"/>
  <c r="R7" i="14"/>
  <c r="R8" i="14"/>
  <c r="R6" i="14"/>
  <c r="Q9" i="14"/>
  <c r="Q5" i="14"/>
  <c r="Q8" i="14"/>
  <c r="R9" i="14"/>
  <c r="O13" i="14" l="1"/>
  <c r="P5" i="14"/>
  <c r="N13" i="14"/>
  <c r="R13" i="14"/>
  <c r="S4" i="14"/>
  <c r="Q13" i="14"/>
  <c r="P9" i="14"/>
  <c r="P7" i="14"/>
  <c r="P6" i="14"/>
  <c r="P8" i="14"/>
  <c r="P4" i="14"/>
  <c r="S7" i="14"/>
  <c r="S8" i="14"/>
  <c r="S5" i="14"/>
  <c r="S6" i="14"/>
  <c r="S9" i="14"/>
  <c r="S13" i="14" l="1"/>
  <c r="T12" i="14" s="1"/>
  <c r="Z12" i="14" s="1"/>
  <c r="P13" i="14"/>
  <c r="U9" i="14"/>
  <c r="V9" i="14" s="1"/>
  <c r="T4" i="14"/>
  <c r="U4" i="14"/>
  <c r="V4" i="14" s="1"/>
  <c r="U7" i="14"/>
  <c r="V7" i="14" s="1"/>
  <c r="U6" i="14"/>
  <c r="V6" i="14" s="1"/>
  <c r="U5" i="14"/>
  <c r="V5" i="14" s="1"/>
  <c r="U8" i="14"/>
  <c r="V8" i="14" s="1"/>
  <c r="V13" i="14" l="1"/>
  <c r="W12" i="14" s="1"/>
  <c r="AA12" i="14" s="1"/>
  <c r="AB12" i="14" s="1"/>
  <c r="F26" i="15" s="1"/>
  <c r="Z4" i="14"/>
  <c r="T7" i="14"/>
  <c r="Z7" i="14" s="1"/>
  <c r="T11" i="14"/>
  <c r="Z11" i="14" s="1"/>
  <c r="T10" i="14"/>
  <c r="Z10" i="14" s="1"/>
  <c r="T6" i="14"/>
  <c r="T8" i="14"/>
  <c r="T5" i="14"/>
  <c r="T9" i="14"/>
  <c r="T13" i="14" l="1"/>
  <c r="W6" i="14"/>
  <c r="AA6" i="14" s="1"/>
  <c r="W11" i="14"/>
  <c r="AA11" i="14" s="1"/>
  <c r="AB11" i="14" s="1"/>
  <c r="F25" i="15" s="1"/>
  <c r="W10" i="14"/>
  <c r="AA10" i="14" s="1"/>
  <c r="AB10" i="14" s="1"/>
  <c r="F24" i="15" s="1"/>
  <c r="W4" i="14"/>
  <c r="W8" i="14"/>
  <c r="W9" i="14"/>
  <c r="W7" i="14"/>
  <c r="W5" i="14"/>
  <c r="Z8" i="14"/>
  <c r="Z5" i="14"/>
  <c r="Z9" i="14"/>
  <c r="Z6" i="14"/>
  <c r="Z13" i="14" l="1"/>
  <c r="AA4" i="14"/>
  <c r="W13" i="14"/>
  <c r="AB6" i="14"/>
  <c r="F23" i="15" s="1"/>
  <c r="AA9" i="14"/>
  <c r="AA8" i="14"/>
  <c r="AB8" i="14" s="1"/>
  <c r="F21" i="15" s="1"/>
  <c r="AA5" i="14"/>
  <c r="AA7" i="14"/>
  <c r="AA13" i="14" l="1"/>
  <c r="AB9" i="14"/>
  <c r="F22" i="15" s="1"/>
  <c r="AB7" i="14"/>
  <c r="F20" i="15" s="1"/>
  <c r="AB5" i="14"/>
  <c r="F19" i="15" s="1"/>
  <c r="AB4" i="14"/>
  <c r="F18" i="15" l="1"/>
  <c r="F27" i="15" s="1"/>
  <c r="AB13" i="14"/>
  <c r="I5" i="2"/>
  <c r="J5" i="2" s="1"/>
  <c r="I6" i="2"/>
  <c r="J6" i="2" s="1"/>
  <c r="I7" i="2"/>
  <c r="J7" i="2" s="1"/>
  <c r="I8" i="2"/>
  <c r="J8" i="2" s="1"/>
  <c r="I9" i="2"/>
  <c r="J9" i="2" s="1"/>
  <c r="I4" i="2"/>
  <c r="I13" i="2" l="1"/>
  <c r="F9" i="9"/>
  <c r="F8" i="9"/>
  <c r="F6" i="9"/>
  <c r="F4" i="9"/>
  <c r="F5" i="9" l="1"/>
  <c r="F7" i="9"/>
  <c r="F13" i="9" l="1"/>
  <c r="G10" i="9" s="1"/>
  <c r="G24" i="15" s="1"/>
  <c r="G8" i="9" l="1"/>
  <c r="G21" i="15" s="1"/>
  <c r="G7" i="9"/>
  <c r="G20" i="15" s="1"/>
  <c r="G9" i="9"/>
  <c r="G22" i="15" s="1"/>
  <c r="G6" i="9"/>
  <c r="G23" i="15" s="1"/>
  <c r="G11" i="9"/>
  <c r="G25" i="15" s="1"/>
  <c r="G5" i="9"/>
  <c r="G19" i="15" s="1"/>
  <c r="G4" i="9"/>
  <c r="G18" i="15" s="1"/>
  <c r="G12" i="9"/>
  <c r="G26" i="15" s="1"/>
  <c r="G13" i="9" l="1"/>
  <c r="G27" i="15"/>
  <c r="H4" i="2"/>
  <c r="J4" i="2" l="1"/>
  <c r="J13" i="2" s="1"/>
  <c r="K12" i="2" s="1"/>
  <c r="D26" i="15" s="1"/>
  <c r="K26" i="15" s="1"/>
  <c r="H13" i="2"/>
  <c r="K4" i="2" l="1"/>
  <c r="D18" i="15" s="1"/>
  <c r="K10" i="2"/>
  <c r="K11" i="2"/>
  <c r="K6" i="2"/>
  <c r="D23" i="15" s="1"/>
  <c r="K9" i="2"/>
  <c r="D22" i="15" s="1"/>
  <c r="K7" i="2"/>
  <c r="D20" i="15" s="1"/>
  <c r="K8" i="2"/>
  <c r="D21" i="15" s="1"/>
  <c r="K5" i="2"/>
  <c r="D19" i="15" s="1"/>
  <c r="D25" i="15" l="1"/>
  <c r="K25" i="15" s="1"/>
  <c r="D24" i="15"/>
  <c r="D27" i="15" s="1"/>
  <c r="K13" i="2"/>
  <c r="K21" i="15"/>
  <c r="K20" i="15"/>
  <c r="K22" i="15"/>
  <c r="K23" i="15"/>
  <c r="K18" i="15"/>
  <c r="K24" i="15" l="1"/>
  <c r="K19" i="15"/>
  <c r="L27" i="15" l="1"/>
  <c r="K27" i="15"/>
  <c r="M26" i="15" l="1"/>
  <c r="L28" i="15"/>
  <c r="M25" i="15"/>
  <c r="M24" i="15"/>
  <c r="M18" i="15"/>
  <c r="M19" i="15"/>
  <c r="M23" i="15"/>
  <c r="M20" i="15"/>
  <c r="M21" i="15"/>
  <c r="M22" i="15"/>
  <c r="M27" i="15" l="1"/>
</calcChain>
</file>

<file path=xl/sharedStrings.xml><?xml version="1.0" encoding="utf-8"?>
<sst xmlns="http://schemas.openxmlformats.org/spreadsheetml/2006/main" count="419" uniqueCount="139">
  <si>
    <t>Codigo</t>
  </si>
  <si>
    <t>Nombre IES</t>
  </si>
  <si>
    <t>UDP</t>
  </si>
  <si>
    <t>U. DIEGO PORTALES</t>
  </si>
  <si>
    <t>UAH</t>
  </si>
  <si>
    <t>U. ALBERTO HURTADO</t>
  </si>
  <si>
    <t>UCS</t>
  </si>
  <si>
    <t>U. CATÓLICA CARDENAL RAUL SILVA HENRIQUEZ</t>
  </si>
  <si>
    <t>UAU</t>
  </si>
  <si>
    <t>U. AUTONOMA DE CHILE</t>
  </si>
  <si>
    <t>UFT</t>
  </si>
  <si>
    <t>U. FINIS TERRAE</t>
  </si>
  <si>
    <t>AHC</t>
  </si>
  <si>
    <t>U. ACADEMIA DE HUMANISMO CRISTIANO</t>
  </si>
  <si>
    <t>TOTAL</t>
  </si>
  <si>
    <t>Monto por Indicador</t>
  </si>
  <si>
    <t>Doctorados Acreditados</t>
  </si>
  <si>
    <t>Planta Académica</t>
  </si>
  <si>
    <t>Publicaciones</t>
  </si>
  <si>
    <t>Proyectos</t>
  </si>
  <si>
    <t>N°</t>
  </si>
  <si>
    <t>Citas por publicación</t>
  </si>
  <si>
    <t>Total M$</t>
  </si>
  <si>
    <t>Total Final Redondeado M$</t>
  </si>
  <si>
    <t>Puntaje Acreditación</t>
  </si>
  <si>
    <t>IES</t>
  </si>
  <si>
    <t>Cod_IES</t>
  </si>
  <si>
    <t>Nº de Académicos JC* 2018 con grado de Doctor</t>
  </si>
  <si>
    <t>Nº total de Académicos JC* 2018</t>
  </si>
  <si>
    <t>Publicaciones Scopus 2017</t>
  </si>
  <si>
    <t>5 áreas</t>
  </si>
  <si>
    <t>Investigación</t>
  </si>
  <si>
    <t>Puntaje Años Acreditación Institucional</t>
  </si>
  <si>
    <t>% Planta Académica Total
Parte I</t>
  </si>
  <si>
    <t>% Planta Académica Total
Parte II</t>
  </si>
  <si>
    <t>% Publicaciones
Parte II</t>
  </si>
  <si>
    <t>Parte II</t>
  </si>
  <si>
    <t>Ponderado</t>
  </si>
  <si>
    <t>Parte I</t>
  </si>
  <si>
    <t>% Planta academica</t>
  </si>
  <si>
    <t>% Publicaciones</t>
  </si>
  <si>
    <t xml:space="preserve">% Años Doctorados Acreditados
</t>
  </si>
  <si>
    <t>a)</t>
  </si>
  <si>
    <t>b)</t>
  </si>
  <si>
    <t>c)</t>
  </si>
  <si>
    <t>d)</t>
  </si>
  <si>
    <t>e)</t>
  </si>
  <si>
    <t>f)</t>
  </si>
  <si>
    <t>g)</t>
  </si>
  <si>
    <t>I.</t>
  </si>
  <si>
    <t>II.</t>
  </si>
  <si>
    <t>num</t>
  </si>
  <si>
    <t>den</t>
  </si>
  <si>
    <t>num/den</t>
  </si>
  <si>
    <t xml:space="preserve">num </t>
  </si>
  <si>
    <t>1p</t>
  </si>
  <si>
    <t>2p</t>
  </si>
  <si>
    <t>h)</t>
  </si>
  <si>
    <t>i)</t>
  </si>
  <si>
    <t>j)</t>
  </si>
  <si>
    <t>k)</t>
  </si>
  <si>
    <t>III.</t>
  </si>
  <si>
    <t>IV.</t>
  </si>
  <si>
    <t>V.</t>
  </si>
  <si>
    <t>VI.</t>
  </si>
  <si>
    <t>VII.</t>
  </si>
  <si>
    <t>N° Doctorados Acreditados 2 años</t>
  </si>
  <si>
    <t>N° Doctorados Acreditados 3 años</t>
  </si>
  <si>
    <t>N° Doctorados Acreditados 4 años</t>
  </si>
  <si>
    <t>N° Doctorados Acreditados 5 años</t>
  </si>
  <si>
    <t>Total N° Doctorados Acreditados</t>
  </si>
  <si>
    <t>% Acreditación Institucional</t>
  </si>
  <si>
    <t>suma</t>
  </si>
  <si>
    <t xml:space="preserve"> Publicaciones por académico</t>
  </si>
  <si>
    <t>Acreditación Institucional</t>
  </si>
  <si>
    <t>M$</t>
  </si>
  <si>
    <t>Capital</t>
  </si>
  <si>
    <t>N° Doctorados Acreditados 6 años</t>
  </si>
  <si>
    <t>Nº de Académicos JC* 2019 con grado de Doctor</t>
  </si>
  <si>
    <t>Nº total de Académicos JC* 2019</t>
  </si>
  <si>
    <t>Publicaciones Scopus 2018</t>
  </si>
  <si>
    <t>UBO</t>
  </si>
  <si>
    <t>UMA</t>
  </si>
  <si>
    <t>U. BERNARDO O HIGGINS</t>
  </si>
  <si>
    <t>U. MAYOR</t>
  </si>
  <si>
    <t>Publicaciones Scopus 2019</t>
  </si>
  <si>
    <t>Nº de Académicos JC* 2020 con grado de Doctor</t>
  </si>
  <si>
    <t>Nº total de Académicos JC* 2020</t>
  </si>
  <si>
    <t>e) (suma  b c d ) ponderados</t>
  </si>
  <si>
    <t>Acreditación al 31-12-2021</t>
  </si>
  <si>
    <t>U. SANTO TOMÁS</t>
  </si>
  <si>
    <t>UST</t>
  </si>
  <si>
    <t>Montos FI 2022</t>
  </si>
  <si>
    <t>N° Años Doctorados Acreditados 
2021</t>
  </si>
  <si>
    <t>Nº de Académicos JC* 2021 con grado de Doctor</t>
  </si>
  <si>
    <t>Nº total de Académicos JC* 2021</t>
  </si>
  <si>
    <t>Académicos JC con Doctor 2018-2020</t>
  </si>
  <si>
    <t>Académicos JC 2018-2020</t>
  </si>
  <si>
    <t>% Planta Académica 2018-2020 por IES</t>
  </si>
  <si>
    <t>Académicos JC con Doctor
 2019-2021</t>
  </si>
  <si>
    <t>Académicos JC
 2019-2021</t>
  </si>
  <si>
    <t>% Planta Académica
 2019-2021 por IES</t>
  </si>
  <si>
    <t>variación
% 2021
v/s
% 2020
%</t>
  </si>
  <si>
    <t>variación CORREGIDA (pasando a 0 si es  negativos)
% 2021
v/s
% 2020
%</t>
  </si>
  <si>
    <t>Publicaciones Scopus 2016-2020</t>
  </si>
  <si>
    <t>Académicos JC 2016-2020</t>
  </si>
  <si>
    <t>Promedio Publicaciones Scopus por AJC 2016-2020</t>
  </si>
  <si>
    <t>% Publicaciones Scopus por AJC 2016-2020</t>
  </si>
  <si>
    <t>Citas Scopus 2016-2020</t>
  </si>
  <si>
    <t>Promedio Scopus citas por publicaciones 2016-2020</t>
  </si>
  <si>
    <t>%  Promedio Citas Scopus 2016-2020</t>
  </si>
  <si>
    <t>Proyectos 2021</t>
  </si>
  <si>
    <t>% Proyectos 2021</t>
  </si>
  <si>
    <t>Publicaciones Scopus 2020</t>
  </si>
  <si>
    <t>% Publicaciones
2018-2020
Parte I</t>
  </si>
  <si>
    <t xml:space="preserve">Variación 
2018-2020
v/S
2017-2019
FRECUENCIAS
</t>
  </si>
  <si>
    <t>FI 2022 %</t>
  </si>
  <si>
    <t>Total Presupuesto 2022</t>
  </si>
  <si>
    <t xml:space="preserve">Acreditación en Investigación </t>
  </si>
  <si>
    <t>N° áreas acreditadas Años</t>
  </si>
  <si>
    <t xml:space="preserve">Años Acreditación </t>
  </si>
  <si>
    <t>Volver a 
FI 2022</t>
  </si>
  <si>
    <t>Región Universidad
(casa central)</t>
  </si>
  <si>
    <t>Metropolitana de Santiago</t>
  </si>
  <si>
    <t>De La Araucanía</t>
  </si>
  <si>
    <t>Monto Transferencias de Capital
 M$</t>
  </si>
  <si>
    <t>Monto Transferencias Corrientes
 M$</t>
  </si>
  <si>
    <t>Aporte para Fomento de Investigación</t>
  </si>
  <si>
    <t>Distribución de Recursos por Institución</t>
  </si>
  <si>
    <t>Miles de pesos</t>
  </si>
  <si>
    <t>Ley de presupuestos año 2022</t>
  </si>
  <si>
    <t>Código DFI</t>
  </si>
  <si>
    <t>variación CORREGIDA (pasando a 0 si es  negativos)
tasa 2018-2020
v/s
tasa 2017-2019
%</t>
  </si>
  <si>
    <t>Publicaciones Scopus  
2017-2019</t>
  </si>
  <si>
    <t>Publicaciones Scopus  
2018-2020</t>
  </si>
  <si>
    <t>Abril de 2022</t>
  </si>
  <si>
    <t>Unidad de Análisis e Información , DFI - SUBESUP</t>
  </si>
  <si>
    <t>Corrientes</t>
  </si>
  <si>
    <t>Dec N°59-2022
Monto a Distribuir
 FI 2022
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</si>
</sst>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_ * #,##0.0_ ;_ * \-#,##0.0_ ;_ * &quot;-&quot;?_ ;_ @_ "/>
    <numFmt numFmtId="168" formatCode="0.0"/>
    <numFmt numFmtId="169" formatCode="0.0%"/>
    <numFmt numFmtId="170" formatCode="_-* #,##0\ _€_-;\-* #,##0\ _€_-;_-* &quot;-&quot;??\ _€_-;_-@_-"/>
    <numFmt numFmtId="171" formatCode="#,###"/>
    <numFmt numFmtId="172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theme="7" tint="0.39994506668294322"/>
      </left>
      <right style="thick">
        <color theme="7" tint="0.39994506668294322"/>
      </right>
      <top style="thick">
        <color theme="7" tint="0.39994506668294322"/>
      </top>
      <bottom/>
      <diagonal/>
    </border>
    <border>
      <left style="thick">
        <color theme="7" tint="0.39994506668294322"/>
      </left>
      <right style="thick">
        <color theme="7" tint="0.39994506668294322"/>
      </right>
      <top/>
      <bottom style="thick">
        <color theme="7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90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3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2" fillId="0" borderId="1" xfId="2" applyFont="1" applyBorder="1"/>
    <xf numFmtId="165" fontId="4" fillId="0" borderId="1" xfId="1" applyNumberFormat="1" applyFont="1" applyBorder="1"/>
    <xf numFmtId="2" fontId="2" fillId="0" borderId="1" xfId="2" applyNumberFormat="1" applyFont="1" applyBorder="1"/>
    <xf numFmtId="170" fontId="0" fillId="0" borderId="0" xfId="0" applyNumberFormat="1"/>
    <xf numFmtId="0" fontId="2" fillId="0" borderId="2" xfId="0" applyFont="1" applyBorder="1"/>
    <xf numFmtId="0" fontId="7" fillId="0" borderId="1" xfId="0" applyFont="1" applyBorder="1" applyAlignment="1">
      <alignment horizontal="left"/>
    </xf>
    <xf numFmtId="3" fontId="2" fillId="0" borderId="1" xfId="0" applyNumberFormat="1" applyFont="1" applyBorder="1"/>
    <xf numFmtId="0" fontId="8" fillId="0" borderId="1" xfId="0" applyFont="1" applyBorder="1"/>
    <xf numFmtId="165" fontId="9" fillId="0" borderId="1" xfId="1" applyNumberFormat="1" applyFont="1" applyBorder="1"/>
    <xf numFmtId="0" fontId="10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9" fontId="8" fillId="0" borderId="0" xfId="2" applyFont="1"/>
    <xf numFmtId="0" fontId="11" fillId="0" borderId="0" xfId="0" applyFont="1"/>
    <xf numFmtId="165" fontId="10" fillId="0" borderId="0" xfId="1" applyNumberFormat="1" applyFont="1"/>
    <xf numFmtId="167" fontId="8" fillId="0" borderId="0" xfId="0" applyNumberFormat="1" applyFont="1"/>
    <xf numFmtId="9" fontId="0" fillId="0" borderId="0" xfId="2" applyFont="1"/>
    <xf numFmtId="165" fontId="8" fillId="0" borderId="1" xfId="1" applyNumberFormat="1" applyFont="1" applyBorder="1"/>
    <xf numFmtId="165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4" fillId="0" borderId="0" xfId="0" applyFont="1" applyAlignment="1">
      <alignment horizontal="center"/>
    </xf>
    <xf numFmtId="168" fontId="2" fillId="0" borderId="1" xfId="0" applyNumberFormat="1" applyFont="1" applyBorder="1"/>
    <xf numFmtId="0" fontId="1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9" fontId="2" fillId="2" borderId="1" xfId="2" applyNumberFormat="1" applyFont="1" applyFill="1" applyBorder="1"/>
    <xf numFmtId="9" fontId="8" fillId="0" borderId="1" xfId="2" applyFont="1" applyBorder="1"/>
    <xf numFmtId="0" fontId="13" fillId="0" borderId="0" xfId="0" applyFont="1" applyAlignment="1">
      <alignment horizontal="center"/>
    </xf>
    <xf numFmtId="169" fontId="8" fillId="2" borderId="1" xfId="0" applyNumberFormat="1" applyFont="1" applyFill="1" applyBorder="1"/>
    <xf numFmtId="9" fontId="8" fillId="0" borderId="1" xfId="0" applyNumberFormat="1" applyFont="1" applyBorder="1"/>
    <xf numFmtId="0" fontId="12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left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70" fontId="4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8" fillId="0" borderId="6" xfId="0" applyFont="1" applyBorder="1"/>
    <xf numFmtId="3" fontId="2" fillId="0" borderId="6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165" fontId="9" fillId="0" borderId="15" xfId="0" applyNumberFormat="1" applyFont="1" applyBorder="1"/>
    <xf numFmtId="0" fontId="12" fillId="0" borderId="16" xfId="0" applyFont="1" applyBorder="1"/>
    <xf numFmtId="0" fontId="12" fillId="0" borderId="0" xfId="0" applyFont="1" applyBorder="1"/>
    <xf numFmtId="0" fontId="12" fillId="0" borderId="17" xfId="0" applyFont="1" applyBorder="1"/>
    <xf numFmtId="0" fontId="8" fillId="0" borderId="16" xfId="0" applyFont="1" applyBorder="1"/>
    <xf numFmtId="0" fontId="8" fillId="0" borderId="0" xfId="0" applyFont="1" applyBorder="1"/>
    <xf numFmtId="0" fontId="8" fillId="0" borderId="17" xfId="0" applyFont="1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0" xfId="0" applyFont="1"/>
    <xf numFmtId="0" fontId="17" fillId="0" borderId="0" xfId="0" applyFont="1" applyFill="1"/>
    <xf numFmtId="0" fontId="18" fillId="0" borderId="0" xfId="0" applyFont="1"/>
    <xf numFmtId="0" fontId="0" fillId="0" borderId="0" xfId="0" applyFill="1"/>
    <xf numFmtId="9" fontId="0" fillId="0" borderId="0" xfId="2" applyFont="1" applyFill="1"/>
    <xf numFmtId="0" fontId="19" fillId="0" borderId="0" xfId="0" applyFont="1"/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9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9" fontId="8" fillId="2" borderId="1" xfId="2" applyFont="1" applyFill="1" applyBorder="1"/>
    <xf numFmtId="9" fontId="8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4" fillId="2" borderId="1" xfId="0" applyFont="1" applyFill="1" applyBorder="1"/>
    <xf numFmtId="9" fontId="9" fillId="2" borderId="1" xfId="2" applyFont="1" applyFill="1" applyBorder="1"/>
    <xf numFmtId="10" fontId="2" fillId="2" borderId="1" xfId="2" applyNumberFormat="1" applyFont="1" applyFill="1" applyBorder="1"/>
    <xf numFmtId="9" fontId="2" fillId="2" borderId="1" xfId="2" applyFont="1" applyFill="1" applyBorder="1"/>
    <xf numFmtId="9" fontId="4" fillId="2" borderId="1" xfId="2" applyFont="1" applyFill="1" applyBorder="1"/>
    <xf numFmtId="0" fontId="9" fillId="2" borderId="1" xfId="0" applyFont="1" applyFill="1" applyBorder="1" applyAlignment="1">
      <alignment horizontal="center" vertical="center" wrapText="1"/>
    </xf>
    <xf numFmtId="9" fontId="8" fillId="2" borderId="1" xfId="2" applyFont="1" applyFill="1" applyBorder="1" applyAlignment="1">
      <alignment horizontal="center"/>
    </xf>
    <xf numFmtId="0" fontId="8" fillId="0" borderId="0" xfId="0" applyFont="1" applyFill="1" applyAlignment="1">
      <alignment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Fill="1" applyBorder="1"/>
    <xf numFmtId="168" fontId="21" fillId="0" borderId="1" xfId="0" applyNumberFormat="1" applyFont="1" applyFill="1" applyBorder="1"/>
    <xf numFmtId="168" fontId="21" fillId="0" borderId="1" xfId="0" applyNumberFormat="1" applyFont="1" applyBorder="1"/>
    <xf numFmtId="9" fontId="21" fillId="2" borderId="1" xfId="2" applyFont="1" applyFill="1" applyBorder="1"/>
    <xf numFmtId="0" fontId="20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9" fontId="20" fillId="0" borderId="1" xfId="2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2" borderId="2" xfId="0" applyFont="1" applyFill="1" applyBorder="1"/>
    <xf numFmtId="0" fontId="8" fillId="0" borderId="1" xfId="0" applyFont="1" applyFill="1" applyBorder="1"/>
    <xf numFmtId="0" fontId="2" fillId="0" borderId="1" xfId="0" applyFont="1" applyFill="1" applyBorder="1"/>
    <xf numFmtId="3" fontId="8" fillId="0" borderId="1" xfId="0" applyNumberFormat="1" applyFont="1" applyBorder="1" applyAlignment="1"/>
    <xf numFmtId="171" fontId="2" fillId="0" borderId="21" xfId="0" applyNumberFormat="1" applyFont="1" applyBorder="1"/>
    <xf numFmtId="0" fontId="5" fillId="0" borderId="1" xfId="0" applyFont="1" applyBorder="1" applyAlignment="1"/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21" fillId="0" borderId="1" xfId="0" applyFont="1" applyBorder="1"/>
    <xf numFmtId="172" fontId="20" fillId="0" borderId="1" xfId="0" applyNumberFormat="1" applyFont="1" applyBorder="1" applyAlignment="1">
      <alignment horizontal="center"/>
    </xf>
    <xf numFmtId="165" fontId="2" fillId="0" borderId="1" xfId="1" applyNumberFormat="1" applyFont="1" applyFill="1" applyBorder="1"/>
    <xf numFmtId="164" fontId="4" fillId="0" borderId="1" xfId="1" applyNumberFormat="1" applyFont="1" applyBorder="1"/>
    <xf numFmtId="165" fontId="8" fillId="0" borderId="15" xfId="1" applyNumberFormat="1" applyFont="1" applyFill="1" applyBorder="1"/>
    <xf numFmtId="165" fontId="0" fillId="0" borderId="0" xfId="0" applyNumberFormat="1"/>
    <xf numFmtId="0" fontId="8" fillId="0" borderId="0" xfId="0" applyFont="1" applyAlignment="1">
      <alignment vertical="center"/>
    </xf>
    <xf numFmtId="165" fontId="8" fillId="0" borderId="1" xfId="0" applyNumberFormat="1" applyFont="1" applyBorder="1" applyAlignment="1">
      <alignment horizontal="center" vertical="center" wrapText="1"/>
    </xf>
    <xf numFmtId="9" fontId="8" fillId="0" borderId="1" xfId="2" applyFont="1" applyBorder="1" applyAlignment="1">
      <alignment horizontal="center"/>
    </xf>
    <xf numFmtId="170" fontId="4" fillId="0" borderId="23" xfId="0" applyNumberFormat="1" applyFont="1" applyBorder="1"/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9" fontId="8" fillId="2" borderId="7" xfId="2" applyFont="1" applyFill="1" applyBorder="1"/>
    <xf numFmtId="0" fontId="4" fillId="2" borderId="3" xfId="0" applyFont="1" applyFill="1" applyBorder="1" applyAlignment="1">
      <alignment horizontal="center" vertical="center" wrapText="1"/>
    </xf>
    <xf numFmtId="170" fontId="4" fillId="0" borderId="24" xfId="0" applyNumberFormat="1" applyFont="1" applyBorder="1"/>
    <xf numFmtId="9" fontId="9" fillId="2" borderId="23" xfId="2" applyFont="1" applyFill="1" applyBorder="1"/>
    <xf numFmtId="9" fontId="2" fillId="2" borderId="7" xfId="2" applyFont="1" applyFill="1" applyBorder="1"/>
    <xf numFmtId="0" fontId="4" fillId="5" borderId="25" xfId="0" applyFont="1" applyFill="1" applyBorder="1" applyAlignment="1">
      <alignment horizontal="center" vertical="center" wrapText="1"/>
    </xf>
    <xf numFmtId="169" fontId="2" fillId="5" borderId="26" xfId="2" applyNumberFormat="1" applyFont="1" applyFill="1" applyBorder="1"/>
    <xf numFmtId="9" fontId="9" fillId="5" borderId="22" xfId="2" applyFont="1" applyFill="1" applyBorder="1"/>
    <xf numFmtId="0" fontId="4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/>
    <xf numFmtId="0" fontId="4" fillId="2" borderId="22" xfId="0" applyFont="1" applyFill="1" applyBorder="1"/>
    <xf numFmtId="0" fontId="4" fillId="5" borderId="14" xfId="0" applyFont="1" applyFill="1" applyBorder="1" applyAlignment="1">
      <alignment horizontal="center" vertical="center" wrapText="1"/>
    </xf>
    <xf numFmtId="169" fontId="2" fillId="5" borderId="15" xfId="2" applyNumberFormat="1" applyFont="1" applyFill="1" applyBorder="1"/>
    <xf numFmtId="9" fontId="9" fillId="5" borderId="27" xfId="2" applyFont="1" applyFill="1" applyBorder="1"/>
    <xf numFmtId="9" fontId="9" fillId="0" borderId="1" xfId="2" applyFont="1" applyBorder="1"/>
    <xf numFmtId="9" fontId="2" fillId="0" borderId="6" xfId="2" applyFont="1" applyBorder="1"/>
    <xf numFmtId="9" fontId="0" fillId="0" borderId="8" xfId="0" applyNumberFormat="1" applyBorder="1"/>
    <xf numFmtId="0" fontId="4" fillId="5" borderId="4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/>
    </xf>
    <xf numFmtId="9" fontId="8" fillId="5" borderId="7" xfId="2" applyFont="1" applyFill="1" applyBorder="1"/>
    <xf numFmtId="0" fontId="2" fillId="5" borderId="6" xfId="0" applyFont="1" applyFill="1" applyBorder="1"/>
    <xf numFmtId="0" fontId="10" fillId="5" borderId="8" xfId="0" applyFont="1" applyFill="1" applyBorder="1" applyAlignment="1">
      <alignment horizontal="right"/>
    </xf>
    <xf numFmtId="9" fontId="10" fillId="0" borderId="24" xfId="0" applyNumberFormat="1" applyFont="1" applyBorder="1"/>
    <xf numFmtId="9" fontId="10" fillId="5" borderId="23" xfId="0" applyNumberFormat="1" applyFont="1" applyFill="1" applyBorder="1"/>
    <xf numFmtId="9" fontId="23" fillId="0" borderId="6" xfId="2" applyFont="1" applyBorder="1"/>
    <xf numFmtId="9" fontId="16" fillId="2" borderId="1" xfId="2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41" fontId="4" fillId="6" borderId="1" xfId="5" applyFont="1" applyFill="1" applyBorder="1" applyAlignment="1"/>
    <xf numFmtId="0" fontId="9" fillId="6" borderId="1" xfId="0" applyFont="1" applyFill="1" applyBorder="1" applyAlignment="1">
      <alignment horizontal="center" vertical="center" wrapText="1"/>
    </xf>
    <xf numFmtId="166" fontId="9" fillId="6" borderId="1" xfId="0" applyNumberFormat="1" applyFont="1" applyFill="1" applyBorder="1"/>
    <xf numFmtId="0" fontId="9" fillId="7" borderId="1" xfId="0" applyFont="1" applyFill="1" applyBorder="1" applyAlignment="1">
      <alignment horizontal="center" vertical="center" wrapText="1"/>
    </xf>
    <xf numFmtId="10" fontId="9" fillId="7" borderId="1" xfId="2" applyNumberFormat="1" applyFont="1" applyFill="1" applyBorder="1"/>
    <xf numFmtId="166" fontId="9" fillId="7" borderId="1" xfId="0" applyNumberFormat="1" applyFont="1" applyFill="1" applyBorder="1"/>
    <xf numFmtId="166" fontId="9" fillId="6" borderId="1" xfId="1" applyNumberFormat="1" applyFont="1" applyFill="1" applyBorder="1"/>
    <xf numFmtId="166" fontId="9" fillId="7" borderId="1" xfId="1" applyNumberFormat="1" applyFont="1" applyFill="1" applyBorder="1"/>
    <xf numFmtId="0" fontId="8" fillId="7" borderId="1" xfId="0" applyFont="1" applyFill="1" applyBorder="1"/>
    <xf numFmtId="0" fontId="8" fillId="7" borderId="1" xfId="0" applyFont="1" applyFill="1" applyBorder="1" applyAlignment="1">
      <alignment horizontal="center"/>
    </xf>
    <xf numFmtId="169" fontId="9" fillId="7" borderId="1" xfId="2" applyNumberFormat="1" applyFont="1" applyFill="1" applyBorder="1"/>
    <xf numFmtId="0" fontId="8" fillId="2" borderId="1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9" fontId="2" fillId="2" borderId="3" xfId="2" applyNumberFormat="1" applyFont="1" applyFill="1" applyBorder="1"/>
    <xf numFmtId="165" fontId="9" fillId="0" borderId="1" xfId="0" applyNumberFormat="1" applyFont="1" applyBorder="1"/>
    <xf numFmtId="9" fontId="9" fillId="0" borderId="3" xfId="2" applyFont="1" applyBorder="1"/>
    <xf numFmtId="166" fontId="2" fillId="0" borderId="1" xfId="1" applyNumberFormat="1" applyFont="1" applyBorder="1"/>
    <xf numFmtId="165" fontId="8" fillId="0" borderId="6" xfId="1" applyNumberFormat="1" applyFont="1" applyFill="1" applyBorder="1"/>
    <xf numFmtId="165" fontId="8" fillId="0" borderId="7" xfId="1" applyNumberFormat="1" applyFont="1" applyFill="1" applyBorder="1"/>
    <xf numFmtId="165" fontId="9" fillId="0" borderId="6" xfId="0" applyNumberFormat="1" applyFont="1" applyBorder="1"/>
    <xf numFmtId="165" fontId="9" fillId="0" borderId="7" xfId="0" applyNumberFormat="1" applyFont="1" applyBorder="1"/>
    <xf numFmtId="0" fontId="8" fillId="2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165" fontId="8" fillId="0" borderId="1" xfId="1" applyNumberFormat="1" applyFont="1" applyFill="1" applyBorder="1"/>
    <xf numFmtId="166" fontId="9" fillId="6" borderId="30" xfId="0" applyNumberFormat="1" applyFont="1" applyFill="1" applyBorder="1"/>
    <xf numFmtId="0" fontId="16" fillId="0" borderId="0" xfId="0" applyFont="1"/>
    <xf numFmtId="14" fontId="19" fillId="0" borderId="0" xfId="0" applyNumberFormat="1" applyFont="1"/>
    <xf numFmtId="0" fontId="9" fillId="6" borderId="1" xfId="0" applyFont="1" applyFill="1" applyBorder="1" applyAlignment="1">
      <alignment horizontal="center" vertical="center"/>
    </xf>
    <xf numFmtId="0" fontId="3" fillId="6" borderId="1" xfId="3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2" fillId="3" borderId="28" xfId="6" applyFill="1" applyBorder="1" applyAlignment="1">
      <alignment horizontal="center" vertical="center" wrapText="1"/>
    </xf>
    <xf numFmtId="0" fontId="22" fillId="3" borderId="29" xfId="6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</cellXfs>
  <cellStyles count="7">
    <cellStyle name="Hipervínculo" xfId="6" builtinId="8"/>
    <cellStyle name="Millares" xfId="1" builtinId="3"/>
    <cellStyle name="Millares [0]" xfId="5" builtinId="6"/>
    <cellStyle name="Normal" xfId="0" builtinId="0"/>
    <cellStyle name="Normal 2" xfId="3" xr:uid="{992A81EA-7E29-4FDE-B6DC-D666B04B75B4}"/>
    <cellStyle name="Normal 4" xfId="4" xr:uid="{0D7C20CC-1107-4CB5-A2A2-413B8D4866A7}"/>
    <cellStyle name="Porcentaje" xfId="2" builtinId="5"/>
  </cellStyles>
  <dxfs count="0"/>
  <tableStyles count="0" defaultTableStyle="TableStyleMedium2" defaultPivotStyle="PivotStyleLight16"/>
  <colors>
    <mruColors>
      <color rgb="FFFFD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95247</xdr:colOff>
      <xdr:row>0</xdr:row>
      <xdr:rowOff>137579</xdr:rowOff>
    </xdr:from>
    <xdr:to>
      <xdr:col>16</xdr:col>
      <xdr:colOff>703359</xdr:colOff>
      <xdr:row>0</xdr:row>
      <xdr:rowOff>560314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DD2BFF-F683-412C-B80E-2A1C655B4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4080" y="137579"/>
          <a:ext cx="1433612" cy="42273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42333</xdr:rowOff>
    </xdr:from>
    <xdr:to>
      <xdr:col>1</xdr:col>
      <xdr:colOff>1145645</xdr:colOff>
      <xdr:row>1</xdr:row>
      <xdr:rowOff>9721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BC0967E-C1FB-4C07-AD3F-98CB629B9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2333"/>
          <a:ext cx="1262062" cy="1142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9811C-5016-4ED2-BAA3-0B620A4853EC}">
  <dimension ref="A1:W77"/>
  <sheetViews>
    <sheetView tabSelected="1" topLeftCell="A13" zoomScale="90" zoomScaleNormal="90" workbookViewId="0">
      <selection activeCell="O27" sqref="O27"/>
    </sheetView>
  </sheetViews>
  <sheetFormatPr baseColWidth="10" defaultRowHeight="12.75" x14ac:dyDescent="0.2"/>
  <cols>
    <col min="1" max="1" width="3.140625" style="17" customWidth="1"/>
    <col min="2" max="2" width="37.28515625" style="17" customWidth="1"/>
    <col min="3" max="3" width="9.42578125" style="17" customWidth="1"/>
    <col min="4" max="10" width="9.7109375" style="17" customWidth="1"/>
    <col min="11" max="11" width="13.7109375" style="17" customWidth="1"/>
    <col min="12" max="12" width="12.5703125" style="17" customWidth="1"/>
    <col min="13" max="13" width="7.28515625" style="17" customWidth="1"/>
    <col min="14" max="14" width="6.28515625" style="17" bestFit="1" customWidth="1"/>
    <col min="15" max="15" width="13.7109375" style="17" customWidth="1"/>
    <col min="16" max="16" width="12.42578125" style="17" customWidth="1"/>
    <col min="17" max="17" width="11" style="17" customWidth="1"/>
    <col min="18" max="18" width="1.5703125" style="17" customWidth="1"/>
    <col min="19" max="19" width="6.28515625" style="17" bestFit="1" customWidth="1"/>
    <col min="20" max="20" width="26" style="17" customWidth="1"/>
    <col min="21" max="16384" width="11.42578125" style="17"/>
  </cols>
  <sheetData>
    <row r="1" spans="2:11" ht="92.25" customHeight="1" x14ac:dyDescent="0.3">
      <c r="B1" s="20"/>
    </row>
    <row r="2" spans="2:11" ht="17.25" x14ac:dyDescent="0.3">
      <c r="B2" s="20"/>
    </row>
    <row r="3" spans="2:11" ht="17.25" x14ac:dyDescent="0.3">
      <c r="B3" s="20" t="s">
        <v>127</v>
      </c>
    </row>
    <row r="4" spans="2:11" ht="17.25" x14ac:dyDescent="0.3">
      <c r="B4" s="20" t="s">
        <v>128</v>
      </c>
    </row>
    <row r="5" spans="2:11" ht="17.25" x14ac:dyDescent="0.3">
      <c r="B5" s="20" t="s">
        <v>130</v>
      </c>
    </row>
    <row r="6" spans="2:11" ht="15" x14ac:dyDescent="0.25">
      <c r="B6" s="179" t="s">
        <v>129</v>
      </c>
    </row>
    <row r="7" spans="2:11" x14ac:dyDescent="0.2">
      <c r="B7" s="69" t="s">
        <v>136</v>
      </c>
    </row>
    <row r="8" spans="2:11" x14ac:dyDescent="0.2">
      <c r="B8" s="180" t="s">
        <v>135</v>
      </c>
    </row>
    <row r="10" spans="2:11" ht="15" x14ac:dyDescent="0.25">
      <c r="B10" s="150" t="s">
        <v>92</v>
      </c>
      <c r="C10" s="150" t="s">
        <v>75</v>
      </c>
      <c r="D10"/>
    </row>
    <row r="11" spans="2:11" ht="15" customHeight="1" x14ac:dyDescent="0.25">
      <c r="B11" s="1" t="s">
        <v>137</v>
      </c>
      <c r="C11" s="100">
        <v>8527542</v>
      </c>
      <c r="D11"/>
    </row>
    <row r="12" spans="2:11" ht="15" x14ac:dyDescent="0.25">
      <c r="B12" s="1" t="s">
        <v>76</v>
      </c>
      <c r="C12" s="99">
        <v>0</v>
      </c>
      <c r="D12"/>
    </row>
    <row r="13" spans="2:11" ht="15" x14ac:dyDescent="0.25">
      <c r="B13" s="151" t="s">
        <v>117</v>
      </c>
      <c r="C13" s="152">
        <f>SUM(C11:D12)</f>
        <v>8527542</v>
      </c>
      <c r="D13"/>
      <c r="E13" s="39"/>
      <c r="F13" s="39"/>
      <c r="G13" s="39"/>
      <c r="H13" s="39"/>
      <c r="I13" s="39"/>
      <c r="J13" s="39"/>
    </row>
    <row r="14" spans="2:11" ht="15" x14ac:dyDescent="0.25">
      <c r="B14" s="21"/>
      <c r="C14" s="85"/>
      <c r="D14" s="85"/>
      <c r="E14" s="85"/>
      <c r="F14" s="85"/>
      <c r="G14" s="85"/>
      <c r="H14" s="85"/>
      <c r="I14" s="85"/>
      <c r="J14" s="40"/>
    </row>
    <row r="15" spans="2:11" ht="15" x14ac:dyDescent="0.25">
      <c r="B15" s="21"/>
      <c r="C15" s="21"/>
      <c r="D15" s="113">
        <f>0.2</f>
        <v>0.2</v>
      </c>
      <c r="E15" s="113">
        <f>1/5</f>
        <v>0.2</v>
      </c>
      <c r="F15" s="113">
        <v>0.1</v>
      </c>
      <c r="G15" s="113">
        <v>0.1</v>
      </c>
      <c r="H15" s="113">
        <v>0.15</v>
      </c>
      <c r="I15" s="113">
        <v>0.1</v>
      </c>
      <c r="J15" s="113">
        <v>0.15</v>
      </c>
    </row>
    <row r="16" spans="2:11" s="111" customFormat="1" ht="25.5" x14ac:dyDescent="0.25">
      <c r="C16" s="18" t="s">
        <v>15</v>
      </c>
      <c r="D16" s="112">
        <f>$C$13*D15</f>
        <v>1705508.4000000001</v>
      </c>
      <c r="E16" s="112">
        <f t="shared" ref="E16:J16" si="0">$C$13*E15</f>
        <v>1705508.4000000001</v>
      </c>
      <c r="F16" s="112">
        <f t="shared" si="0"/>
        <v>852754.20000000007</v>
      </c>
      <c r="G16" s="112">
        <f t="shared" si="0"/>
        <v>852754.20000000007</v>
      </c>
      <c r="H16" s="112">
        <f t="shared" si="0"/>
        <v>1279131.3</v>
      </c>
      <c r="I16" s="112">
        <f t="shared" si="0"/>
        <v>852754.20000000007</v>
      </c>
      <c r="J16" s="112">
        <f t="shared" si="0"/>
        <v>1279131.3</v>
      </c>
      <c r="K16" s="112">
        <f>SUM(D16:J16)</f>
        <v>8527542</v>
      </c>
    </row>
    <row r="17" spans="1:23" ht="63.75" x14ac:dyDescent="0.2">
      <c r="A17" s="181" t="s">
        <v>20</v>
      </c>
      <c r="B17" s="182" t="s">
        <v>1</v>
      </c>
      <c r="C17" s="181" t="s">
        <v>131</v>
      </c>
      <c r="D17" s="153" t="s">
        <v>74</v>
      </c>
      <c r="E17" s="153" t="s">
        <v>16</v>
      </c>
      <c r="F17" s="153" t="s">
        <v>17</v>
      </c>
      <c r="G17" s="153" t="s">
        <v>73</v>
      </c>
      <c r="H17" s="153" t="s">
        <v>21</v>
      </c>
      <c r="I17" s="153" t="s">
        <v>19</v>
      </c>
      <c r="J17" s="153" t="s">
        <v>18</v>
      </c>
      <c r="K17" s="153" t="s">
        <v>22</v>
      </c>
      <c r="L17" s="155" t="s">
        <v>23</v>
      </c>
      <c r="M17" s="155" t="s">
        <v>116</v>
      </c>
      <c r="N17" s="155" t="s">
        <v>131</v>
      </c>
      <c r="O17" s="153" t="s">
        <v>138</v>
      </c>
      <c r="P17" s="153" t="s">
        <v>126</v>
      </c>
      <c r="Q17" s="153" t="s">
        <v>125</v>
      </c>
      <c r="R17" s="111"/>
      <c r="S17" s="18" t="s">
        <v>131</v>
      </c>
      <c r="T17" s="175" t="s">
        <v>122</v>
      </c>
      <c r="U17" s="103"/>
      <c r="V17" s="103"/>
      <c r="W17" s="103"/>
    </row>
    <row r="18" spans="1:23" x14ac:dyDescent="0.2">
      <c r="A18" s="14">
        <v>1</v>
      </c>
      <c r="B18" s="26" t="s">
        <v>3</v>
      </c>
      <c r="C18" s="97" t="s">
        <v>2</v>
      </c>
      <c r="D18" s="24">
        <f>VLOOKUP(C18,'I.Acreditación Institucional'!$C$4:$K$12,9,0)*$D$16</f>
        <v>457575.42439024389</v>
      </c>
      <c r="E18" s="24">
        <f>VLOOKUP(C18,'II.Doctorados Acreditados'!$C$4:$K$12,9,0)*$E$16</f>
        <v>744221.84727272729</v>
      </c>
      <c r="F18" s="24">
        <f>VLOOKUP(C18,'III. Planta Académica'!$Y$4:$AB$12,4,0)*$F$16</f>
        <v>110328.8732014939</v>
      </c>
      <c r="G18" s="24">
        <f>VLOOKUP(C18,'IV. Publicaciones por acad.'!$C$4:$G$12,5,0)*$G$16</f>
        <v>168153.74384544609</v>
      </c>
      <c r="H18" s="25">
        <f>VLOOKUP(C18,V.Citas!$C$4:$G$12,5,0)*$H$16</f>
        <v>304277.79946813238</v>
      </c>
      <c r="I18" s="24">
        <f>VLOOKUP(C18,'VI. Proyectos'!$C$5:$E$13,3,0)*$I$16</f>
        <v>221284.31772151901</v>
      </c>
      <c r="J18" s="24">
        <f>VLOOKUP(C18,'VII. Publicaciones'!$O$5:$R$13,4,0)*$J$16</f>
        <v>175060.63943278871</v>
      </c>
      <c r="K18" s="154">
        <f>SUM(D18:J18)</f>
        <v>2180902.6453323513</v>
      </c>
      <c r="L18" s="157">
        <v>2180902</v>
      </c>
      <c r="M18" s="156">
        <f>L18/$L$27</f>
        <v>0.25574802211469611</v>
      </c>
      <c r="N18" s="161" t="str">
        <f t="shared" ref="N18:N26" si="1">+C18</f>
        <v>UDP</v>
      </c>
      <c r="O18" s="178">
        <v>2180902</v>
      </c>
      <c r="P18" s="178">
        <v>2180902</v>
      </c>
      <c r="Q18" s="178">
        <v>0</v>
      </c>
      <c r="R18" s="111"/>
      <c r="S18" s="176" t="str">
        <f>+N18</f>
        <v>UDP</v>
      </c>
      <c r="T18" s="177" t="s">
        <v>123</v>
      </c>
      <c r="W18" s="22"/>
    </row>
    <row r="19" spans="1:23" x14ac:dyDescent="0.2">
      <c r="A19" s="14">
        <v>2</v>
      </c>
      <c r="B19" s="26" t="s">
        <v>5</v>
      </c>
      <c r="C19" s="97" t="s">
        <v>4</v>
      </c>
      <c r="D19" s="24">
        <f>VLOOKUP(C19,'I.Acreditación Institucional'!$C$4:$K$12,9,0)*$D$16</f>
        <v>443709.50243902439</v>
      </c>
      <c r="E19" s="24">
        <f>VLOOKUP(C19,'II.Doctorados Acreditados'!$C$4:$K$12,9,0)*$E$16</f>
        <v>558166.3854545455</v>
      </c>
      <c r="F19" s="24">
        <f>VLOOKUP(C19,'III. Planta Académica'!$Y$4:$AB$12,4,0)*$F$16</f>
        <v>141703.63617453378</v>
      </c>
      <c r="G19" s="24">
        <f>VLOOKUP(C19,'IV. Publicaciones por acad.'!$C$4:$G$12,5,0)*$G$16</f>
        <v>124751.4210790044</v>
      </c>
      <c r="H19" s="25">
        <f>VLOOKUP(C19,V.Citas!$C$4:$G$12,5,0)*$H$16</f>
        <v>65595.840123453105</v>
      </c>
      <c r="I19" s="24">
        <f>VLOOKUP(C19,'VI. Proyectos'!$C$5:$E$13,3,0)*$I$16</f>
        <v>159216.76518987343</v>
      </c>
      <c r="J19" s="24">
        <f>VLOOKUP(C19,'VII. Publicaciones'!$O$5:$R$13,4,0)*$J$16</f>
        <v>78788.205981668725</v>
      </c>
      <c r="K19" s="154">
        <f t="shared" ref="K19:K26" si="2">SUM(D19:J19)</f>
        <v>1571931.7564421035</v>
      </c>
      <c r="L19" s="157">
        <v>1571932</v>
      </c>
      <c r="M19" s="156">
        <f t="shared" ref="M19:M23" si="3">L19/$L$27</f>
        <v>0.18433588483058777</v>
      </c>
      <c r="N19" s="161" t="str">
        <f t="shared" si="1"/>
        <v>UAH</v>
      </c>
      <c r="O19" s="178">
        <v>1571932</v>
      </c>
      <c r="P19" s="178">
        <v>1571932</v>
      </c>
      <c r="Q19" s="178">
        <v>0</v>
      </c>
      <c r="R19" s="111"/>
      <c r="S19" s="176" t="str">
        <f t="shared" ref="S19:S26" si="4">+N19</f>
        <v>UAH</v>
      </c>
      <c r="T19" s="177" t="s">
        <v>123</v>
      </c>
      <c r="W19" s="22"/>
    </row>
    <row r="20" spans="1:23" x14ac:dyDescent="0.2">
      <c r="A20" s="14">
        <v>3</v>
      </c>
      <c r="B20" s="26" t="s">
        <v>9</v>
      </c>
      <c r="C20" s="97" t="s">
        <v>8</v>
      </c>
      <c r="D20" s="24">
        <f>VLOOKUP(C20,'I.Acreditación Institucional'!$C$4:$K$12,9,0)*$D$16</f>
        <v>263452.51707317069</v>
      </c>
      <c r="E20" s="24">
        <f>VLOOKUP(C20,'II.Doctorados Acreditados'!$C$4:$K$12,9,0)*$E$16</f>
        <v>155046.2181818182</v>
      </c>
      <c r="F20" s="24">
        <f>VLOOKUP(C20,'III. Planta Académica'!$Y$4:$AB$12,4,0)*$F$16</f>
        <v>88462.106216318934</v>
      </c>
      <c r="G20" s="24">
        <f>VLOOKUP(C20,'IV. Publicaciones por acad.'!$C$4:$G$12,5,0)*$G$16</f>
        <v>136336.2648386384</v>
      </c>
      <c r="H20" s="25">
        <f>VLOOKUP(C20,V.Citas!$C$4:$G$12,5,0)*$H$16</f>
        <v>340627.12784921366</v>
      </c>
      <c r="I20" s="24">
        <f>VLOOKUP(C20,'VI. Proyectos'!$C$5:$E$13,3,0)*$I$16</f>
        <v>134929.46202531646</v>
      </c>
      <c r="J20" s="24">
        <f>VLOOKUP(C20,'VII. Publicaciones'!$O$5:$R$13,4,0)*$J$16</f>
        <v>286325.39894551353</v>
      </c>
      <c r="K20" s="154">
        <f t="shared" si="2"/>
        <v>1405179.09512999</v>
      </c>
      <c r="L20" s="157">
        <v>1405179</v>
      </c>
      <c r="M20" s="156">
        <f t="shared" si="3"/>
        <v>0.16478124645999984</v>
      </c>
      <c r="N20" s="161" t="str">
        <f t="shared" si="1"/>
        <v>UAU</v>
      </c>
      <c r="O20" s="178">
        <v>1405179</v>
      </c>
      <c r="P20" s="178">
        <v>1405179</v>
      </c>
      <c r="Q20" s="178">
        <v>0</v>
      </c>
      <c r="R20" s="111"/>
      <c r="S20" s="176" t="str">
        <f t="shared" si="4"/>
        <v>UAU</v>
      </c>
      <c r="T20" s="177" t="s">
        <v>124</v>
      </c>
      <c r="W20" s="22"/>
    </row>
    <row r="21" spans="1:23" x14ac:dyDescent="0.2">
      <c r="A21" s="14">
        <v>4</v>
      </c>
      <c r="B21" s="26" t="s">
        <v>11</v>
      </c>
      <c r="C21" s="97" t="s">
        <v>10</v>
      </c>
      <c r="D21" s="24">
        <f>VLOOKUP(C21,'I.Acreditación Institucional'!$C$4:$K$12,9,0)*$D$16</f>
        <v>55463.687804878049</v>
      </c>
      <c r="E21" s="24">
        <f>VLOOKUP(C21,'II.Doctorados Acreditados'!$C$4:$K$12,9,0)*$E$16</f>
        <v>0</v>
      </c>
      <c r="F21" s="24">
        <f>VLOOKUP(C21,'III. Planta Académica'!$Y$4:$AB$12,4,0)*$F$16</f>
        <v>64772.94270196405</v>
      </c>
      <c r="G21" s="24">
        <f>VLOOKUP(C21,'IV. Publicaciones por acad.'!$C$4:$G$12,5,0)*$G$16</f>
        <v>96462.387584264128</v>
      </c>
      <c r="H21" s="25">
        <f>VLOOKUP(C21,V.Citas!$C$4:$G$12,5,0)*$H$16</f>
        <v>106848.66136139825</v>
      </c>
      <c r="I21" s="24">
        <f>VLOOKUP(C21,'VI. Proyectos'!$C$5:$E$13,3,0)*$I$16</f>
        <v>26985.892405063296</v>
      </c>
      <c r="J21" s="24">
        <f>VLOOKUP(C21,'VII. Publicaciones'!$O$5:$R$13,4,0)*$J$16</f>
        <v>74376.319853248162</v>
      </c>
      <c r="K21" s="154">
        <f t="shared" si="2"/>
        <v>424909.89171081595</v>
      </c>
      <c r="L21" s="157">
        <v>424910</v>
      </c>
      <c r="M21" s="156">
        <f t="shared" si="3"/>
        <v>4.9827957458315655E-2</v>
      </c>
      <c r="N21" s="161" t="str">
        <f t="shared" si="1"/>
        <v>UFT</v>
      </c>
      <c r="O21" s="178">
        <v>424910</v>
      </c>
      <c r="P21" s="178">
        <v>424910</v>
      </c>
      <c r="Q21" s="178">
        <v>0</v>
      </c>
      <c r="R21" s="111"/>
      <c r="S21" s="176" t="str">
        <f t="shared" si="4"/>
        <v>UFT</v>
      </c>
      <c r="T21" s="177" t="s">
        <v>123</v>
      </c>
      <c r="W21" s="22"/>
    </row>
    <row r="22" spans="1:23" x14ac:dyDescent="0.2">
      <c r="A22" s="14">
        <v>5</v>
      </c>
      <c r="B22" s="26" t="s">
        <v>13</v>
      </c>
      <c r="C22" s="97" t="s">
        <v>12</v>
      </c>
      <c r="D22" s="24">
        <f>VLOOKUP(C22,'I.Acreditación Institucional'!$C$4:$K$12,9,0)*$D$16</f>
        <v>55463.687804878049</v>
      </c>
      <c r="E22" s="24">
        <f>VLOOKUP(C22,'II.Doctorados Acreditados'!$C$4:$K$12,9,0)*$E$16</f>
        <v>0</v>
      </c>
      <c r="F22" s="24">
        <f>VLOOKUP(C22,'III. Planta Académica'!$Y$4:$AB$12,4,0)*$F$16</f>
        <v>71091.842130155637</v>
      </c>
      <c r="G22" s="24">
        <f>VLOOKUP(C22,'IV. Publicaciones por acad.'!$C$4:$G$12,5,0)*$G$16</f>
        <v>80618.664532155162</v>
      </c>
      <c r="H22" s="25">
        <f>VLOOKUP(C22,V.Citas!$C$4:$G$12,5,0)*$H$16</f>
        <v>32883.496069667359</v>
      </c>
      <c r="I22" s="24">
        <f>VLOOKUP(C22,'VI. Proyectos'!$C$5:$E$13,3,0)*$I$16</f>
        <v>35081.660126582276</v>
      </c>
      <c r="J22" s="24">
        <f>VLOOKUP(C22,'VII. Publicaciones'!$O$5:$R$13,4,0)*$J$16</f>
        <v>70149.584320038353</v>
      </c>
      <c r="K22" s="154">
        <f t="shared" si="2"/>
        <v>345288.93498347688</v>
      </c>
      <c r="L22" s="157">
        <v>345289</v>
      </c>
      <c r="M22" s="156">
        <f t="shared" si="3"/>
        <v>4.0491034814017918E-2</v>
      </c>
      <c r="N22" s="161" t="str">
        <f t="shared" si="1"/>
        <v>AHC</v>
      </c>
      <c r="O22" s="178">
        <v>345289</v>
      </c>
      <c r="P22" s="178">
        <v>345289</v>
      </c>
      <c r="Q22" s="178">
        <v>0</v>
      </c>
      <c r="R22" s="111"/>
      <c r="S22" s="176" t="str">
        <f t="shared" si="4"/>
        <v>AHC</v>
      </c>
      <c r="T22" s="177" t="s">
        <v>123</v>
      </c>
      <c r="W22" s="22"/>
    </row>
    <row r="23" spans="1:23" x14ac:dyDescent="0.2">
      <c r="A23" s="14">
        <v>6</v>
      </c>
      <c r="B23" s="26" t="s">
        <v>7</v>
      </c>
      <c r="C23" s="97" t="s">
        <v>6</v>
      </c>
      <c r="D23" s="24">
        <f>VLOOKUP(C23,'I.Acreditación Institucional'!$C$4:$K$12,9,0)*$D$16</f>
        <v>55463.687804878049</v>
      </c>
      <c r="E23" s="24">
        <f>VLOOKUP(C23,'II.Doctorados Acreditados'!$C$4:$K$12,9,0)*$E$16</f>
        <v>0</v>
      </c>
      <c r="F23" s="24">
        <f>VLOOKUP(C23,'III. Planta Académica'!$Y$4:$AB$12,4,0)*$F$16</f>
        <v>96681.08636505928</v>
      </c>
      <c r="G23" s="24">
        <f>VLOOKUP(C23,'IV. Publicaciones por acad.'!$C$4:$G$12,5,0)*$G$16</f>
        <v>37981.386096249364</v>
      </c>
      <c r="H23" s="25">
        <f>VLOOKUP(C23,V.Citas!$C$4:$G$12,5,0)*$H$16</f>
        <v>42324.908334760381</v>
      </c>
      <c r="I23" s="24">
        <f>VLOOKUP(C23,'VI. Proyectos'!$C$5:$E$13,3,0)*$I$16</f>
        <v>40478.838607594946</v>
      </c>
      <c r="J23" s="24">
        <f>VLOOKUP(C23,'VII. Publicaciones'!$O$5:$R$13,4,0)*$J$16</f>
        <v>112611.81721393275</v>
      </c>
      <c r="K23" s="154">
        <f t="shared" si="2"/>
        <v>385541.72442247474</v>
      </c>
      <c r="L23" s="157">
        <v>385542</v>
      </c>
      <c r="M23" s="156">
        <f t="shared" si="3"/>
        <v>4.521138682166561E-2</v>
      </c>
      <c r="N23" s="161" t="str">
        <f t="shared" si="1"/>
        <v>UCS</v>
      </c>
      <c r="O23" s="178">
        <v>385542</v>
      </c>
      <c r="P23" s="178">
        <v>385542</v>
      </c>
      <c r="Q23" s="178">
        <v>0</v>
      </c>
      <c r="R23" s="111"/>
      <c r="S23" s="176" t="str">
        <f t="shared" si="4"/>
        <v>UCS</v>
      </c>
      <c r="T23" s="177" t="s">
        <v>123</v>
      </c>
      <c r="W23" s="22"/>
    </row>
    <row r="24" spans="1:23" x14ac:dyDescent="0.2">
      <c r="A24" s="14">
        <v>7</v>
      </c>
      <c r="B24" s="3" t="s">
        <v>83</v>
      </c>
      <c r="C24" s="98" t="s">
        <v>81</v>
      </c>
      <c r="D24" s="24">
        <f>VLOOKUP(C24,'I.Acreditación Institucional'!$C$4:$K$12,9,0)*$D$16</f>
        <v>55463.687804878049</v>
      </c>
      <c r="E24" s="24">
        <f>VLOOKUP(C24,'II.Doctorados Acreditados'!$C$4:$K$12,9,0)*$E$16</f>
        <v>0</v>
      </c>
      <c r="F24" s="24">
        <f>VLOOKUP(C24,'III. Planta Académica'!$Y$4:$AB$12,4,0)*$F$16</f>
        <v>157064.03520347778</v>
      </c>
      <c r="G24" s="24">
        <f>VLOOKUP(C24,'IV. Publicaciones por acad.'!$C$4:$G$12,5,0)*$G$16</f>
        <v>100553.17045917269</v>
      </c>
      <c r="H24" s="25">
        <f>VLOOKUP(C24,V.Citas!$C$4:$G$12,5,0)*$H$16</f>
        <v>127607.5966882614</v>
      </c>
      <c r="I24" s="24">
        <f>VLOOKUP(C24,'VI. Proyectos'!$C$5:$E$13,3,0)*$I$16</f>
        <v>32383.070886075951</v>
      </c>
      <c r="J24" s="24">
        <f>VLOOKUP(C24,'VII. Publicaciones'!$O$5:$R$13,4,0)*$J$16</f>
        <v>104416.8503302243</v>
      </c>
      <c r="K24" s="154">
        <f t="shared" si="2"/>
        <v>577488.41137209011</v>
      </c>
      <c r="L24" s="157">
        <v>577488</v>
      </c>
      <c r="M24" s="156">
        <f t="shared" ref="M24:M26" si="5">L24/$L$27</f>
        <v>6.7720334886653147E-2</v>
      </c>
      <c r="N24" s="161" t="str">
        <f t="shared" si="1"/>
        <v>UBO</v>
      </c>
      <c r="O24" s="178">
        <v>577488</v>
      </c>
      <c r="P24" s="178">
        <v>577488</v>
      </c>
      <c r="Q24" s="178">
        <v>0</v>
      </c>
      <c r="R24" s="111"/>
      <c r="S24" s="176" t="str">
        <f t="shared" si="4"/>
        <v>UBO</v>
      </c>
      <c r="T24" s="177" t="s">
        <v>123</v>
      </c>
      <c r="W24" s="22"/>
    </row>
    <row r="25" spans="1:23" x14ac:dyDescent="0.2">
      <c r="A25" s="14">
        <v>8</v>
      </c>
      <c r="B25" s="3" t="s">
        <v>84</v>
      </c>
      <c r="C25" s="98" t="s">
        <v>82</v>
      </c>
      <c r="D25" s="24">
        <f>VLOOKUP(C25,'I.Acreditación Institucional'!$C$4:$K$12,9,0)*$D$16</f>
        <v>263452.51707317069</v>
      </c>
      <c r="E25" s="24">
        <f>VLOOKUP(C25,'II.Doctorados Acreditados'!$C$4:$K$12,9,0)*$E$16</f>
        <v>186055.46181818182</v>
      </c>
      <c r="F25" s="24">
        <f>VLOOKUP(C25,'III. Planta Académica'!$Y$4:$AB$12,4,0)*$F$16</f>
        <v>70562.494577721489</v>
      </c>
      <c r="G25" s="24">
        <f>VLOOKUP(C25,'IV. Publicaciones por acad.'!$C$4:$G$12,5,0)*$G$16</f>
        <v>64591.749816491683</v>
      </c>
      <c r="H25" s="25">
        <f>VLOOKUP(C25,V.Citas!$C$4:$G$12,5,0)*$H$16</f>
        <v>154027.88100865495</v>
      </c>
      <c r="I25" s="24">
        <f>VLOOKUP(C25,'VI. Proyectos'!$C$5:$E$13,3,0)*$I$16</f>
        <v>170011.12215189874</v>
      </c>
      <c r="J25" s="24">
        <f>VLOOKUP(C25,'VII. Publicaciones'!$O$5:$R$13,4,0)*$J$16</f>
        <v>246375.59963919441</v>
      </c>
      <c r="K25" s="154">
        <f t="shared" si="2"/>
        <v>1155076.8260853137</v>
      </c>
      <c r="L25" s="157">
        <v>1155077</v>
      </c>
      <c r="M25" s="156">
        <f t="shared" si="5"/>
        <v>0.13545251374897949</v>
      </c>
      <c r="N25" s="161" t="str">
        <f t="shared" si="1"/>
        <v>UMA</v>
      </c>
      <c r="O25" s="178">
        <v>1155077</v>
      </c>
      <c r="P25" s="178">
        <v>1155077</v>
      </c>
      <c r="Q25" s="178">
        <v>0</v>
      </c>
      <c r="R25" s="111"/>
      <c r="S25" s="176" t="str">
        <f t="shared" si="4"/>
        <v>UMA</v>
      </c>
      <c r="T25" s="177" t="s">
        <v>123</v>
      </c>
      <c r="W25" s="22"/>
    </row>
    <row r="26" spans="1:23" x14ac:dyDescent="0.2">
      <c r="A26" s="14">
        <v>9</v>
      </c>
      <c r="B26" s="3" t="s">
        <v>90</v>
      </c>
      <c r="C26" s="98" t="s">
        <v>91</v>
      </c>
      <c r="D26" s="24">
        <f>VLOOKUP(C26,'I.Acreditación Institucional'!$C$4:$K$12,9,0)*$D$16</f>
        <v>55463.687804878049</v>
      </c>
      <c r="E26" s="24">
        <f>VLOOKUP(C26,'II.Doctorados Acreditados'!$C$4:$K$12,9,0)*$E$16</f>
        <v>62018.487272727274</v>
      </c>
      <c r="F26" s="24">
        <f>VLOOKUP(C26,'III. Planta Académica'!$Y$4:$AB$12,4,0)*$F$16</f>
        <v>52087.183429275181</v>
      </c>
      <c r="G26" s="24">
        <f>VLOOKUP(C26,'IV. Publicaciones por acad.'!$C$4:$G$12,5,0)*$G$16</f>
        <v>43305.41174857819</v>
      </c>
      <c r="H26" s="25">
        <f>VLOOKUP(C26,V.Citas!$C$4:$G$12,5,0)*$H$16</f>
        <v>104937.98909645851</v>
      </c>
      <c r="I26" s="24">
        <f>VLOOKUP(C26,'VI. Proyectos'!$C$5:$E$13,3,0)*$I$16</f>
        <v>32383.070886075951</v>
      </c>
      <c r="J26" s="24">
        <f>VLOOKUP(C26,'VII. Publicaciones'!$O$5:$R$13,4,0)*$J$16</f>
        <v>131026.88428339102</v>
      </c>
      <c r="K26" s="154">
        <f t="shared" si="2"/>
        <v>481222.71452138416</v>
      </c>
      <c r="L26" s="157">
        <v>481223</v>
      </c>
      <c r="M26" s="156">
        <f t="shared" si="5"/>
        <v>5.6431618865084451E-2</v>
      </c>
      <c r="N26" s="161" t="str">
        <f t="shared" si="1"/>
        <v>UST</v>
      </c>
      <c r="O26" s="178">
        <v>481223</v>
      </c>
      <c r="P26" s="178">
        <v>481223</v>
      </c>
      <c r="Q26" s="178">
        <v>0</v>
      </c>
      <c r="R26" s="111"/>
      <c r="S26" s="176" t="str">
        <f t="shared" si="4"/>
        <v>UST</v>
      </c>
      <c r="T26" s="177" t="s">
        <v>123</v>
      </c>
      <c r="W26" s="22"/>
    </row>
    <row r="27" spans="1:23" ht="15" x14ac:dyDescent="0.25">
      <c r="C27" s="27" t="s">
        <v>14</v>
      </c>
      <c r="D27" s="15">
        <f>SUM(D18:D26)</f>
        <v>1705508.3999999997</v>
      </c>
      <c r="E27" s="15">
        <f t="shared" ref="E27:L27" si="6">SUM(E18:E26)</f>
        <v>1705508.4000000004</v>
      </c>
      <c r="F27" s="15">
        <f t="shared" si="6"/>
        <v>852754.2</v>
      </c>
      <c r="G27" s="15">
        <f t="shared" si="6"/>
        <v>852754.20000000019</v>
      </c>
      <c r="H27" s="15">
        <f t="shared" si="6"/>
        <v>1279131.3</v>
      </c>
      <c r="I27" s="15">
        <f>SUM(I18:I26)</f>
        <v>852754.2</v>
      </c>
      <c r="J27" s="15">
        <f t="shared" si="6"/>
        <v>1279131.3</v>
      </c>
      <c r="K27" s="158">
        <f t="shared" si="6"/>
        <v>8527542</v>
      </c>
      <c r="L27" s="159">
        <f t="shared" si="6"/>
        <v>8527542</v>
      </c>
      <c r="M27" s="162">
        <f>SUM(M18:M26)</f>
        <v>1</v>
      </c>
      <c r="N27" s="160"/>
      <c r="O27" s="158">
        <f>SUM(O18:O26)</f>
        <v>8527542</v>
      </c>
      <c r="P27" s="158">
        <f t="shared" ref="P27:Q27" si="7">SUM(P18:P26)</f>
        <v>8527542</v>
      </c>
      <c r="Q27" s="158">
        <f t="shared" si="7"/>
        <v>0</v>
      </c>
      <c r="R27" s="111"/>
      <c r="S27" s="111"/>
      <c r="T27"/>
    </row>
    <row r="28" spans="1:23" ht="15" x14ac:dyDescent="0.25">
      <c r="A28"/>
      <c r="B28"/>
      <c r="C28"/>
      <c r="D28" t="s">
        <v>49</v>
      </c>
      <c r="E28" t="s">
        <v>50</v>
      </c>
      <c r="F28" t="s">
        <v>61</v>
      </c>
      <c r="G28" t="s">
        <v>62</v>
      </c>
      <c r="H28" t="s">
        <v>63</v>
      </c>
      <c r="I28" t="s">
        <v>64</v>
      </c>
      <c r="J28" t="s">
        <v>65</v>
      </c>
      <c r="K28"/>
      <c r="L28" s="110">
        <f>+C13-L27</f>
        <v>0</v>
      </c>
      <c r="M28"/>
      <c r="N28"/>
      <c r="O28"/>
      <c r="P28"/>
      <c r="Q28"/>
      <c r="R28"/>
      <c r="S28"/>
      <c r="T28"/>
    </row>
    <row r="29" spans="1:23" ht="15" x14ac:dyDescent="0.25">
      <c r="A29"/>
      <c r="B29"/>
      <c r="C29"/>
      <c r="D29" t="s">
        <v>57</v>
      </c>
      <c r="E29" t="s">
        <v>47</v>
      </c>
      <c r="F29" t="s">
        <v>72</v>
      </c>
      <c r="G29" t="s">
        <v>45</v>
      </c>
      <c r="H29" t="s">
        <v>45</v>
      </c>
      <c r="I29" t="s">
        <v>45</v>
      </c>
      <c r="J29" t="s">
        <v>72</v>
      </c>
      <c r="K29"/>
      <c r="L29"/>
      <c r="M29"/>
      <c r="N29"/>
      <c r="O29"/>
      <c r="P29"/>
      <c r="Q29"/>
      <c r="R29"/>
      <c r="S29"/>
      <c r="T29"/>
    </row>
    <row r="30" spans="1:23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3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3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x14ac:dyDescent="0.2">
      <c r="D45" s="19"/>
    </row>
    <row r="46" spans="1:20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</sheetData>
  <pageMargins left="0.31496062992125984" right="0.31496062992125984" top="0.74803149606299213" bottom="0.74803149606299213" header="0.31496062992125984" footer="0.31496062992125984"/>
  <pageSetup paperSize="14" scale="80" orientation="landscape" r:id="rId1"/>
  <headerFooter>
    <oddFooter>&amp;C&amp;F&amp;R&amp;A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59F0-F738-4FBF-862F-E4692F81F592}">
  <sheetPr>
    <pageSetUpPr fitToPage="1"/>
  </sheetPr>
  <dimension ref="A1:M16"/>
  <sheetViews>
    <sheetView workbookViewId="0">
      <selection activeCell="I4" sqref="I4"/>
    </sheetView>
  </sheetViews>
  <sheetFormatPr baseColWidth="10" defaultRowHeight="15" x14ac:dyDescent="0.25"/>
  <cols>
    <col min="1" max="1" width="2.85546875" bestFit="1" customWidth="1"/>
    <col min="2" max="2" width="37.5703125" bestFit="1" customWidth="1"/>
    <col min="4" max="4" width="12" customWidth="1"/>
    <col min="5" max="6" width="10.42578125" customWidth="1"/>
    <col min="7" max="9" width="11.42578125" customWidth="1"/>
    <col min="10" max="10" width="14.7109375" bestFit="1" customWidth="1"/>
    <col min="11" max="11" width="10.85546875" customWidth="1"/>
    <col min="12" max="12" width="3.85546875" customWidth="1"/>
    <col min="18" max="18" width="4.140625" customWidth="1"/>
    <col min="20" max="20" width="11" bestFit="1" customWidth="1"/>
    <col min="21" max="21" width="9.85546875" bestFit="1" customWidth="1"/>
    <col min="22" max="22" width="10.7109375" bestFit="1" customWidth="1"/>
    <col min="23" max="26" width="11.140625" customWidth="1"/>
    <col min="27" max="27" width="11" bestFit="1" customWidth="1"/>
  </cols>
  <sheetData>
    <row r="1" spans="1:13" ht="15.75" thickBot="1" x14ac:dyDescent="0.3">
      <c r="C1" s="28">
        <v>1</v>
      </c>
      <c r="D1" s="28">
        <v>2</v>
      </c>
      <c r="E1" s="28">
        <v>3</v>
      </c>
      <c r="F1" s="28">
        <v>4</v>
      </c>
      <c r="G1" s="28">
        <v>5</v>
      </c>
      <c r="H1" s="28">
        <v>6</v>
      </c>
      <c r="I1" s="28">
        <v>7</v>
      </c>
      <c r="J1" s="28">
        <v>8</v>
      </c>
      <c r="K1" s="28">
        <v>9</v>
      </c>
    </row>
    <row r="2" spans="1:13" ht="15.75" thickTop="1" x14ac:dyDescent="0.25">
      <c r="D2" s="186" t="s">
        <v>89</v>
      </c>
      <c r="E2" s="186"/>
      <c r="F2" s="186"/>
      <c r="G2" s="102">
        <v>0.4</v>
      </c>
      <c r="H2" s="102">
        <v>0.4</v>
      </c>
      <c r="I2" s="102">
        <v>0.2</v>
      </c>
      <c r="J2" s="101"/>
      <c r="K2" s="101"/>
      <c r="M2" s="187" t="s">
        <v>121</v>
      </c>
    </row>
    <row r="3" spans="1:13" ht="36.75" thickBot="1" x14ac:dyDescent="0.3">
      <c r="A3" s="5" t="s">
        <v>20</v>
      </c>
      <c r="B3" s="4" t="s">
        <v>1</v>
      </c>
      <c r="C3" s="76" t="s">
        <v>0</v>
      </c>
      <c r="D3" s="86" t="s">
        <v>118</v>
      </c>
      <c r="E3" s="86" t="s">
        <v>119</v>
      </c>
      <c r="F3" s="86" t="s">
        <v>120</v>
      </c>
      <c r="G3" s="86" t="s">
        <v>31</v>
      </c>
      <c r="H3" s="86" t="s">
        <v>30</v>
      </c>
      <c r="I3" s="86" t="s">
        <v>32</v>
      </c>
      <c r="J3" s="86" t="s">
        <v>24</v>
      </c>
      <c r="K3" s="86" t="s">
        <v>71</v>
      </c>
      <c r="M3" s="188"/>
    </row>
    <row r="4" spans="1:13" ht="15.75" thickTop="1" x14ac:dyDescent="0.25">
      <c r="A4" s="1">
        <v>1</v>
      </c>
      <c r="B4" s="3" t="s">
        <v>3</v>
      </c>
      <c r="C4" s="77" t="s">
        <v>2</v>
      </c>
      <c r="D4" s="87">
        <v>1</v>
      </c>
      <c r="E4" s="87">
        <v>5</v>
      </c>
      <c r="F4" s="87">
        <v>5</v>
      </c>
      <c r="G4" s="88">
        <f>IF(D4=1,100,0)</f>
        <v>100</v>
      </c>
      <c r="H4" s="88">
        <f>IF(E4=5,100,0)</f>
        <v>100</v>
      </c>
      <c r="I4" s="89">
        <f>F4*100/7</f>
        <v>71.428571428571431</v>
      </c>
      <c r="J4" s="90">
        <f t="shared" ref="J4:J12" si="0">G4*$G$2+H4*$H$2+I4*$I$2</f>
        <v>94.285714285714292</v>
      </c>
      <c r="K4" s="91">
        <f>+J4/$J$13</f>
        <v>0.26829268292682923</v>
      </c>
    </row>
    <row r="5" spans="1:13" x14ac:dyDescent="0.25">
      <c r="A5" s="1">
        <v>2</v>
      </c>
      <c r="B5" s="3" t="s">
        <v>5</v>
      </c>
      <c r="C5" s="77" t="s">
        <v>4</v>
      </c>
      <c r="D5" s="87">
        <v>1</v>
      </c>
      <c r="E5" s="87">
        <v>5</v>
      </c>
      <c r="F5" s="87">
        <v>4</v>
      </c>
      <c r="G5" s="88">
        <f t="shared" ref="G5:G12" si="1">IF(D5=1,100,0)</f>
        <v>100</v>
      </c>
      <c r="H5" s="88">
        <f t="shared" ref="H5:H12" si="2">IF(E5=5,100,0)</f>
        <v>100</v>
      </c>
      <c r="I5" s="89">
        <f t="shared" ref="I5:I12" si="3">F5*100/7</f>
        <v>57.142857142857146</v>
      </c>
      <c r="J5" s="90">
        <f t="shared" si="0"/>
        <v>91.428571428571431</v>
      </c>
      <c r="K5" s="91">
        <f t="shared" ref="K5:K12" si="4">+J5/$J$13</f>
        <v>0.26016260162601623</v>
      </c>
    </row>
    <row r="6" spans="1:13" x14ac:dyDescent="0.25">
      <c r="A6" s="1">
        <v>3</v>
      </c>
      <c r="B6" s="3" t="s">
        <v>7</v>
      </c>
      <c r="C6" s="77" t="s">
        <v>6</v>
      </c>
      <c r="D6" s="87">
        <v>0</v>
      </c>
      <c r="E6" s="87">
        <v>3</v>
      </c>
      <c r="F6" s="87">
        <v>4</v>
      </c>
      <c r="G6" s="88">
        <f t="shared" si="1"/>
        <v>0</v>
      </c>
      <c r="H6" s="88">
        <f t="shared" si="2"/>
        <v>0</v>
      </c>
      <c r="I6" s="89">
        <f t="shared" si="3"/>
        <v>57.142857142857146</v>
      </c>
      <c r="J6" s="90">
        <f t="shared" si="0"/>
        <v>11.428571428571431</v>
      </c>
      <c r="K6" s="91">
        <f t="shared" si="4"/>
        <v>3.2520325203252029E-2</v>
      </c>
    </row>
    <row r="7" spans="1:13" x14ac:dyDescent="0.25">
      <c r="A7" s="1">
        <v>4</v>
      </c>
      <c r="B7" s="3" t="s">
        <v>9</v>
      </c>
      <c r="C7" s="77" t="s">
        <v>8</v>
      </c>
      <c r="D7" s="87">
        <v>1</v>
      </c>
      <c r="E7" s="87">
        <v>4</v>
      </c>
      <c r="F7" s="87">
        <v>5</v>
      </c>
      <c r="G7" s="88">
        <f t="shared" si="1"/>
        <v>100</v>
      </c>
      <c r="H7" s="88">
        <f t="shared" si="2"/>
        <v>0</v>
      </c>
      <c r="I7" s="89">
        <f t="shared" si="3"/>
        <v>71.428571428571431</v>
      </c>
      <c r="J7" s="90">
        <f t="shared" si="0"/>
        <v>54.285714285714285</v>
      </c>
      <c r="K7" s="91">
        <f t="shared" si="4"/>
        <v>0.15447154471544711</v>
      </c>
    </row>
    <row r="8" spans="1:13" x14ac:dyDescent="0.25">
      <c r="A8" s="1">
        <v>5</v>
      </c>
      <c r="B8" s="3" t="s">
        <v>11</v>
      </c>
      <c r="C8" s="77" t="s">
        <v>10</v>
      </c>
      <c r="D8" s="87">
        <v>0</v>
      </c>
      <c r="E8" s="87">
        <v>3</v>
      </c>
      <c r="F8" s="87">
        <v>4</v>
      </c>
      <c r="G8" s="88">
        <f t="shared" si="1"/>
        <v>0</v>
      </c>
      <c r="H8" s="88">
        <f t="shared" si="2"/>
        <v>0</v>
      </c>
      <c r="I8" s="89">
        <f t="shared" si="3"/>
        <v>57.142857142857146</v>
      </c>
      <c r="J8" s="90">
        <f t="shared" si="0"/>
        <v>11.428571428571431</v>
      </c>
      <c r="K8" s="91">
        <f t="shared" si="4"/>
        <v>3.2520325203252029E-2</v>
      </c>
    </row>
    <row r="9" spans="1:13" x14ac:dyDescent="0.25">
      <c r="A9" s="1">
        <v>6</v>
      </c>
      <c r="B9" s="3" t="s">
        <v>13</v>
      </c>
      <c r="C9" s="77" t="s">
        <v>12</v>
      </c>
      <c r="D9" s="87">
        <v>0</v>
      </c>
      <c r="E9" s="87">
        <v>3</v>
      </c>
      <c r="F9" s="87">
        <v>4</v>
      </c>
      <c r="G9" s="88">
        <f t="shared" si="1"/>
        <v>0</v>
      </c>
      <c r="H9" s="88">
        <f t="shared" si="2"/>
        <v>0</v>
      </c>
      <c r="I9" s="89">
        <f t="shared" si="3"/>
        <v>57.142857142857146</v>
      </c>
      <c r="J9" s="90">
        <f t="shared" si="0"/>
        <v>11.428571428571431</v>
      </c>
      <c r="K9" s="91">
        <f t="shared" si="4"/>
        <v>3.2520325203252029E-2</v>
      </c>
    </row>
    <row r="10" spans="1:13" x14ac:dyDescent="0.25">
      <c r="A10" s="1">
        <v>7</v>
      </c>
      <c r="B10" s="3" t="s">
        <v>83</v>
      </c>
      <c r="C10" s="77" t="s">
        <v>81</v>
      </c>
      <c r="D10" s="87">
        <v>0</v>
      </c>
      <c r="E10" s="87">
        <v>3</v>
      </c>
      <c r="F10" s="87">
        <v>4</v>
      </c>
      <c r="G10" s="88">
        <f t="shared" si="1"/>
        <v>0</v>
      </c>
      <c r="H10" s="88">
        <f t="shared" si="2"/>
        <v>0</v>
      </c>
      <c r="I10" s="89">
        <f t="shared" si="3"/>
        <v>57.142857142857146</v>
      </c>
      <c r="J10" s="90">
        <f t="shared" si="0"/>
        <v>11.428571428571431</v>
      </c>
      <c r="K10" s="91">
        <f t="shared" si="4"/>
        <v>3.2520325203252029E-2</v>
      </c>
    </row>
    <row r="11" spans="1:13" x14ac:dyDescent="0.25">
      <c r="A11" s="1">
        <v>8</v>
      </c>
      <c r="B11" s="3" t="s">
        <v>84</v>
      </c>
      <c r="C11" s="77" t="s">
        <v>82</v>
      </c>
      <c r="D11" s="87">
        <v>1</v>
      </c>
      <c r="E11" s="87">
        <v>4</v>
      </c>
      <c r="F11" s="87">
        <v>5</v>
      </c>
      <c r="G11" s="88">
        <f t="shared" si="1"/>
        <v>100</v>
      </c>
      <c r="H11" s="88">
        <f t="shared" si="2"/>
        <v>0</v>
      </c>
      <c r="I11" s="89">
        <f t="shared" si="3"/>
        <v>71.428571428571431</v>
      </c>
      <c r="J11" s="90">
        <f t="shared" si="0"/>
        <v>54.285714285714285</v>
      </c>
      <c r="K11" s="91">
        <f t="shared" si="4"/>
        <v>0.15447154471544711</v>
      </c>
    </row>
    <row r="12" spans="1:13" x14ac:dyDescent="0.25">
      <c r="A12" s="14">
        <v>9</v>
      </c>
      <c r="B12" s="3" t="s">
        <v>90</v>
      </c>
      <c r="C12" s="77" t="s">
        <v>91</v>
      </c>
      <c r="D12" s="87">
        <v>0</v>
      </c>
      <c r="E12" s="87">
        <v>2</v>
      </c>
      <c r="F12" s="87">
        <v>4</v>
      </c>
      <c r="G12" s="105">
        <f t="shared" si="1"/>
        <v>0</v>
      </c>
      <c r="H12" s="105">
        <f t="shared" si="2"/>
        <v>0</v>
      </c>
      <c r="I12" s="90">
        <f t="shared" si="3"/>
        <v>57.142857142857146</v>
      </c>
      <c r="J12" s="90">
        <f t="shared" si="0"/>
        <v>11.428571428571431</v>
      </c>
      <c r="K12" s="91">
        <f t="shared" si="4"/>
        <v>3.2520325203252029E-2</v>
      </c>
    </row>
    <row r="13" spans="1:13" x14ac:dyDescent="0.25">
      <c r="A13" s="2"/>
      <c r="B13" s="2"/>
      <c r="C13" s="78" t="s">
        <v>14</v>
      </c>
      <c r="D13" s="92">
        <f>SUM(D4:D12)</f>
        <v>4</v>
      </c>
      <c r="E13" s="92">
        <f t="shared" ref="E13:K13" si="5">SUM(E4:E12)</f>
        <v>32</v>
      </c>
      <c r="F13" s="92">
        <f t="shared" si="5"/>
        <v>39</v>
      </c>
      <c r="G13" s="92">
        <f t="shared" si="5"/>
        <v>400</v>
      </c>
      <c r="H13" s="92">
        <f t="shared" si="5"/>
        <v>200</v>
      </c>
      <c r="I13" s="106">
        <f t="shared" si="5"/>
        <v>557.14285714285722</v>
      </c>
      <c r="J13" s="106">
        <f t="shared" si="5"/>
        <v>351.4285714285715</v>
      </c>
      <c r="K13" s="94">
        <f t="shared" si="5"/>
        <v>0.99999999999999956</v>
      </c>
    </row>
    <row r="15" spans="1:13" x14ac:dyDescent="0.25">
      <c r="D15" t="s">
        <v>42</v>
      </c>
      <c r="E15" t="s">
        <v>42</v>
      </c>
      <c r="F15" t="s">
        <v>42</v>
      </c>
      <c r="G15" t="s">
        <v>43</v>
      </c>
      <c r="H15" t="s">
        <v>44</v>
      </c>
      <c r="I15" t="s">
        <v>45</v>
      </c>
      <c r="J15" t="s">
        <v>88</v>
      </c>
      <c r="K15" t="s">
        <v>48</v>
      </c>
    </row>
    <row r="16" spans="1:13" x14ac:dyDescent="0.25">
      <c r="J16" t="s">
        <v>47</v>
      </c>
    </row>
  </sheetData>
  <mergeCells count="2">
    <mergeCell ref="D2:F2"/>
    <mergeCell ref="M2:M3"/>
  </mergeCells>
  <hyperlinks>
    <hyperlink ref="M2:M3" location="'FI 2022'!M1" display="'FI 2022'!M1" xr:uid="{539AF4D9-B72B-4CF0-9B8F-CF80FB7B7C2A}"/>
  </hyperlinks>
  <pageMargins left="0.70866141732283472" right="0.70866141732283472" top="0.74803149606299213" bottom="0.74803149606299213" header="0.31496062992125984" footer="0.31496062992125984"/>
  <pageSetup paperSize="14" scale="99" orientation="landscape" verticalDpi="0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FFA8-87F9-49E4-ADD6-7341A1B9CFD1}">
  <dimension ref="A1:M19"/>
  <sheetViews>
    <sheetView zoomScaleNormal="100" workbookViewId="0">
      <selection activeCell="J8" sqref="J8"/>
    </sheetView>
  </sheetViews>
  <sheetFormatPr baseColWidth="10" defaultRowHeight="15" x14ac:dyDescent="0.25"/>
  <cols>
    <col min="1" max="1" width="2.85546875" bestFit="1" customWidth="1"/>
    <col min="2" max="2" width="37.5703125" bestFit="1" customWidth="1"/>
    <col min="4" max="4" width="10.42578125" customWidth="1"/>
    <col min="5" max="5" width="10.85546875" customWidth="1"/>
    <col min="6" max="6" width="10.5703125" customWidth="1"/>
    <col min="7" max="7" width="10.42578125" customWidth="1"/>
    <col min="8" max="8" width="10" customWidth="1"/>
    <col min="12" max="12" width="3.85546875" customWidth="1"/>
  </cols>
  <sheetData>
    <row r="1" spans="1:13" ht="15.75" thickBot="1" x14ac:dyDescent="0.3">
      <c r="C1" s="28">
        <v>1</v>
      </c>
      <c r="D1" s="28">
        <v>2</v>
      </c>
      <c r="E1" s="28">
        <v>3</v>
      </c>
      <c r="F1" s="28">
        <v>4</v>
      </c>
      <c r="G1" s="28">
        <v>5</v>
      </c>
      <c r="H1" s="28">
        <v>6</v>
      </c>
      <c r="I1" s="28">
        <v>7</v>
      </c>
      <c r="J1" s="28">
        <v>8</v>
      </c>
      <c r="K1" s="28">
        <v>9</v>
      </c>
    </row>
    <row r="2" spans="1:13" ht="15" customHeight="1" thickTop="1" x14ac:dyDescent="0.25">
      <c r="D2" s="183">
        <v>2</v>
      </c>
      <c r="E2" s="183">
        <v>3</v>
      </c>
      <c r="F2" s="183">
        <v>4</v>
      </c>
      <c r="G2" s="183">
        <v>5</v>
      </c>
      <c r="H2" s="183">
        <v>6</v>
      </c>
      <c r="M2" s="187" t="s">
        <v>121</v>
      </c>
    </row>
    <row r="3" spans="1:13" ht="51.75" thickBot="1" x14ac:dyDescent="0.3">
      <c r="A3" s="5" t="s">
        <v>20</v>
      </c>
      <c r="B3" s="4" t="s">
        <v>1</v>
      </c>
      <c r="C3" s="70" t="s">
        <v>0</v>
      </c>
      <c r="D3" s="6" t="s">
        <v>66</v>
      </c>
      <c r="E3" s="6" t="s">
        <v>67</v>
      </c>
      <c r="F3" s="6" t="s">
        <v>68</v>
      </c>
      <c r="G3" s="6" t="s">
        <v>69</v>
      </c>
      <c r="H3" s="6" t="s">
        <v>77</v>
      </c>
      <c r="I3" s="6" t="s">
        <v>70</v>
      </c>
      <c r="J3" s="18" t="s">
        <v>93</v>
      </c>
      <c r="K3" s="83" t="s">
        <v>41</v>
      </c>
      <c r="L3" s="67"/>
      <c r="M3" s="188"/>
    </row>
    <row r="4" spans="1:13" ht="15.75" thickTop="1" x14ac:dyDescent="0.25">
      <c r="A4" s="1">
        <v>1</v>
      </c>
      <c r="B4" s="3" t="s">
        <v>3</v>
      </c>
      <c r="C4" s="71" t="s">
        <v>2</v>
      </c>
      <c r="D4" s="14">
        <v>0</v>
      </c>
      <c r="E4" s="14">
        <v>3</v>
      </c>
      <c r="F4" s="14">
        <v>1</v>
      </c>
      <c r="G4" s="14">
        <v>1</v>
      </c>
      <c r="H4" s="14">
        <v>1</v>
      </c>
      <c r="I4" s="14">
        <f>SUM(D4:H4)</f>
        <v>6</v>
      </c>
      <c r="J4" s="95">
        <f>D4*$D$2+E4*$E$2+F4*$F$2+G4*$G$2+$H$2*H4</f>
        <v>24</v>
      </c>
      <c r="K4" s="84">
        <f>J4/$J$13</f>
        <v>0.43636363636363634</v>
      </c>
      <c r="L4" s="68"/>
    </row>
    <row r="5" spans="1:13" x14ac:dyDescent="0.25">
      <c r="A5" s="1">
        <v>2</v>
      </c>
      <c r="B5" s="3" t="s">
        <v>5</v>
      </c>
      <c r="C5" s="71" t="s">
        <v>4</v>
      </c>
      <c r="D5" s="14">
        <v>0</v>
      </c>
      <c r="E5" s="14">
        <v>1</v>
      </c>
      <c r="F5" s="14">
        <v>1</v>
      </c>
      <c r="G5" s="14">
        <v>1</v>
      </c>
      <c r="H5" s="14">
        <v>1</v>
      </c>
      <c r="I5" s="14">
        <f t="shared" ref="I5:I12" si="0">SUM(D5:H5)</f>
        <v>4</v>
      </c>
      <c r="J5" s="95">
        <f t="shared" ref="J5:J12" si="1">D5*$D$2+E5*$E$2+F5*$F$2+G5*$G$2+$H$2*H5</f>
        <v>18</v>
      </c>
      <c r="K5" s="84">
        <f t="shared" ref="K5:K12" si="2">J5/$J$13</f>
        <v>0.32727272727272727</v>
      </c>
      <c r="L5" s="68"/>
    </row>
    <row r="6" spans="1:13" x14ac:dyDescent="0.25">
      <c r="A6" s="1">
        <v>3</v>
      </c>
      <c r="B6" s="3" t="s">
        <v>7</v>
      </c>
      <c r="C6" s="71" t="s">
        <v>6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f t="shared" si="0"/>
        <v>0</v>
      </c>
      <c r="J6" s="95">
        <f t="shared" si="1"/>
        <v>0</v>
      </c>
      <c r="K6" s="84">
        <f t="shared" si="2"/>
        <v>0</v>
      </c>
      <c r="L6" s="68"/>
    </row>
    <row r="7" spans="1:13" x14ac:dyDescent="0.25">
      <c r="A7" s="1">
        <v>4</v>
      </c>
      <c r="B7" s="3" t="s">
        <v>9</v>
      </c>
      <c r="C7" s="71" t="s">
        <v>8</v>
      </c>
      <c r="D7" s="14">
        <v>0</v>
      </c>
      <c r="E7" s="14">
        <v>0</v>
      </c>
      <c r="F7" s="14">
        <v>0</v>
      </c>
      <c r="G7" s="14">
        <v>1</v>
      </c>
      <c r="H7" s="14">
        <v>0</v>
      </c>
      <c r="I7" s="14">
        <f t="shared" si="0"/>
        <v>1</v>
      </c>
      <c r="J7" s="95">
        <f t="shared" si="1"/>
        <v>5</v>
      </c>
      <c r="K7" s="84">
        <f t="shared" si="2"/>
        <v>9.0909090909090912E-2</v>
      </c>
      <c r="L7" s="68"/>
    </row>
    <row r="8" spans="1:13" x14ac:dyDescent="0.25">
      <c r="A8" s="1">
        <v>5</v>
      </c>
      <c r="B8" s="3" t="s">
        <v>11</v>
      </c>
      <c r="C8" s="71" t="s">
        <v>10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f t="shared" si="0"/>
        <v>0</v>
      </c>
      <c r="J8" s="95">
        <f t="shared" si="1"/>
        <v>0</v>
      </c>
      <c r="K8" s="84">
        <f t="shared" si="2"/>
        <v>0</v>
      </c>
      <c r="L8" s="68"/>
    </row>
    <row r="9" spans="1:13" x14ac:dyDescent="0.25">
      <c r="A9" s="1">
        <v>6</v>
      </c>
      <c r="B9" s="3" t="s">
        <v>13</v>
      </c>
      <c r="C9" s="71" t="s">
        <v>12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f t="shared" si="0"/>
        <v>0</v>
      </c>
      <c r="J9" s="95">
        <f t="shared" si="1"/>
        <v>0</v>
      </c>
      <c r="K9" s="84">
        <f t="shared" si="2"/>
        <v>0</v>
      </c>
      <c r="L9" s="68"/>
    </row>
    <row r="10" spans="1:13" x14ac:dyDescent="0.25">
      <c r="A10" s="1">
        <v>7</v>
      </c>
      <c r="B10" s="3" t="s">
        <v>83</v>
      </c>
      <c r="C10" s="77" t="s">
        <v>81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f t="shared" si="0"/>
        <v>0</v>
      </c>
      <c r="J10" s="95">
        <f t="shared" si="1"/>
        <v>0</v>
      </c>
      <c r="K10" s="84">
        <f t="shared" si="2"/>
        <v>0</v>
      </c>
      <c r="L10" s="68"/>
    </row>
    <row r="11" spans="1:13" x14ac:dyDescent="0.25">
      <c r="A11" s="1">
        <v>8</v>
      </c>
      <c r="B11" s="3" t="s">
        <v>84</v>
      </c>
      <c r="C11" s="77" t="s">
        <v>82</v>
      </c>
      <c r="D11" s="14">
        <v>1</v>
      </c>
      <c r="E11" s="14">
        <v>0</v>
      </c>
      <c r="F11" s="14">
        <v>1</v>
      </c>
      <c r="G11" s="14">
        <v>0</v>
      </c>
      <c r="H11" s="14">
        <v>0</v>
      </c>
      <c r="I11" s="14">
        <f t="shared" si="0"/>
        <v>2</v>
      </c>
      <c r="J11" s="95">
        <f t="shared" si="1"/>
        <v>6</v>
      </c>
      <c r="K11" s="84">
        <f t="shared" si="2"/>
        <v>0.10909090909090909</v>
      </c>
      <c r="L11" s="68"/>
    </row>
    <row r="12" spans="1:13" x14ac:dyDescent="0.25">
      <c r="A12" s="14">
        <v>9</v>
      </c>
      <c r="B12" s="3" t="s">
        <v>90</v>
      </c>
      <c r="C12" s="77" t="s">
        <v>91</v>
      </c>
      <c r="D12" s="14">
        <v>1</v>
      </c>
      <c r="E12" s="14">
        <v>0</v>
      </c>
      <c r="F12" s="14">
        <v>0</v>
      </c>
      <c r="G12" s="14">
        <v>0</v>
      </c>
      <c r="H12" s="14">
        <v>0</v>
      </c>
      <c r="I12" s="14">
        <f t="shared" si="0"/>
        <v>1</v>
      </c>
      <c r="J12" s="95">
        <f t="shared" si="1"/>
        <v>2</v>
      </c>
      <c r="K12" s="84">
        <f t="shared" si="2"/>
        <v>3.6363636363636362E-2</v>
      </c>
      <c r="L12" s="68"/>
    </row>
    <row r="13" spans="1:13" x14ac:dyDescent="0.25">
      <c r="A13" s="2"/>
      <c r="B13" s="2"/>
      <c r="C13" s="72" t="s">
        <v>14</v>
      </c>
      <c r="D13" s="27">
        <f>SUM(D4:D12)</f>
        <v>2</v>
      </c>
      <c r="E13" s="27">
        <f t="shared" ref="E13:J13" si="3">SUM(E4:E12)</f>
        <v>4</v>
      </c>
      <c r="F13" s="27">
        <f t="shared" si="3"/>
        <v>3</v>
      </c>
      <c r="G13" s="27">
        <f t="shared" si="3"/>
        <v>3</v>
      </c>
      <c r="H13" s="27">
        <f t="shared" si="3"/>
        <v>2</v>
      </c>
      <c r="I13" s="27">
        <f t="shared" si="3"/>
        <v>14</v>
      </c>
      <c r="J13" s="27">
        <f t="shared" si="3"/>
        <v>55</v>
      </c>
      <c r="K13" s="79">
        <f>SUM(K4:K12)</f>
        <v>1</v>
      </c>
      <c r="L13" s="68"/>
    </row>
    <row r="14" spans="1:13" x14ac:dyDescent="0.25">
      <c r="I14" s="16"/>
      <c r="J14" s="16"/>
      <c r="L14" s="67"/>
    </row>
    <row r="15" spans="1:13" x14ac:dyDescent="0.25">
      <c r="D15" t="s">
        <v>42</v>
      </c>
      <c r="E15" t="s">
        <v>42</v>
      </c>
      <c r="F15" t="s">
        <v>42</v>
      </c>
      <c r="G15" t="s">
        <v>42</v>
      </c>
      <c r="I15" s="16" t="s">
        <v>44</v>
      </c>
      <c r="J15" s="16" t="s">
        <v>46</v>
      </c>
      <c r="L15" s="67"/>
    </row>
    <row r="16" spans="1:13" x14ac:dyDescent="0.25">
      <c r="D16" t="s">
        <v>43</v>
      </c>
      <c r="E16" t="s">
        <v>43</v>
      </c>
      <c r="F16" t="s">
        <v>43</v>
      </c>
      <c r="G16" t="s">
        <v>43</v>
      </c>
      <c r="I16" s="16" t="s">
        <v>45</v>
      </c>
      <c r="J16" s="64"/>
      <c r="L16" s="67"/>
    </row>
    <row r="17" spans="8:12" x14ac:dyDescent="0.25">
      <c r="L17" s="67"/>
    </row>
    <row r="18" spans="8:12" x14ac:dyDescent="0.25">
      <c r="H18" s="67"/>
      <c r="I18" s="65"/>
      <c r="J18" s="64"/>
      <c r="L18" s="67"/>
    </row>
    <row r="19" spans="8:12" x14ac:dyDescent="0.25">
      <c r="H19" s="67"/>
      <c r="L19" s="67"/>
    </row>
  </sheetData>
  <mergeCells count="1">
    <mergeCell ref="M2:M3"/>
  </mergeCells>
  <hyperlinks>
    <hyperlink ref="M2:M3" location="'FI 2022'!M1" display="'FI 2022'!M1" xr:uid="{207B35E6-247B-4C61-97BC-976C2E9A8C73}"/>
  </hyperlinks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0F74C-FE09-414F-8679-BC0851566780}">
  <sheetPr>
    <pageSetUpPr fitToPage="1"/>
  </sheetPr>
  <dimension ref="A1:AD17"/>
  <sheetViews>
    <sheetView topLeftCell="H1" zoomScale="80" zoomScaleNormal="80" workbookViewId="0">
      <selection activeCell="U4" sqref="U4"/>
    </sheetView>
  </sheetViews>
  <sheetFormatPr baseColWidth="10" defaultRowHeight="15" x14ac:dyDescent="0.25"/>
  <cols>
    <col min="1" max="1" width="2.85546875" bestFit="1" customWidth="1"/>
    <col min="2" max="2" width="32" bestFit="1" customWidth="1"/>
    <col min="3" max="3" width="8.5703125" bestFit="1" customWidth="1"/>
    <col min="12" max="12" width="1.28515625" customWidth="1"/>
    <col min="14" max="17" width="10.7109375" customWidth="1"/>
    <col min="21" max="21" width="9.28515625" bestFit="1" customWidth="1"/>
    <col min="22" max="22" width="12.5703125" customWidth="1"/>
    <col min="24" max="24" width="1.28515625" customWidth="1"/>
    <col min="25" max="25" width="6.5703125" bestFit="1" customWidth="1"/>
    <col min="29" max="29" width="3.85546875" customWidth="1"/>
  </cols>
  <sheetData>
    <row r="1" spans="1:30" ht="15.75" thickBot="1" x14ac:dyDescent="0.3"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>
        <v>1</v>
      </c>
      <c r="Z1" s="28">
        <v>2</v>
      </c>
      <c r="AA1" s="28">
        <v>3</v>
      </c>
      <c r="AB1" s="28">
        <v>4</v>
      </c>
    </row>
    <row r="2" spans="1:30" ht="15.75" customHeight="1" thickTop="1" thickBot="1" x14ac:dyDescent="0.3">
      <c r="Q2" s="189"/>
      <c r="R2" s="189"/>
      <c r="S2" s="189"/>
      <c r="T2" s="189"/>
      <c r="U2" s="189"/>
      <c r="V2" s="189"/>
      <c r="W2" s="189"/>
      <c r="X2" s="31"/>
      <c r="Z2">
        <v>0.7</v>
      </c>
      <c r="AA2">
        <v>0.3</v>
      </c>
      <c r="AD2" s="187" t="s">
        <v>121</v>
      </c>
    </row>
    <row r="3" spans="1:30" ht="102.75" thickBot="1" x14ac:dyDescent="0.3">
      <c r="A3" s="115" t="s">
        <v>20</v>
      </c>
      <c r="B3" s="115" t="s">
        <v>25</v>
      </c>
      <c r="C3" s="116" t="s">
        <v>26</v>
      </c>
      <c r="D3" s="117" t="s">
        <v>27</v>
      </c>
      <c r="E3" s="118" t="s">
        <v>28</v>
      </c>
      <c r="F3" s="117" t="s">
        <v>78</v>
      </c>
      <c r="G3" s="118" t="s">
        <v>79</v>
      </c>
      <c r="H3" s="117" t="s">
        <v>86</v>
      </c>
      <c r="I3" s="118" t="s">
        <v>87</v>
      </c>
      <c r="J3" s="117" t="s">
        <v>94</v>
      </c>
      <c r="K3" s="118" t="s">
        <v>95</v>
      </c>
      <c r="M3" s="130" t="s">
        <v>0</v>
      </c>
      <c r="N3" s="119" t="s">
        <v>96</v>
      </c>
      <c r="O3" s="120" t="s">
        <v>97</v>
      </c>
      <c r="P3" s="121" t="s">
        <v>98</v>
      </c>
      <c r="Q3" s="119" t="s">
        <v>99</v>
      </c>
      <c r="R3" s="120" t="s">
        <v>100</v>
      </c>
      <c r="S3" s="121" t="s">
        <v>101</v>
      </c>
      <c r="T3" s="133" t="s">
        <v>33</v>
      </c>
      <c r="U3" s="119" t="s">
        <v>102</v>
      </c>
      <c r="V3" s="121" t="s">
        <v>103</v>
      </c>
      <c r="W3" s="127" t="s">
        <v>34</v>
      </c>
      <c r="X3" s="31"/>
      <c r="Y3" s="139" t="s">
        <v>0</v>
      </c>
      <c r="Z3" s="140" t="s">
        <v>38</v>
      </c>
      <c r="AA3" s="140" t="s">
        <v>36</v>
      </c>
      <c r="AB3" s="141" t="s">
        <v>39</v>
      </c>
      <c r="AD3" s="188"/>
    </row>
    <row r="4" spans="1:30" x14ac:dyDescent="0.25">
      <c r="A4" s="1">
        <v>1</v>
      </c>
      <c r="B4" s="12" t="s">
        <v>3</v>
      </c>
      <c r="C4" s="11" t="s">
        <v>2</v>
      </c>
      <c r="D4" s="45">
        <v>155</v>
      </c>
      <c r="E4" s="46">
        <v>326</v>
      </c>
      <c r="F4" s="45">
        <v>156</v>
      </c>
      <c r="G4" s="46">
        <v>309</v>
      </c>
      <c r="H4" s="45">
        <v>167</v>
      </c>
      <c r="I4" s="46">
        <v>342</v>
      </c>
      <c r="J4" s="45">
        <v>171</v>
      </c>
      <c r="K4" s="46">
        <v>313</v>
      </c>
      <c r="M4" s="131" t="s">
        <v>2</v>
      </c>
      <c r="N4" s="47">
        <f>D4+F4+H4</f>
        <v>478</v>
      </c>
      <c r="O4" s="14">
        <f t="shared" ref="N4:O12" si="0">E4+G4+I4</f>
        <v>977</v>
      </c>
      <c r="P4" s="122">
        <f t="shared" ref="P4:P12" si="1">N4/O4</f>
        <v>0.48925281473899696</v>
      </c>
      <c r="Q4" s="48">
        <f>SUM(F4,H4,J4)</f>
        <v>494</v>
      </c>
      <c r="R4" s="13">
        <f>SUM(G4,I4,K4)</f>
        <v>964</v>
      </c>
      <c r="S4" s="126">
        <f>Q4/R4</f>
        <v>0.51244813278008294</v>
      </c>
      <c r="T4" s="134">
        <f>S4/$S$13</f>
        <v>0.15226195701017223</v>
      </c>
      <c r="U4" s="137">
        <f>+S4/P4-1</f>
        <v>4.7409677251341042E-2</v>
      </c>
      <c r="V4" s="126">
        <f>IF(U4&lt;0,0,U4)</f>
        <v>4.7409677251341042E-2</v>
      </c>
      <c r="W4" s="128">
        <f>+V4/$V$13</f>
        <v>7.5986948576128283E-2</v>
      </c>
      <c r="X4" s="31"/>
      <c r="Y4" s="142" t="s">
        <v>2</v>
      </c>
      <c r="Z4" s="34">
        <f>T4*$Z$2</f>
        <v>0.10658336990712056</v>
      </c>
      <c r="AA4" s="34">
        <f>W4*$AA$2</f>
        <v>2.2796084572838483E-2</v>
      </c>
      <c r="AB4" s="143">
        <f>SUM(Z4:AA4)</f>
        <v>0.12937945447995905</v>
      </c>
    </row>
    <row r="5" spans="1:30" x14ac:dyDescent="0.25">
      <c r="A5" s="1">
        <v>2</v>
      </c>
      <c r="B5" s="12" t="s">
        <v>5</v>
      </c>
      <c r="C5" s="11" t="s">
        <v>4</v>
      </c>
      <c r="D5" s="45">
        <v>128</v>
      </c>
      <c r="E5" s="46">
        <v>167</v>
      </c>
      <c r="F5" s="45">
        <v>130</v>
      </c>
      <c r="G5" s="46">
        <v>172</v>
      </c>
      <c r="H5" s="45">
        <v>151</v>
      </c>
      <c r="I5" s="46">
        <v>196</v>
      </c>
      <c r="J5" s="45">
        <v>155</v>
      </c>
      <c r="K5" s="46">
        <v>196</v>
      </c>
      <c r="M5" s="131" t="s">
        <v>4</v>
      </c>
      <c r="N5" s="47">
        <f t="shared" si="0"/>
        <v>409</v>
      </c>
      <c r="O5" s="14">
        <f>E5+G5+I5</f>
        <v>535</v>
      </c>
      <c r="P5" s="122">
        <f>N5/O5</f>
        <v>0.76448598130841117</v>
      </c>
      <c r="Q5" s="48">
        <f t="shared" ref="Q5:R9" si="2">SUM(F5,H5,J5)</f>
        <v>436</v>
      </c>
      <c r="R5" s="13">
        <f t="shared" si="2"/>
        <v>564</v>
      </c>
      <c r="S5" s="126">
        <f t="shared" ref="S5:S9" si="3">Q5/R5</f>
        <v>0.77304964539007093</v>
      </c>
      <c r="T5" s="134">
        <f t="shared" ref="T5:T9" si="4">S5/$S$13</f>
        <v>0.2296935911046151</v>
      </c>
      <c r="U5" s="137">
        <f t="shared" ref="U5:U9" si="5">+S5/P5-1</f>
        <v>1.1201858884322569E-2</v>
      </c>
      <c r="V5" s="126">
        <f t="shared" ref="V5:V9" si="6">IF(U5&lt;0,0,U5)</f>
        <v>1.1201858884322569E-2</v>
      </c>
      <c r="W5" s="128">
        <f t="shared" ref="W5:W9" si="7">+V5/$V$13</f>
        <v>1.7954036482625235E-2</v>
      </c>
      <c r="X5" s="31"/>
      <c r="Y5" s="142" t="s">
        <v>4</v>
      </c>
      <c r="Z5" s="34">
        <f t="shared" ref="Z5:Z9" si="8">T5*$Z$2</f>
        <v>0.16078551377323055</v>
      </c>
      <c r="AA5" s="34">
        <f t="shared" ref="AA5:AA9" si="9">W5*$AA$2</f>
        <v>5.38621094478757E-3</v>
      </c>
      <c r="AB5" s="143">
        <f t="shared" ref="AB5:AB9" si="10">SUM(Z5:AA5)</f>
        <v>0.16617172471801811</v>
      </c>
    </row>
    <row r="6" spans="1:30" x14ac:dyDescent="0.25">
      <c r="A6" s="1">
        <v>3</v>
      </c>
      <c r="B6" s="12" t="s">
        <v>7</v>
      </c>
      <c r="C6" s="11" t="s">
        <v>6</v>
      </c>
      <c r="D6" s="45">
        <v>42</v>
      </c>
      <c r="E6" s="46">
        <v>141</v>
      </c>
      <c r="F6" s="45">
        <v>43</v>
      </c>
      <c r="G6" s="46">
        <v>131</v>
      </c>
      <c r="H6" s="45">
        <v>46</v>
      </c>
      <c r="I6" s="46">
        <v>126</v>
      </c>
      <c r="J6" s="45">
        <v>52</v>
      </c>
      <c r="K6" s="46">
        <v>139</v>
      </c>
      <c r="M6" s="131" t="s">
        <v>6</v>
      </c>
      <c r="N6" s="47">
        <f t="shared" si="0"/>
        <v>131</v>
      </c>
      <c r="O6" s="14">
        <f t="shared" si="0"/>
        <v>398</v>
      </c>
      <c r="P6" s="122">
        <f t="shared" si="1"/>
        <v>0.32914572864321606</v>
      </c>
      <c r="Q6" s="48">
        <f t="shared" si="2"/>
        <v>141</v>
      </c>
      <c r="R6" s="13">
        <f t="shared" si="2"/>
        <v>396</v>
      </c>
      <c r="S6" s="126">
        <f t="shared" si="3"/>
        <v>0.35606060606060608</v>
      </c>
      <c r="T6" s="134">
        <f t="shared" si="4"/>
        <v>0.1057950672956828</v>
      </c>
      <c r="U6" s="137">
        <f t="shared" si="5"/>
        <v>8.1771917649780423E-2</v>
      </c>
      <c r="V6" s="126">
        <f t="shared" si="6"/>
        <v>8.1771917649780423E-2</v>
      </c>
      <c r="W6" s="128">
        <f t="shared" si="7"/>
        <v>0.13106181821243051</v>
      </c>
      <c r="X6" s="31"/>
      <c r="Y6" s="142" t="s">
        <v>6</v>
      </c>
      <c r="Z6" s="34">
        <f t="shared" si="8"/>
        <v>7.4056547106977955E-2</v>
      </c>
      <c r="AA6" s="34">
        <f t="shared" si="9"/>
        <v>3.9318545463729156E-2</v>
      </c>
      <c r="AB6" s="143">
        <f t="shared" si="10"/>
        <v>0.1133750925707071</v>
      </c>
    </row>
    <row r="7" spans="1:30" x14ac:dyDescent="0.25">
      <c r="A7" s="1">
        <v>4</v>
      </c>
      <c r="B7" s="12" t="s">
        <v>9</v>
      </c>
      <c r="C7" s="11" t="s">
        <v>8</v>
      </c>
      <c r="D7" s="45">
        <v>128</v>
      </c>
      <c r="E7" s="46">
        <v>569</v>
      </c>
      <c r="F7" s="45">
        <v>186</v>
      </c>
      <c r="G7" s="46">
        <v>668</v>
      </c>
      <c r="H7" s="45">
        <v>212</v>
      </c>
      <c r="I7" s="46">
        <v>674</v>
      </c>
      <c r="J7" s="45">
        <v>218</v>
      </c>
      <c r="K7" s="46">
        <v>718</v>
      </c>
      <c r="M7" s="131" t="s">
        <v>8</v>
      </c>
      <c r="N7" s="47">
        <f t="shared" si="0"/>
        <v>526</v>
      </c>
      <c r="O7" s="14">
        <f t="shared" si="0"/>
        <v>1911</v>
      </c>
      <c r="P7" s="122">
        <f t="shared" si="1"/>
        <v>0.27524856096284667</v>
      </c>
      <c r="Q7" s="48">
        <f t="shared" si="2"/>
        <v>616</v>
      </c>
      <c r="R7" s="13">
        <f t="shared" si="2"/>
        <v>2060</v>
      </c>
      <c r="S7" s="126">
        <f t="shared" si="3"/>
        <v>0.29902912621359223</v>
      </c>
      <c r="T7" s="134">
        <f t="shared" si="4"/>
        <v>8.8849499193829382E-2</v>
      </c>
      <c r="U7" s="137">
        <f t="shared" si="5"/>
        <v>8.639669238436265E-2</v>
      </c>
      <c r="V7" s="126">
        <f t="shared" si="6"/>
        <v>8.639669238436265E-2</v>
      </c>
      <c r="W7" s="128">
        <f t="shared" si="7"/>
        <v>0.13847428208704879</v>
      </c>
      <c r="X7" s="31"/>
      <c r="Y7" s="142" t="s">
        <v>8</v>
      </c>
      <c r="Z7" s="34">
        <f t="shared" si="8"/>
        <v>6.2194649435680566E-2</v>
      </c>
      <c r="AA7" s="34">
        <f t="shared" si="9"/>
        <v>4.1542284626114638E-2</v>
      </c>
      <c r="AB7" s="143">
        <f>SUM(Z7:AA7)</f>
        <v>0.10373693406179521</v>
      </c>
    </row>
    <row r="8" spans="1:30" x14ac:dyDescent="0.25">
      <c r="A8" s="1">
        <v>5</v>
      </c>
      <c r="B8" s="12" t="s">
        <v>11</v>
      </c>
      <c r="C8" s="11" t="s">
        <v>10</v>
      </c>
      <c r="D8" s="45">
        <v>28</v>
      </c>
      <c r="E8" s="46">
        <v>122</v>
      </c>
      <c r="F8" s="45">
        <v>41</v>
      </c>
      <c r="G8" s="46">
        <v>146</v>
      </c>
      <c r="H8" s="45">
        <v>38</v>
      </c>
      <c r="I8" s="46">
        <v>160</v>
      </c>
      <c r="J8" s="45">
        <v>43</v>
      </c>
      <c r="K8" s="46">
        <v>161</v>
      </c>
      <c r="M8" s="131" t="s">
        <v>10</v>
      </c>
      <c r="N8" s="47">
        <f t="shared" si="0"/>
        <v>107</v>
      </c>
      <c r="O8" s="14">
        <f t="shared" si="0"/>
        <v>428</v>
      </c>
      <c r="P8" s="122">
        <f t="shared" si="1"/>
        <v>0.25</v>
      </c>
      <c r="Q8" s="48">
        <f t="shared" si="2"/>
        <v>122</v>
      </c>
      <c r="R8" s="13">
        <f t="shared" si="2"/>
        <v>467</v>
      </c>
      <c r="S8" s="126">
        <f t="shared" si="3"/>
        <v>0.26124197002141325</v>
      </c>
      <c r="T8" s="134">
        <f t="shared" si="4"/>
        <v>7.7621931009598424E-2</v>
      </c>
      <c r="U8" s="137">
        <f t="shared" si="5"/>
        <v>4.4967880085653E-2</v>
      </c>
      <c r="V8" s="126">
        <f t="shared" si="6"/>
        <v>4.4967880085653E-2</v>
      </c>
      <c r="W8" s="128">
        <f t="shared" si="7"/>
        <v>7.2073302113638923E-2</v>
      </c>
      <c r="X8" s="31"/>
      <c r="Y8" s="142" t="s">
        <v>10</v>
      </c>
      <c r="Z8" s="34">
        <f t="shared" si="8"/>
        <v>5.4335351706718896E-2</v>
      </c>
      <c r="AA8" s="34">
        <f t="shared" si="9"/>
        <v>2.1621990634091676E-2</v>
      </c>
      <c r="AB8" s="143">
        <f t="shared" si="10"/>
        <v>7.5957342340810571E-2</v>
      </c>
    </row>
    <row r="9" spans="1:30" x14ac:dyDescent="0.25">
      <c r="A9" s="1">
        <v>6</v>
      </c>
      <c r="B9" s="12" t="s">
        <v>13</v>
      </c>
      <c r="C9" s="11" t="s">
        <v>12</v>
      </c>
      <c r="D9" s="45">
        <v>21</v>
      </c>
      <c r="E9" s="46">
        <v>52</v>
      </c>
      <c r="F9" s="45">
        <v>34</v>
      </c>
      <c r="G9" s="46">
        <v>82</v>
      </c>
      <c r="H9" s="45">
        <v>35</v>
      </c>
      <c r="I9" s="46">
        <v>88</v>
      </c>
      <c r="J9" s="45">
        <v>28</v>
      </c>
      <c r="K9" s="46">
        <v>72</v>
      </c>
      <c r="M9" s="131" t="s">
        <v>12</v>
      </c>
      <c r="N9" s="47">
        <f t="shared" si="0"/>
        <v>90</v>
      </c>
      <c r="O9" s="14">
        <f t="shared" si="0"/>
        <v>222</v>
      </c>
      <c r="P9" s="122">
        <f t="shared" si="1"/>
        <v>0.40540540540540543</v>
      </c>
      <c r="Q9" s="48">
        <f t="shared" si="2"/>
        <v>97</v>
      </c>
      <c r="R9" s="13">
        <f t="shared" si="2"/>
        <v>242</v>
      </c>
      <c r="S9" s="126">
        <f t="shared" si="3"/>
        <v>0.40082644628099173</v>
      </c>
      <c r="T9" s="134">
        <f t="shared" si="4"/>
        <v>0.11909618794214195</v>
      </c>
      <c r="U9" s="148">
        <f t="shared" si="5"/>
        <v>-1.1294765840220489E-2</v>
      </c>
      <c r="V9" s="126">
        <f t="shared" si="6"/>
        <v>0</v>
      </c>
      <c r="W9" s="128">
        <f t="shared" si="7"/>
        <v>0</v>
      </c>
      <c r="X9" s="31"/>
      <c r="Y9" s="142" t="s">
        <v>12</v>
      </c>
      <c r="Z9" s="34">
        <f t="shared" si="8"/>
        <v>8.3367331559499366E-2</v>
      </c>
      <c r="AA9" s="34">
        <f t="shared" si="9"/>
        <v>0</v>
      </c>
      <c r="AB9" s="143">
        <f t="shared" si="10"/>
        <v>8.3367331559499366E-2</v>
      </c>
    </row>
    <row r="10" spans="1:30" x14ac:dyDescent="0.25">
      <c r="A10" s="1">
        <v>7</v>
      </c>
      <c r="B10" s="3" t="s">
        <v>83</v>
      </c>
      <c r="C10" s="11" t="s">
        <v>81</v>
      </c>
      <c r="D10" s="45">
        <v>42</v>
      </c>
      <c r="E10" s="46">
        <v>222</v>
      </c>
      <c r="F10" s="45">
        <v>49</v>
      </c>
      <c r="G10" s="46">
        <v>230</v>
      </c>
      <c r="H10" s="45">
        <v>65</v>
      </c>
      <c r="I10" s="46">
        <v>199</v>
      </c>
      <c r="J10" s="45">
        <v>89</v>
      </c>
      <c r="K10" s="46">
        <v>247</v>
      </c>
      <c r="M10" s="131" t="s">
        <v>81</v>
      </c>
      <c r="N10" s="47">
        <f t="shared" si="0"/>
        <v>156</v>
      </c>
      <c r="O10" s="14">
        <f t="shared" si="0"/>
        <v>651</v>
      </c>
      <c r="P10" s="122">
        <f t="shared" si="1"/>
        <v>0.23963133640552994</v>
      </c>
      <c r="Q10" s="48">
        <f t="shared" ref="Q10:Q12" si="11">SUM(F10,H10,J10)</f>
        <v>203</v>
      </c>
      <c r="R10" s="13">
        <f t="shared" ref="R10:R12" si="12">SUM(G10,I10,K10)</f>
        <v>676</v>
      </c>
      <c r="S10" s="126">
        <f t="shared" ref="S10:S12" si="13">Q10/R10</f>
        <v>0.30029585798816566</v>
      </c>
      <c r="T10" s="134">
        <f t="shared" ref="T10" si="14">S10/$S$13</f>
        <v>8.9225878863625721E-2</v>
      </c>
      <c r="U10" s="137">
        <f t="shared" ref="U10:U12" si="15">+S10/P10-1</f>
        <v>0.25315771506599916</v>
      </c>
      <c r="V10" s="126">
        <f t="shared" ref="V10:V12" si="16">IF(U10&lt;0,0,U10)</f>
        <v>0.25315771506599916</v>
      </c>
      <c r="W10" s="128">
        <f t="shared" ref="W10:W12" si="17">+V10/$V$13</f>
        <v>0.40575433944398093</v>
      </c>
      <c r="X10" s="93"/>
      <c r="Y10" s="144" t="s">
        <v>81</v>
      </c>
      <c r="Z10" s="34">
        <f t="shared" ref="Z10" si="18">T10*$Z$2</f>
        <v>6.2458115204537999E-2</v>
      </c>
      <c r="AA10" s="34">
        <f t="shared" ref="AA10:AA12" si="19">W10*$AA$2</f>
        <v>0.12172630183319427</v>
      </c>
      <c r="AB10" s="143">
        <f t="shared" ref="AB10:AB12" si="20">SUM(Z10:AA10)</f>
        <v>0.18418441703773228</v>
      </c>
    </row>
    <row r="11" spans="1:30" x14ac:dyDescent="0.25">
      <c r="A11" s="1">
        <v>8</v>
      </c>
      <c r="B11" s="3" t="s">
        <v>84</v>
      </c>
      <c r="C11" s="11" t="s">
        <v>82</v>
      </c>
      <c r="D11" s="45">
        <v>174</v>
      </c>
      <c r="E11" s="46">
        <v>549</v>
      </c>
      <c r="F11" s="45">
        <v>194</v>
      </c>
      <c r="G11" s="46">
        <v>580</v>
      </c>
      <c r="H11" s="45">
        <v>199</v>
      </c>
      <c r="I11" s="46">
        <v>589</v>
      </c>
      <c r="J11" s="45">
        <v>196</v>
      </c>
      <c r="K11" s="46">
        <v>571</v>
      </c>
      <c r="M11" s="131" t="s">
        <v>82</v>
      </c>
      <c r="N11" s="47">
        <f t="shared" si="0"/>
        <v>567</v>
      </c>
      <c r="O11" s="14">
        <f t="shared" si="0"/>
        <v>1718</v>
      </c>
      <c r="P11" s="122">
        <f t="shared" si="1"/>
        <v>0.33003492433061699</v>
      </c>
      <c r="Q11" s="48">
        <f t="shared" si="11"/>
        <v>589</v>
      </c>
      <c r="R11" s="13">
        <f t="shared" si="12"/>
        <v>1740</v>
      </c>
      <c r="S11" s="126">
        <f t="shared" si="13"/>
        <v>0.33850574712643677</v>
      </c>
      <c r="T11" s="134">
        <f>S11/$S$13</f>
        <v>0.10057905223899176</v>
      </c>
      <c r="U11" s="137">
        <f t="shared" si="15"/>
        <v>2.5666443674106532E-2</v>
      </c>
      <c r="V11" s="126">
        <f t="shared" si="16"/>
        <v>2.5666443674106532E-2</v>
      </c>
      <c r="W11" s="128">
        <f t="shared" si="17"/>
        <v>4.1137481811084446E-2</v>
      </c>
      <c r="X11" s="93"/>
      <c r="Y11" s="144" t="s">
        <v>82</v>
      </c>
      <c r="Z11" s="34">
        <f>T11*$Z$2</f>
        <v>7.0405336567294224E-2</v>
      </c>
      <c r="AA11" s="34">
        <f t="shared" si="19"/>
        <v>1.2341244543325334E-2</v>
      </c>
      <c r="AB11" s="143">
        <f t="shared" si="20"/>
        <v>8.2746581110619555E-2</v>
      </c>
    </row>
    <row r="12" spans="1:30" x14ac:dyDescent="0.25">
      <c r="A12" s="1">
        <v>9</v>
      </c>
      <c r="B12" s="3" t="s">
        <v>90</v>
      </c>
      <c r="C12" s="1" t="s">
        <v>91</v>
      </c>
      <c r="D12" s="45">
        <v>62</v>
      </c>
      <c r="E12" s="46">
        <v>521</v>
      </c>
      <c r="F12" s="45">
        <v>69</v>
      </c>
      <c r="G12" s="46">
        <v>586</v>
      </c>
      <c r="H12" s="45">
        <v>68</v>
      </c>
      <c r="I12" s="46">
        <v>614</v>
      </c>
      <c r="J12" s="45">
        <v>90</v>
      </c>
      <c r="K12" s="46">
        <v>629</v>
      </c>
      <c r="M12" s="131" t="s">
        <v>91</v>
      </c>
      <c r="N12" s="47">
        <f t="shared" si="0"/>
        <v>199</v>
      </c>
      <c r="O12" s="14">
        <f t="shared" si="0"/>
        <v>1721</v>
      </c>
      <c r="P12" s="122">
        <f t="shared" si="1"/>
        <v>0.11563044741429401</v>
      </c>
      <c r="Q12" s="48">
        <f t="shared" si="11"/>
        <v>227</v>
      </c>
      <c r="R12" s="13">
        <f t="shared" si="12"/>
        <v>1829</v>
      </c>
      <c r="S12" s="126">
        <f t="shared" si="13"/>
        <v>0.12411153635866594</v>
      </c>
      <c r="T12" s="134">
        <f>S12/$S$13</f>
        <v>3.6876835341342666E-2</v>
      </c>
      <c r="U12" s="137">
        <f t="shared" si="15"/>
        <v>7.3346502880724085E-2</v>
      </c>
      <c r="V12" s="126">
        <f t="shared" si="16"/>
        <v>7.3346502880724085E-2</v>
      </c>
      <c r="W12" s="128">
        <f t="shared" si="17"/>
        <v>0.11755779127306284</v>
      </c>
      <c r="X12" s="104"/>
      <c r="Y12" s="144" t="s">
        <v>91</v>
      </c>
      <c r="Z12" s="34">
        <f>T12*$Z$2</f>
        <v>2.5813784738939864E-2</v>
      </c>
      <c r="AA12" s="34">
        <f t="shared" si="19"/>
        <v>3.5267337381918853E-2</v>
      </c>
      <c r="AB12" s="143">
        <f t="shared" si="20"/>
        <v>6.1081122120858714E-2</v>
      </c>
    </row>
    <row r="13" spans="1:30" ht="15.75" thickBot="1" x14ac:dyDescent="0.3">
      <c r="A13" s="2"/>
      <c r="C13" s="10"/>
      <c r="D13" s="44">
        <f>SUM(D4:D12)</f>
        <v>780</v>
      </c>
      <c r="E13" s="114">
        <f t="shared" ref="E13:K13" si="21">SUM(E4:E12)</f>
        <v>2669</v>
      </c>
      <c r="F13" s="44">
        <f t="shared" si="21"/>
        <v>902</v>
      </c>
      <c r="G13" s="114">
        <f t="shared" si="21"/>
        <v>2904</v>
      </c>
      <c r="H13" s="44">
        <f t="shared" si="21"/>
        <v>981</v>
      </c>
      <c r="I13" s="114">
        <f t="shared" si="21"/>
        <v>2988</v>
      </c>
      <c r="J13" s="44">
        <f t="shared" si="21"/>
        <v>1042</v>
      </c>
      <c r="K13" s="114">
        <f t="shared" si="21"/>
        <v>3046</v>
      </c>
      <c r="M13" s="132" t="s">
        <v>14</v>
      </c>
      <c r="N13" s="44">
        <f>SUM(N4:N12)</f>
        <v>2663</v>
      </c>
      <c r="O13" s="124">
        <f t="shared" ref="O13:P13" si="22">SUM(O4:O12)</f>
        <v>8561</v>
      </c>
      <c r="P13" s="125">
        <f t="shared" si="22"/>
        <v>3.1988351992093169</v>
      </c>
      <c r="Q13" s="44">
        <f t="shared" ref="Q13" si="23">SUM(Q4:Q12)</f>
        <v>2925</v>
      </c>
      <c r="R13" s="124">
        <f t="shared" ref="R13" si="24">SUM(R4:R12)</f>
        <v>8938</v>
      </c>
      <c r="S13" s="125">
        <f t="shared" ref="S13" si="25">SUM(S4:S12)</f>
        <v>3.3655690682200254</v>
      </c>
      <c r="T13" s="135">
        <f>SUM(T4:T12)</f>
        <v>1</v>
      </c>
      <c r="U13" s="138"/>
      <c r="V13" s="125">
        <f>SUM(V4:V12)</f>
        <v>0.62391868787628946</v>
      </c>
      <c r="W13" s="129">
        <f>SUM(W4:W12)</f>
        <v>1</v>
      </c>
      <c r="X13" s="31"/>
      <c r="Y13" s="145" t="str">
        <f>+M13</f>
        <v>TOTAL</v>
      </c>
      <c r="Z13" s="146">
        <f>SUM(Z4:Z12)</f>
        <v>0.70000000000000007</v>
      </c>
      <c r="AA13" s="146">
        <f t="shared" ref="AA13:AB13" si="26">SUM(AA4:AA12)</f>
        <v>0.3</v>
      </c>
      <c r="AB13" s="147">
        <f t="shared" si="26"/>
        <v>0.99999999999999978</v>
      </c>
    </row>
    <row r="14" spans="1:30" x14ac:dyDescent="0.25">
      <c r="N14" t="s">
        <v>56</v>
      </c>
      <c r="O14" t="s">
        <v>56</v>
      </c>
      <c r="P14" t="s">
        <v>56</v>
      </c>
      <c r="Q14" t="s">
        <v>55</v>
      </c>
      <c r="R14" t="s">
        <v>55</v>
      </c>
      <c r="S14" t="s">
        <v>55</v>
      </c>
      <c r="T14" t="s">
        <v>55</v>
      </c>
      <c r="X14" s="31"/>
      <c r="Z14" t="s">
        <v>55</v>
      </c>
      <c r="AA14" t="s">
        <v>56</v>
      </c>
    </row>
    <row r="15" spans="1:30" x14ac:dyDescent="0.25">
      <c r="N15" t="s">
        <v>46</v>
      </c>
      <c r="O15" t="s">
        <v>46</v>
      </c>
      <c r="P15" t="s">
        <v>46</v>
      </c>
      <c r="Q15" t="s">
        <v>42</v>
      </c>
      <c r="R15" t="s">
        <v>42</v>
      </c>
      <c r="S15" t="s">
        <v>42</v>
      </c>
      <c r="T15" t="s">
        <v>44</v>
      </c>
      <c r="U15" t="s">
        <v>47</v>
      </c>
      <c r="V15" t="s">
        <v>48</v>
      </c>
      <c r="W15" t="s">
        <v>58</v>
      </c>
      <c r="X15" s="31"/>
      <c r="Z15" t="s">
        <v>45</v>
      </c>
      <c r="AA15" t="s">
        <v>59</v>
      </c>
    </row>
    <row r="16" spans="1:30" x14ac:dyDescent="0.25">
      <c r="N16" t="s">
        <v>54</v>
      </c>
      <c r="O16" t="s">
        <v>52</v>
      </c>
      <c r="P16" t="s">
        <v>53</v>
      </c>
      <c r="Q16" t="s">
        <v>51</v>
      </c>
      <c r="R16" t="s">
        <v>52</v>
      </c>
      <c r="S16" t="s">
        <v>53</v>
      </c>
      <c r="V16" t="s">
        <v>57</v>
      </c>
      <c r="X16" s="31"/>
    </row>
    <row r="17" spans="16:19" x14ac:dyDescent="0.25">
      <c r="P17" s="66"/>
      <c r="S17" t="s">
        <v>43</v>
      </c>
    </row>
  </sheetData>
  <mergeCells count="2">
    <mergeCell ref="Q2:W2"/>
    <mergeCell ref="AD2:AD3"/>
  </mergeCells>
  <hyperlinks>
    <hyperlink ref="AD2:AD3" location="'FI 2022'!M1" display="'FI 2022'!M1" xr:uid="{15A97DCF-6493-4824-ABB9-EAB8487E135A}"/>
  </hyperlinks>
  <pageMargins left="0.70866141732283472" right="0.70866141732283472" top="0.74803149606299213" bottom="0.74803149606299213" header="0.31496062992125984" footer="0.31496062992125984"/>
  <pageSetup paperSize="14" scale="47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FFC9-1CEB-4393-B9D1-EF860FAEEDA7}">
  <sheetPr>
    <pageSetUpPr fitToPage="1"/>
  </sheetPr>
  <dimension ref="A1:I17"/>
  <sheetViews>
    <sheetView workbookViewId="0">
      <selection activeCell="F4" sqref="F4"/>
    </sheetView>
  </sheetViews>
  <sheetFormatPr baseColWidth="10" defaultRowHeight="15" x14ac:dyDescent="0.25"/>
  <cols>
    <col min="1" max="1" width="2.85546875" bestFit="1" customWidth="1"/>
    <col min="2" max="2" width="37.5703125" bestFit="1" customWidth="1"/>
    <col min="3" max="3" width="6.28515625" bestFit="1" customWidth="1"/>
    <col min="4" max="4" width="11.42578125" customWidth="1"/>
    <col min="7" max="7" width="11.42578125" customWidth="1"/>
    <col min="8" max="8" width="3.85546875" customWidth="1"/>
  </cols>
  <sheetData>
    <row r="1" spans="1:9" ht="15.75" thickBot="1" x14ac:dyDescent="0.3">
      <c r="C1" s="28">
        <v>1</v>
      </c>
      <c r="D1" s="28">
        <v>2</v>
      </c>
      <c r="E1" s="28">
        <v>3</v>
      </c>
      <c r="F1" s="28">
        <v>4</v>
      </c>
      <c r="G1" s="28">
        <v>5</v>
      </c>
    </row>
    <row r="2" spans="1:9" ht="15.75" customHeight="1" thickTop="1" x14ac:dyDescent="0.25">
      <c r="I2" s="187" t="s">
        <v>121</v>
      </c>
    </row>
    <row r="3" spans="1:9" ht="64.5" thickBot="1" x14ac:dyDescent="0.3">
      <c r="A3" s="5" t="s">
        <v>20</v>
      </c>
      <c r="B3" s="4" t="s">
        <v>1</v>
      </c>
      <c r="C3" s="76" t="s">
        <v>0</v>
      </c>
      <c r="D3" s="83" t="s">
        <v>104</v>
      </c>
      <c r="E3" s="83" t="s">
        <v>105</v>
      </c>
      <c r="F3" s="32" t="s">
        <v>106</v>
      </c>
      <c r="G3" s="32" t="s">
        <v>107</v>
      </c>
      <c r="I3" s="188"/>
    </row>
    <row r="4" spans="1:9" ht="15.75" thickTop="1" x14ac:dyDescent="0.25">
      <c r="A4" s="1">
        <v>1</v>
      </c>
      <c r="B4" s="3" t="s">
        <v>3</v>
      </c>
      <c r="C4" s="77" t="s">
        <v>2</v>
      </c>
      <c r="D4" s="107">
        <v>1936</v>
      </c>
      <c r="E4" s="107">
        <v>1675</v>
      </c>
      <c r="F4" s="9">
        <f t="shared" ref="F4:F8" si="0">D4/E4</f>
        <v>1.1558208955223881</v>
      </c>
      <c r="G4" s="80">
        <f>F4/$F$13</f>
        <v>0.19718899519397978</v>
      </c>
    </row>
    <row r="5" spans="1:9" x14ac:dyDescent="0.25">
      <c r="A5" s="1">
        <v>2</v>
      </c>
      <c r="B5" s="3" t="s">
        <v>5</v>
      </c>
      <c r="C5" s="77" t="s">
        <v>4</v>
      </c>
      <c r="D5" s="107">
        <v>704</v>
      </c>
      <c r="E5" s="107">
        <v>821</v>
      </c>
      <c r="F5" s="9">
        <f t="shared" si="0"/>
        <v>0.85749086479902559</v>
      </c>
      <c r="G5" s="80">
        <f t="shared" ref="G5:G12" si="1">F5/$F$13</f>
        <v>0.14629235608456034</v>
      </c>
    </row>
    <row r="6" spans="1:9" x14ac:dyDescent="0.25">
      <c r="A6" s="1">
        <v>3</v>
      </c>
      <c r="B6" s="3" t="s">
        <v>7</v>
      </c>
      <c r="C6" s="77" t="s">
        <v>6</v>
      </c>
      <c r="D6" s="107">
        <v>171</v>
      </c>
      <c r="E6" s="107">
        <v>655</v>
      </c>
      <c r="F6" s="9">
        <f t="shared" si="0"/>
        <v>0.26106870229007634</v>
      </c>
      <c r="G6" s="80">
        <f t="shared" si="1"/>
        <v>4.4539664649261602E-2</v>
      </c>
    </row>
    <row r="7" spans="1:9" x14ac:dyDescent="0.25">
      <c r="A7" s="1">
        <v>4</v>
      </c>
      <c r="B7" s="3" t="s">
        <v>9</v>
      </c>
      <c r="C7" s="77" t="s">
        <v>8</v>
      </c>
      <c r="D7" s="107">
        <v>2623</v>
      </c>
      <c r="E7" s="107">
        <v>2799</v>
      </c>
      <c r="F7" s="9">
        <f t="shared" si="0"/>
        <v>0.93712040014290821</v>
      </c>
      <c r="G7" s="80">
        <f t="shared" si="1"/>
        <v>0.15987756476442846</v>
      </c>
    </row>
    <row r="8" spans="1:9" x14ac:dyDescent="0.25">
      <c r="A8" s="1">
        <v>5</v>
      </c>
      <c r="B8" s="3" t="s">
        <v>11</v>
      </c>
      <c r="C8" s="77" t="s">
        <v>10</v>
      </c>
      <c r="D8" s="107">
        <v>427</v>
      </c>
      <c r="E8" s="107">
        <v>644</v>
      </c>
      <c r="F8" s="9">
        <f t="shared" si="0"/>
        <v>0.66304347826086951</v>
      </c>
      <c r="G8" s="80">
        <f t="shared" si="1"/>
        <v>0.11311863088362874</v>
      </c>
    </row>
    <row r="9" spans="1:9" x14ac:dyDescent="0.25">
      <c r="A9" s="1">
        <v>6</v>
      </c>
      <c r="B9" s="3" t="s">
        <v>13</v>
      </c>
      <c r="C9" s="77" t="s">
        <v>12</v>
      </c>
      <c r="D9" s="107">
        <v>174</v>
      </c>
      <c r="E9" s="107">
        <v>314</v>
      </c>
      <c r="F9" s="9">
        <f>D9/E9</f>
        <v>0.55414012738853502</v>
      </c>
      <c r="G9" s="80">
        <f t="shared" si="1"/>
        <v>9.4539158566624662E-2</v>
      </c>
    </row>
    <row r="10" spans="1:9" x14ac:dyDescent="0.25">
      <c r="A10" s="1">
        <v>7</v>
      </c>
      <c r="B10" s="3" t="s">
        <v>83</v>
      </c>
      <c r="C10" s="77" t="s">
        <v>81</v>
      </c>
      <c r="D10" s="107">
        <v>696</v>
      </c>
      <c r="E10" s="107">
        <v>1007</v>
      </c>
      <c r="F10" s="9">
        <f t="shared" ref="F10:F12" si="2">D10/E10</f>
        <v>0.69116186693147963</v>
      </c>
      <c r="G10" s="80">
        <f t="shared" si="1"/>
        <v>0.11791577275042758</v>
      </c>
    </row>
    <row r="11" spans="1:9" x14ac:dyDescent="0.25">
      <c r="A11" s="1">
        <v>8</v>
      </c>
      <c r="B11" s="3" t="s">
        <v>84</v>
      </c>
      <c r="C11" s="77" t="s">
        <v>82</v>
      </c>
      <c r="D11" s="107">
        <v>1268</v>
      </c>
      <c r="E11" s="107">
        <v>2856</v>
      </c>
      <c r="F11" s="9">
        <f t="shared" si="2"/>
        <v>0.44397759103641454</v>
      </c>
      <c r="G11" s="80">
        <f t="shared" si="1"/>
        <v>7.5744862724207843E-2</v>
      </c>
    </row>
    <row r="12" spans="1:9" x14ac:dyDescent="0.25">
      <c r="A12" s="1">
        <v>9</v>
      </c>
      <c r="B12" s="3" t="s">
        <v>90</v>
      </c>
      <c r="C12" s="77" t="s">
        <v>91</v>
      </c>
      <c r="D12" s="107">
        <v>790</v>
      </c>
      <c r="E12" s="107">
        <v>2654</v>
      </c>
      <c r="F12" s="9">
        <f t="shared" si="2"/>
        <v>0.29766390354182365</v>
      </c>
      <c r="G12" s="80">
        <f t="shared" si="1"/>
        <v>5.0782994382881003E-2</v>
      </c>
    </row>
    <row r="13" spans="1:9" x14ac:dyDescent="0.25">
      <c r="A13" s="2"/>
      <c r="B13" s="2"/>
      <c r="C13" s="78" t="s">
        <v>14</v>
      </c>
      <c r="D13" s="8">
        <f>SUM(D4:D12)</f>
        <v>8789</v>
      </c>
      <c r="E13" s="8">
        <f t="shared" ref="E13:G13" si="3">SUM(E4:E12)</f>
        <v>13425</v>
      </c>
      <c r="F13" s="108">
        <f t="shared" si="3"/>
        <v>5.8614878299135205</v>
      </c>
      <c r="G13" s="80">
        <f t="shared" si="3"/>
        <v>1</v>
      </c>
    </row>
    <row r="15" spans="1:9" x14ac:dyDescent="0.25">
      <c r="D15" t="s">
        <v>42</v>
      </c>
      <c r="E15" t="s">
        <v>42</v>
      </c>
      <c r="F15" t="s">
        <v>42</v>
      </c>
      <c r="G15" t="s">
        <v>44</v>
      </c>
    </row>
    <row r="16" spans="1:9" x14ac:dyDescent="0.25">
      <c r="D16" t="s">
        <v>51</v>
      </c>
      <c r="E16" t="s">
        <v>52</v>
      </c>
      <c r="F16" t="s">
        <v>53</v>
      </c>
    </row>
    <row r="17" spans="6:6" x14ac:dyDescent="0.25">
      <c r="F17" t="s">
        <v>43</v>
      </c>
    </row>
  </sheetData>
  <mergeCells count="1">
    <mergeCell ref="I2:I3"/>
  </mergeCells>
  <hyperlinks>
    <hyperlink ref="I2:I3" location="'FI 2022'!M1" display="'FI 2022'!M1" xr:uid="{7C4D9D2C-F529-47A8-85DF-8FD6A042FA3A}"/>
  </hyperlinks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8267-F1BD-44F2-9D94-D99A6D18B8AC}">
  <sheetPr>
    <pageSetUpPr fitToPage="1"/>
  </sheetPr>
  <dimension ref="A1:I16"/>
  <sheetViews>
    <sheetView workbookViewId="0">
      <selection activeCell="F4" sqref="F4"/>
    </sheetView>
  </sheetViews>
  <sheetFormatPr baseColWidth="10" defaultRowHeight="15" x14ac:dyDescent="0.25"/>
  <cols>
    <col min="1" max="1" width="2.85546875" bestFit="1" customWidth="1"/>
    <col min="2" max="2" width="37.5703125" bestFit="1" customWidth="1"/>
    <col min="8" max="8" width="3.85546875" customWidth="1"/>
  </cols>
  <sheetData>
    <row r="1" spans="1:9" ht="15.75" thickBot="1" x14ac:dyDescent="0.3">
      <c r="C1" s="30">
        <v>1</v>
      </c>
      <c r="D1" s="30">
        <v>2</v>
      </c>
      <c r="E1" s="30">
        <v>3</v>
      </c>
      <c r="F1" s="30">
        <v>4</v>
      </c>
      <c r="G1" s="30">
        <v>5</v>
      </c>
    </row>
    <row r="2" spans="1:9" ht="15.75" customHeight="1" thickTop="1" x14ac:dyDescent="0.25">
      <c r="I2" s="187" t="s">
        <v>121</v>
      </c>
    </row>
    <row r="3" spans="1:9" ht="64.5" thickBot="1" x14ac:dyDescent="0.3">
      <c r="A3" s="5" t="s">
        <v>20</v>
      </c>
      <c r="B3" s="4" t="s">
        <v>1</v>
      </c>
      <c r="C3" s="76" t="s">
        <v>0</v>
      </c>
      <c r="D3" s="32" t="s">
        <v>108</v>
      </c>
      <c r="E3" s="32" t="s">
        <v>104</v>
      </c>
      <c r="F3" s="32" t="s">
        <v>109</v>
      </c>
      <c r="G3" s="32" t="s">
        <v>110</v>
      </c>
      <c r="I3" s="188"/>
    </row>
    <row r="4" spans="1:9" ht="15.75" thickTop="1" x14ac:dyDescent="0.25">
      <c r="A4" s="1">
        <v>1</v>
      </c>
      <c r="B4" s="3" t="s">
        <v>3</v>
      </c>
      <c r="C4" s="77" t="s">
        <v>2</v>
      </c>
      <c r="D4" s="107">
        <v>27592</v>
      </c>
      <c r="E4" s="107">
        <v>1936</v>
      </c>
      <c r="F4" s="29">
        <f t="shared" ref="F4" si="0">D4/E4</f>
        <v>14.25206611570248</v>
      </c>
      <c r="G4" s="81">
        <f>F4/$F$13</f>
        <v>0.23787847226327147</v>
      </c>
    </row>
    <row r="5" spans="1:9" x14ac:dyDescent="0.25">
      <c r="A5" s="1">
        <v>2</v>
      </c>
      <c r="B5" s="3" t="s">
        <v>5</v>
      </c>
      <c r="C5" s="77" t="s">
        <v>4</v>
      </c>
      <c r="D5" s="107">
        <v>2163</v>
      </c>
      <c r="E5" s="107">
        <v>704</v>
      </c>
      <c r="F5" s="29">
        <f t="shared" ref="F5:F12" si="1">D5/E5</f>
        <v>3.0724431818181817</v>
      </c>
      <c r="G5" s="81">
        <f t="shared" ref="G5:G12" si="2">F5/$F$13</f>
        <v>5.1281553444476817E-2</v>
      </c>
    </row>
    <row r="6" spans="1:9" x14ac:dyDescent="0.25">
      <c r="A6" s="1">
        <v>3</v>
      </c>
      <c r="B6" s="3" t="s">
        <v>7</v>
      </c>
      <c r="C6" s="77" t="s">
        <v>6</v>
      </c>
      <c r="D6" s="107">
        <v>339</v>
      </c>
      <c r="E6" s="107">
        <v>171</v>
      </c>
      <c r="F6" s="29">
        <f t="shared" si="1"/>
        <v>1.9824561403508771</v>
      </c>
      <c r="G6" s="81">
        <f t="shared" si="2"/>
        <v>3.3088791068407425E-2</v>
      </c>
    </row>
    <row r="7" spans="1:9" x14ac:dyDescent="0.25">
      <c r="A7" s="1">
        <v>4</v>
      </c>
      <c r="B7" s="3" t="s">
        <v>9</v>
      </c>
      <c r="C7" s="77" t="s">
        <v>8</v>
      </c>
      <c r="D7" s="107">
        <v>41849</v>
      </c>
      <c r="E7" s="107">
        <v>2623</v>
      </c>
      <c r="F7" s="29">
        <f t="shared" si="1"/>
        <v>15.954632100648112</v>
      </c>
      <c r="G7" s="81">
        <f t="shared" si="2"/>
        <v>0.26629567101454998</v>
      </c>
    </row>
    <row r="8" spans="1:9" x14ac:dyDescent="0.25">
      <c r="A8" s="1">
        <v>5</v>
      </c>
      <c r="B8" s="3" t="s">
        <v>11</v>
      </c>
      <c r="C8" s="77" t="s">
        <v>10</v>
      </c>
      <c r="D8" s="107">
        <v>2137</v>
      </c>
      <c r="E8" s="107">
        <v>427</v>
      </c>
      <c r="F8" s="29">
        <f t="shared" si="1"/>
        <v>5.0046838407494141</v>
      </c>
      <c r="G8" s="81">
        <f t="shared" si="2"/>
        <v>8.3532207648580131E-2</v>
      </c>
    </row>
    <row r="9" spans="1:9" x14ac:dyDescent="0.25">
      <c r="A9" s="1">
        <v>6</v>
      </c>
      <c r="B9" s="3" t="s">
        <v>13</v>
      </c>
      <c r="C9" s="77" t="s">
        <v>12</v>
      </c>
      <c r="D9" s="107">
        <v>268</v>
      </c>
      <c r="E9" s="107">
        <v>174</v>
      </c>
      <c r="F9" s="29">
        <f t="shared" si="1"/>
        <v>1.5402298850574712</v>
      </c>
      <c r="G9" s="81">
        <f t="shared" si="2"/>
        <v>2.5707678382717519E-2</v>
      </c>
    </row>
    <row r="10" spans="1:9" x14ac:dyDescent="0.25">
      <c r="A10" s="1">
        <v>7</v>
      </c>
      <c r="B10" s="3" t="s">
        <v>83</v>
      </c>
      <c r="C10" s="77" t="s">
        <v>81</v>
      </c>
      <c r="D10" s="107">
        <v>4160</v>
      </c>
      <c r="E10" s="107">
        <v>696</v>
      </c>
      <c r="F10" s="29">
        <f t="shared" si="1"/>
        <v>5.9770114942528734</v>
      </c>
      <c r="G10" s="81">
        <f t="shared" si="2"/>
        <v>9.9761139992635153E-2</v>
      </c>
    </row>
    <row r="11" spans="1:9" x14ac:dyDescent="0.25">
      <c r="A11" s="1">
        <v>8</v>
      </c>
      <c r="B11" s="3" t="s">
        <v>84</v>
      </c>
      <c r="C11" s="77" t="s">
        <v>82</v>
      </c>
      <c r="D11" s="107">
        <v>9148</v>
      </c>
      <c r="E11" s="107">
        <v>1268</v>
      </c>
      <c r="F11" s="29">
        <f t="shared" si="1"/>
        <v>7.2145110410094642</v>
      </c>
      <c r="G11" s="81">
        <f t="shared" si="2"/>
        <v>0.1204160049939009</v>
      </c>
    </row>
    <row r="12" spans="1:9" x14ac:dyDescent="0.25">
      <c r="A12" s="1">
        <v>9</v>
      </c>
      <c r="B12" s="3" t="s">
        <v>90</v>
      </c>
      <c r="C12" s="77" t="s">
        <v>91</v>
      </c>
      <c r="D12" s="107">
        <v>3883</v>
      </c>
      <c r="E12" s="107">
        <v>790</v>
      </c>
      <c r="F12" s="29">
        <f t="shared" si="1"/>
        <v>4.915189873417722</v>
      </c>
      <c r="G12" s="81">
        <f t="shared" si="2"/>
        <v>8.2038481191460566E-2</v>
      </c>
    </row>
    <row r="13" spans="1:9" x14ac:dyDescent="0.25">
      <c r="A13" s="2"/>
      <c r="B13" s="2"/>
      <c r="C13" s="78" t="s">
        <v>14</v>
      </c>
      <c r="D13" s="8">
        <f>SUM(D4:D12)</f>
        <v>91539</v>
      </c>
      <c r="E13" s="8">
        <f t="shared" ref="E13:F13" si="3">SUM(E4:E12)</f>
        <v>8789</v>
      </c>
      <c r="F13" s="108">
        <f t="shared" si="3"/>
        <v>59.913223673006598</v>
      </c>
      <c r="G13" s="82">
        <f>SUM(G4:G12)</f>
        <v>1</v>
      </c>
    </row>
    <row r="14" spans="1:9" x14ac:dyDescent="0.25">
      <c r="D14" t="s">
        <v>42</v>
      </c>
      <c r="E14" t="s">
        <v>42</v>
      </c>
      <c r="F14" t="s">
        <v>42</v>
      </c>
      <c r="G14" t="s">
        <v>44</v>
      </c>
    </row>
    <row r="15" spans="1:9" x14ac:dyDescent="0.25">
      <c r="D15" t="s">
        <v>51</v>
      </c>
      <c r="E15" t="s">
        <v>52</v>
      </c>
      <c r="F15" t="s">
        <v>53</v>
      </c>
    </row>
    <row r="16" spans="1:9" x14ac:dyDescent="0.25">
      <c r="F16" t="s">
        <v>43</v>
      </c>
    </row>
  </sheetData>
  <mergeCells count="1">
    <mergeCell ref="I2:I3"/>
  </mergeCells>
  <hyperlinks>
    <hyperlink ref="I2:I3" location="'FI 2022'!M1" display="'FI 2022'!M1" xr:uid="{71DE658D-F8F0-4763-B750-9E833EDB9FB6}"/>
  </hyperlinks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7872-8CF4-4A12-AB93-F30A9B9A9866}">
  <sheetPr>
    <pageSetUpPr fitToPage="1"/>
  </sheetPr>
  <dimension ref="A2:H20"/>
  <sheetViews>
    <sheetView zoomScaleNormal="100" workbookViewId="0">
      <selection activeCell="D5" sqref="D5"/>
    </sheetView>
  </sheetViews>
  <sheetFormatPr baseColWidth="10" defaultRowHeight="15" x14ac:dyDescent="0.25"/>
  <cols>
    <col min="1" max="1" width="2.85546875" bestFit="1" customWidth="1"/>
    <col min="2" max="2" width="37.5703125" bestFit="1" customWidth="1"/>
    <col min="4" max="4" width="11.28515625" customWidth="1"/>
    <col min="6" max="6" width="3.85546875" customWidth="1"/>
  </cols>
  <sheetData>
    <row r="2" spans="1:8" ht="15.75" thickBot="1" x14ac:dyDescent="0.3">
      <c r="C2" s="35">
        <v>1</v>
      </c>
      <c r="D2" s="35">
        <v>2</v>
      </c>
      <c r="E2" s="35">
        <v>3</v>
      </c>
      <c r="F2" s="28"/>
      <c r="G2" s="28"/>
      <c r="H2" s="28"/>
    </row>
    <row r="3" spans="1:8" ht="15.75" customHeight="1" thickTop="1" x14ac:dyDescent="0.25">
      <c r="F3" s="28"/>
      <c r="G3" s="187" t="s">
        <v>121</v>
      </c>
      <c r="H3" s="28"/>
    </row>
    <row r="4" spans="1:8" ht="26.25" thickBot="1" x14ac:dyDescent="0.3">
      <c r="A4" s="5" t="s">
        <v>20</v>
      </c>
      <c r="B4" s="4" t="s">
        <v>1</v>
      </c>
      <c r="C4" s="76" t="s">
        <v>0</v>
      </c>
      <c r="D4" s="32" t="s">
        <v>111</v>
      </c>
      <c r="E4" s="32" t="s">
        <v>112</v>
      </c>
      <c r="F4" s="28"/>
      <c r="G4" s="188"/>
    </row>
    <row r="5" spans="1:8" ht="15.75" thickTop="1" x14ac:dyDescent="0.25">
      <c r="A5" s="1">
        <v>1</v>
      </c>
      <c r="B5" s="3" t="s">
        <v>3</v>
      </c>
      <c r="C5" s="77" t="s">
        <v>2</v>
      </c>
      <c r="D5" s="184">
        <v>82</v>
      </c>
      <c r="E5" s="33">
        <f>+D5/$D$14</f>
        <v>0.25949367088607594</v>
      </c>
      <c r="F5" s="28"/>
    </row>
    <row r="6" spans="1:8" x14ac:dyDescent="0.25">
      <c r="A6" s="1">
        <v>2</v>
      </c>
      <c r="B6" s="3" t="s">
        <v>5</v>
      </c>
      <c r="C6" s="77" t="s">
        <v>4</v>
      </c>
      <c r="D6" s="184">
        <v>59</v>
      </c>
      <c r="E6" s="33">
        <f t="shared" ref="E6:E13" si="0">+D6/$D$14</f>
        <v>0.18670886075949367</v>
      </c>
      <c r="F6" s="28"/>
    </row>
    <row r="7" spans="1:8" x14ac:dyDescent="0.25">
      <c r="A7" s="1">
        <v>3</v>
      </c>
      <c r="B7" s="3" t="s">
        <v>7</v>
      </c>
      <c r="C7" s="77" t="s">
        <v>6</v>
      </c>
      <c r="D7" s="184">
        <v>15</v>
      </c>
      <c r="E7" s="33">
        <f t="shared" si="0"/>
        <v>4.746835443037975E-2</v>
      </c>
      <c r="F7" s="28"/>
    </row>
    <row r="8" spans="1:8" x14ac:dyDescent="0.25">
      <c r="A8" s="1">
        <v>4</v>
      </c>
      <c r="B8" s="3" t="s">
        <v>9</v>
      </c>
      <c r="C8" s="77" t="s">
        <v>8</v>
      </c>
      <c r="D8" s="184">
        <v>50</v>
      </c>
      <c r="E8" s="33">
        <f t="shared" si="0"/>
        <v>0.15822784810126583</v>
      </c>
      <c r="F8" s="28"/>
    </row>
    <row r="9" spans="1:8" x14ac:dyDescent="0.25">
      <c r="A9" s="1">
        <v>5</v>
      </c>
      <c r="B9" s="3" t="s">
        <v>11</v>
      </c>
      <c r="C9" s="77" t="s">
        <v>10</v>
      </c>
      <c r="D9" s="184">
        <v>10</v>
      </c>
      <c r="E9" s="33">
        <f t="shared" si="0"/>
        <v>3.1645569620253167E-2</v>
      </c>
      <c r="F9" s="28"/>
    </row>
    <row r="10" spans="1:8" x14ac:dyDescent="0.25">
      <c r="A10" s="1">
        <v>6</v>
      </c>
      <c r="B10" s="3" t="s">
        <v>13</v>
      </c>
      <c r="C10" s="77" t="s">
        <v>12</v>
      </c>
      <c r="D10" s="184">
        <v>13</v>
      </c>
      <c r="E10" s="33">
        <f t="shared" si="0"/>
        <v>4.1139240506329111E-2</v>
      </c>
      <c r="F10" s="28"/>
    </row>
    <row r="11" spans="1:8" x14ac:dyDescent="0.25">
      <c r="A11" s="1">
        <v>7</v>
      </c>
      <c r="B11" s="3" t="s">
        <v>83</v>
      </c>
      <c r="C11" s="77" t="s">
        <v>81</v>
      </c>
      <c r="D11" s="184">
        <v>12</v>
      </c>
      <c r="E11" s="33">
        <f t="shared" si="0"/>
        <v>3.7974683544303799E-2</v>
      </c>
      <c r="F11" s="28"/>
    </row>
    <row r="12" spans="1:8" x14ac:dyDescent="0.25">
      <c r="A12" s="1">
        <v>8</v>
      </c>
      <c r="B12" s="3" t="s">
        <v>84</v>
      </c>
      <c r="C12" s="77" t="s">
        <v>82</v>
      </c>
      <c r="D12" s="184">
        <v>63</v>
      </c>
      <c r="E12" s="33">
        <f t="shared" si="0"/>
        <v>0.19936708860759494</v>
      </c>
      <c r="F12" s="28"/>
    </row>
    <row r="13" spans="1:8" x14ac:dyDescent="0.25">
      <c r="A13" s="1">
        <v>9</v>
      </c>
      <c r="B13" s="3" t="s">
        <v>90</v>
      </c>
      <c r="C13" s="77" t="s">
        <v>91</v>
      </c>
      <c r="D13" s="184">
        <v>12</v>
      </c>
      <c r="E13" s="33">
        <f t="shared" si="0"/>
        <v>3.7974683544303799E-2</v>
      </c>
      <c r="F13" s="28"/>
    </row>
    <row r="14" spans="1:8" x14ac:dyDescent="0.25">
      <c r="A14" s="2"/>
      <c r="B14" s="2"/>
      <c r="C14" s="78" t="s">
        <v>14</v>
      </c>
      <c r="D14" s="185">
        <f>SUM(D5:D13)</f>
        <v>316</v>
      </c>
      <c r="E14" s="149">
        <f>SUM(E5:E13)</f>
        <v>0.99999999999999978</v>
      </c>
      <c r="F14" s="28"/>
    </row>
    <row r="15" spans="1:8" x14ac:dyDescent="0.25">
      <c r="F15" s="28"/>
    </row>
    <row r="16" spans="1:8" x14ac:dyDescent="0.25">
      <c r="D16" t="s">
        <v>42</v>
      </c>
      <c r="E16" t="s">
        <v>44</v>
      </c>
      <c r="F16" s="28"/>
    </row>
    <row r="17" spans="4:4" x14ac:dyDescent="0.25">
      <c r="D17" t="s">
        <v>43</v>
      </c>
    </row>
    <row r="20" spans="4:4" x14ac:dyDescent="0.25">
      <c r="D20" s="23"/>
    </row>
  </sheetData>
  <mergeCells count="1">
    <mergeCell ref="G3:G4"/>
  </mergeCells>
  <hyperlinks>
    <hyperlink ref="G3:G4" location="'FI 2022'!M1" display="'FI 2022'!M1" xr:uid="{A900FC2B-5A82-479D-A837-92E456230D7E}"/>
  </hyperlinks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558C-33CF-41E9-8418-041BF7DD9104}">
  <sheetPr>
    <pageSetUpPr fitToPage="1"/>
  </sheetPr>
  <dimension ref="A1:T26"/>
  <sheetViews>
    <sheetView zoomScale="90" zoomScaleNormal="90" workbookViewId="0">
      <selection activeCell="Q5" sqref="Q5"/>
    </sheetView>
  </sheetViews>
  <sheetFormatPr baseColWidth="10" defaultRowHeight="12.75" x14ac:dyDescent="0.2"/>
  <cols>
    <col min="1" max="1" width="2.85546875" style="17" bestFit="1" customWidth="1"/>
    <col min="2" max="2" width="37.5703125" style="17" bestFit="1" customWidth="1"/>
    <col min="3" max="3" width="11.42578125" style="17" customWidth="1"/>
    <col min="4" max="7" width="10" style="17" customWidth="1"/>
    <col min="8" max="8" width="11.28515625" style="17" customWidth="1"/>
    <col min="9" max="10" width="11.42578125" style="17"/>
    <col min="11" max="11" width="12.140625" style="17" customWidth="1"/>
    <col min="12" max="12" width="16" style="17" customWidth="1"/>
    <col min="13" max="13" width="11.42578125" style="17"/>
    <col min="14" max="14" width="4.85546875" style="17" customWidth="1"/>
    <col min="15" max="15" width="6.28515625" style="17" bestFit="1" customWidth="1"/>
    <col min="16" max="17" width="7.5703125" style="17" customWidth="1"/>
    <col min="18" max="18" width="11.42578125" style="17"/>
    <col min="19" max="19" width="3.85546875" style="17" customWidth="1"/>
    <col min="20" max="16384" width="11.42578125" style="17"/>
  </cols>
  <sheetData>
    <row r="1" spans="1:20" x14ac:dyDescent="0.2">
      <c r="O1" s="35">
        <v>1</v>
      </c>
      <c r="P1" s="35">
        <v>2</v>
      </c>
      <c r="Q1" s="35">
        <v>3</v>
      </c>
      <c r="R1" s="35">
        <v>4</v>
      </c>
    </row>
    <row r="2" spans="1:20" s="2" customFormat="1" ht="13.5" thickBot="1" x14ac:dyDescent="0.25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P2" s="2" t="s">
        <v>37</v>
      </c>
    </row>
    <row r="3" spans="1:20" s="2" customFormat="1" ht="16.5" customHeight="1" thickTop="1" thickBot="1" x14ac:dyDescent="0.3">
      <c r="C3"/>
      <c r="D3"/>
      <c r="E3"/>
      <c r="F3"/>
      <c r="G3"/>
      <c r="H3"/>
      <c r="I3"/>
      <c r="J3"/>
      <c r="K3"/>
      <c r="L3"/>
      <c r="M3"/>
      <c r="P3" s="2">
        <v>0.7</v>
      </c>
      <c r="Q3" s="2">
        <v>0.3</v>
      </c>
      <c r="T3" s="187" t="s">
        <v>121</v>
      </c>
    </row>
    <row r="4" spans="1:20" s="2" customFormat="1" ht="102.75" thickBot="1" x14ac:dyDescent="0.25">
      <c r="A4" s="5" t="s">
        <v>20</v>
      </c>
      <c r="B4" s="4" t="s">
        <v>1</v>
      </c>
      <c r="C4" s="49" t="s">
        <v>0</v>
      </c>
      <c r="D4" s="163" t="s">
        <v>29</v>
      </c>
      <c r="E4" s="164" t="s">
        <v>80</v>
      </c>
      <c r="F4" s="165" t="s">
        <v>85</v>
      </c>
      <c r="G4" s="174" t="s">
        <v>113</v>
      </c>
      <c r="H4" s="32" t="s">
        <v>134</v>
      </c>
      <c r="I4" s="123" t="s">
        <v>114</v>
      </c>
      <c r="J4" s="32" t="s">
        <v>133</v>
      </c>
      <c r="K4" s="32" t="s">
        <v>115</v>
      </c>
      <c r="L4" s="32" t="s">
        <v>132</v>
      </c>
      <c r="M4" s="32" t="s">
        <v>35</v>
      </c>
      <c r="O4" s="70" t="s">
        <v>0</v>
      </c>
      <c r="P4" s="41" t="s">
        <v>38</v>
      </c>
      <c r="Q4" s="42" t="s">
        <v>36</v>
      </c>
      <c r="R4" s="73" t="s">
        <v>40</v>
      </c>
      <c r="S4" s="43"/>
      <c r="T4" s="188"/>
    </row>
    <row r="5" spans="1:20" s="2" customFormat="1" ht="13.5" thickTop="1" x14ac:dyDescent="0.2">
      <c r="A5" s="1">
        <v>1</v>
      </c>
      <c r="B5" s="3" t="s">
        <v>3</v>
      </c>
      <c r="C5" s="96" t="s">
        <v>2</v>
      </c>
      <c r="D5" s="109">
        <v>403</v>
      </c>
      <c r="E5" s="170">
        <v>392</v>
      </c>
      <c r="F5" s="171">
        <v>370</v>
      </c>
      <c r="G5" s="109">
        <v>423</v>
      </c>
      <c r="H5" s="169">
        <f>SUM(E5:G5)</f>
        <v>1185</v>
      </c>
      <c r="I5" s="166">
        <f t="shared" ref="I5:I13" si="0">+H5/$H$14</f>
        <v>0.1920583468395462</v>
      </c>
      <c r="J5" s="24">
        <f>SUM(D5:F5)</f>
        <v>1165</v>
      </c>
      <c r="K5" s="7">
        <f t="shared" ref="K5:K12" si="1">+H5/J5-1</f>
        <v>1.716738197424883E-2</v>
      </c>
      <c r="L5" s="7">
        <f>IF(K5&lt;0,0,K5)</f>
        <v>1.716738197424883E-2</v>
      </c>
      <c r="M5" s="33">
        <f>+L5/$L$14</f>
        <v>8.0605470933931885E-3</v>
      </c>
      <c r="O5" s="71" t="s">
        <v>2</v>
      </c>
      <c r="P5" s="34">
        <f>+I5*$P$3</f>
        <v>0.13444084278768234</v>
      </c>
      <c r="Q5" s="34">
        <f>+M5*$Q$3</f>
        <v>2.4181641280179565E-3</v>
      </c>
      <c r="R5" s="74">
        <f>SUM(P5:Q5)</f>
        <v>0.1368590069157003</v>
      </c>
    </row>
    <row r="6" spans="1:20" s="2" customFormat="1" x14ac:dyDescent="0.2">
      <c r="A6" s="1">
        <v>2</v>
      </c>
      <c r="B6" s="3" t="s">
        <v>5</v>
      </c>
      <c r="C6" s="96" t="s">
        <v>4</v>
      </c>
      <c r="D6" s="109">
        <v>137</v>
      </c>
      <c r="E6" s="170">
        <v>138</v>
      </c>
      <c r="F6" s="171">
        <v>160</v>
      </c>
      <c r="G6" s="109">
        <v>165</v>
      </c>
      <c r="H6" s="169">
        <f t="shared" ref="H6:H13" si="2">SUM(E6:G6)</f>
        <v>463</v>
      </c>
      <c r="I6" s="166">
        <f t="shared" si="0"/>
        <v>7.504051863857375E-2</v>
      </c>
      <c r="J6" s="24">
        <f t="shared" ref="J6:J13" si="3">SUM(D6:F6)</f>
        <v>435</v>
      </c>
      <c r="K6" s="7">
        <f t="shared" si="1"/>
        <v>6.4367816091954078E-2</v>
      </c>
      <c r="L6" s="7">
        <f t="shared" ref="L6:L12" si="4">IF(K6&lt;0,0,K6)</f>
        <v>6.4367816091954078E-2</v>
      </c>
      <c r="M6" s="33">
        <f>+L6/$L$14</f>
        <v>3.0222419101895114E-2</v>
      </c>
      <c r="O6" s="71" t="s">
        <v>4</v>
      </c>
      <c r="P6" s="34">
        <f t="shared" ref="P6:P12" si="5">+I6*$P$3</f>
        <v>5.2528363047001619E-2</v>
      </c>
      <c r="Q6" s="34">
        <f t="shared" ref="Q6:Q12" si="6">+M6*$Q$3</f>
        <v>9.0667257305685339E-3</v>
      </c>
      <c r="R6" s="74">
        <f t="shared" ref="R6:R12" si="7">SUM(P6:Q6)</f>
        <v>6.1595088777570153E-2</v>
      </c>
    </row>
    <row r="7" spans="1:20" s="2" customFormat="1" x14ac:dyDescent="0.2">
      <c r="A7" s="1">
        <v>3</v>
      </c>
      <c r="B7" s="3" t="s">
        <v>7</v>
      </c>
      <c r="C7" s="96" t="s">
        <v>6</v>
      </c>
      <c r="D7" s="109">
        <v>16</v>
      </c>
      <c r="E7" s="170">
        <v>19</v>
      </c>
      <c r="F7" s="171">
        <v>59</v>
      </c>
      <c r="G7" s="109">
        <v>64</v>
      </c>
      <c r="H7" s="169">
        <f t="shared" si="2"/>
        <v>142</v>
      </c>
      <c r="I7" s="166">
        <f t="shared" si="0"/>
        <v>2.3014586709886549E-2</v>
      </c>
      <c r="J7" s="24">
        <f t="shared" si="3"/>
        <v>94</v>
      </c>
      <c r="K7" s="7">
        <f t="shared" si="1"/>
        <v>0.5106382978723405</v>
      </c>
      <c r="L7" s="7">
        <f t="shared" si="4"/>
        <v>0.5106382978723405</v>
      </c>
      <c r="M7" s="33">
        <f t="shared" ref="M7:M12" si="8">+L7/$L$14</f>
        <v>0.23975840077795196</v>
      </c>
      <c r="O7" s="71" t="s">
        <v>6</v>
      </c>
      <c r="P7" s="34">
        <f t="shared" si="5"/>
        <v>1.6110210696920584E-2</v>
      </c>
      <c r="Q7" s="34">
        <f t="shared" si="6"/>
        <v>7.1927520233385583E-2</v>
      </c>
      <c r="R7" s="74">
        <f t="shared" si="7"/>
        <v>8.8037730930306174E-2</v>
      </c>
    </row>
    <row r="8" spans="1:20" s="2" customFormat="1" x14ac:dyDescent="0.2">
      <c r="A8" s="1">
        <v>4</v>
      </c>
      <c r="B8" s="3" t="s">
        <v>9</v>
      </c>
      <c r="C8" s="96" t="s">
        <v>8</v>
      </c>
      <c r="D8" s="109">
        <v>443</v>
      </c>
      <c r="E8" s="170">
        <v>527</v>
      </c>
      <c r="F8" s="171">
        <v>592</v>
      </c>
      <c r="G8" s="109">
        <v>672</v>
      </c>
      <c r="H8" s="169">
        <f t="shared" si="2"/>
        <v>1791</v>
      </c>
      <c r="I8" s="166">
        <f t="shared" si="0"/>
        <v>0.29027552674230145</v>
      </c>
      <c r="J8" s="24">
        <f t="shared" si="3"/>
        <v>1562</v>
      </c>
      <c r="K8" s="7">
        <f t="shared" si="1"/>
        <v>0.14660691421254812</v>
      </c>
      <c r="L8" s="7">
        <f t="shared" si="4"/>
        <v>0.14660691421254812</v>
      </c>
      <c r="M8" s="33">
        <f t="shared" si="8"/>
        <v>6.8835885285240567E-2</v>
      </c>
      <c r="O8" s="71" t="s">
        <v>8</v>
      </c>
      <c r="P8" s="34">
        <f t="shared" si="5"/>
        <v>0.20319286871961101</v>
      </c>
      <c r="Q8" s="34">
        <f t="shared" si="6"/>
        <v>2.0650765585572169E-2</v>
      </c>
      <c r="R8" s="74">
        <f t="shared" si="7"/>
        <v>0.22384363430518317</v>
      </c>
    </row>
    <row r="9" spans="1:20" s="2" customFormat="1" x14ac:dyDescent="0.2">
      <c r="A9" s="1">
        <v>5</v>
      </c>
      <c r="B9" s="3" t="s">
        <v>11</v>
      </c>
      <c r="C9" s="96" t="s">
        <v>10</v>
      </c>
      <c r="D9" s="109">
        <v>74</v>
      </c>
      <c r="E9" s="170">
        <v>85</v>
      </c>
      <c r="F9" s="171">
        <v>91</v>
      </c>
      <c r="G9" s="109">
        <v>118</v>
      </c>
      <c r="H9" s="169">
        <f t="shared" si="2"/>
        <v>294</v>
      </c>
      <c r="I9" s="166">
        <f t="shared" si="0"/>
        <v>4.7649918962722852E-2</v>
      </c>
      <c r="J9" s="24">
        <f t="shared" si="3"/>
        <v>250</v>
      </c>
      <c r="K9" s="7">
        <f t="shared" si="1"/>
        <v>0.17599999999999993</v>
      </c>
      <c r="L9" s="7">
        <f t="shared" si="4"/>
        <v>0.17599999999999993</v>
      </c>
      <c r="M9" s="33">
        <f t="shared" si="8"/>
        <v>8.2636728801467399E-2</v>
      </c>
      <c r="O9" s="71" t="s">
        <v>10</v>
      </c>
      <c r="P9" s="34">
        <f t="shared" si="5"/>
        <v>3.3354943273905993E-2</v>
      </c>
      <c r="Q9" s="34">
        <f t="shared" si="6"/>
        <v>2.479101864044022E-2</v>
      </c>
      <c r="R9" s="74">
        <f t="shared" si="7"/>
        <v>5.8145961914346213E-2</v>
      </c>
    </row>
    <row r="10" spans="1:20" s="2" customFormat="1" x14ac:dyDescent="0.2">
      <c r="A10" s="1">
        <v>6</v>
      </c>
      <c r="B10" s="3" t="s">
        <v>13</v>
      </c>
      <c r="C10" s="96" t="s">
        <v>12</v>
      </c>
      <c r="D10" s="109">
        <v>20</v>
      </c>
      <c r="E10" s="170">
        <v>42</v>
      </c>
      <c r="F10" s="171">
        <v>35</v>
      </c>
      <c r="G10" s="109">
        <v>48</v>
      </c>
      <c r="H10" s="169">
        <f t="shared" si="2"/>
        <v>125</v>
      </c>
      <c r="I10" s="166">
        <f t="shared" si="0"/>
        <v>2.0259319286871962E-2</v>
      </c>
      <c r="J10" s="24">
        <f t="shared" si="3"/>
        <v>97</v>
      </c>
      <c r="K10" s="7">
        <f t="shared" si="1"/>
        <v>0.28865979381443307</v>
      </c>
      <c r="L10" s="7">
        <f t="shared" si="4"/>
        <v>0.28865979381443307</v>
      </c>
      <c r="M10" s="33">
        <f t="shared" si="8"/>
        <v>0.13553352896210688</v>
      </c>
      <c r="O10" s="71" t="s">
        <v>12</v>
      </c>
      <c r="P10" s="34">
        <f t="shared" si="5"/>
        <v>1.4181523500810372E-2</v>
      </c>
      <c r="Q10" s="34">
        <f t="shared" si="6"/>
        <v>4.066005868863206E-2</v>
      </c>
      <c r="R10" s="74">
        <f t="shared" si="7"/>
        <v>5.4841582189442434E-2</v>
      </c>
    </row>
    <row r="11" spans="1:20" s="2" customFormat="1" x14ac:dyDescent="0.2">
      <c r="A11" s="1">
        <v>7</v>
      </c>
      <c r="B11" s="3" t="s">
        <v>83</v>
      </c>
      <c r="C11" s="77" t="s">
        <v>81</v>
      </c>
      <c r="D11" s="109">
        <v>111</v>
      </c>
      <c r="E11" s="170">
        <v>166</v>
      </c>
      <c r="F11" s="171">
        <v>164</v>
      </c>
      <c r="G11" s="109">
        <v>184</v>
      </c>
      <c r="H11" s="169">
        <f t="shared" si="2"/>
        <v>514</v>
      </c>
      <c r="I11" s="166">
        <f t="shared" si="0"/>
        <v>8.3306320907617498E-2</v>
      </c>
      <c r="J11" s="24">
        <f t="shared" si="3"/>
        <v>441</v>
      </c>
      <c r="K11" s="7">
        <f t="shared" si="1"/>
        <v>0.16553287981859421</v>
      </c>
      <c r="L11" s="7">
        <f t="shared" si="4"/>
        <v>0.16553287981859421</v>
      </c>
      <c r="M11" s="33">
        <f t="shared" si="8"/>
        <v>7.7722134643721991E-2</v>
      </c>
      <c r="O11" s="77" t="s">
        <v>81</v>
      </c>
      <c r="P11" s="34">
        <f t="shared" si="5"/>
        <v>5.8314424635332242E-2</v>
      </c>
      <c r="Q11" s="34">
        <f t="shared" si="6"/>
        <v>2.3316640393116598E-2</v>
      </c>
      <c r="R11" s="74">
        <f t="shared" si="7"/>
        <v>8.1631065028448843E-2</v>
      </c>
    </row>
    <row r="12" spans="1:20" s="2" customFormat="1" x14ac:dyDescent="0.2">
      <c r="A12" s="1">
        <v>8</v>
      </c>
      <c r="B12" s="3" t="s">
        <v>84</v>
      </c>
      <c r="C12" s="77" t="s">
        <v>82</v>
      </c>
      <c r="D12" s="109">
        <v>97</v>
      </c>
      <c r="E12" s="170">
        <v>264</v>
      </c>
      <c r="F12" s="171">
        <v>374</v>
      </c>
      <c r="G12" s="109">
        <v>455</v>
      </c>
      <c r="H12" s="169">
        <f t="shared" si="2"/>
        <v>1093</v>
      </c>
      <c r="I12" s="166">
        <f t="shared" si="0"/>
        <v>0.17714748784440842</v>
      </c>
      <c r="J12" s="24">
        <f t="shared" si="3"/>
        <v>735</v>
      </c>
      <c r="K12" s="7">
        <f t="shared" si="1"/>
        <v>0.48707482993197271</v>
      </c>
      <c r="L12" s="7">
        <f t="shared" si="4"/>
        <v>0.48707482993197271</v>
      </c>
      <c r="M12" s="33">
        <f t="shared" si="8"/>
        <v>0.22869471947221193</v>
      </c>
      <c r="O12" s="77" t="s">
        <v>82</v>
      </c>
      <c r="P12" s="34">
        <f t="shared" si="5"/>
        <v>0.12400324149108589</v>
      </c>
      <c r="Q12" s="34">
        <f t="shared" si="6"/>
        <v>6.8608415841663578E-2</v>
      </c>
      <c r="R12" s="74">
        <f t="shared" si="7"/>
        <v>0.19261165733274949</v>
      </c>
    </row>
    <row r="13" spans="1:20" s="2" customFormat="1" x14ac:dyDescent="0.2">
      <c r="A13" s="1">
        <v>9</v>
      </c>
      <c r="B13" s="3" t="s">
        <v>90</v>
      </c>
      <c r="C13" s="77" t="s">
        <v>91</v>
      </c>
      <c r="D13" s="109">
        <v>129</v>
      </c>
      <c r="E13" s="170">
        <v>136</v>
      </c>
      <c r="F13" s="171">
        <v>177</v>
      </c>
      <c r="G13" s="109">
        <v>250</v>
      </c>
      <c r="H13" s="169">
        <f t="shared" si="2"/>
        <v>563</v>
      </c>
      <c r="I13" s="166">
        <f t="shared" si="0"/>
        <v>9.1247974068071308E-2</v>
      </c>
      <c r="J13" s="24">
        <f t="shared" si="3"/>
        <v>442</v>
      </c>
      <c r="K13" s="7">
        <f t="shared" ref="K13" si="9">+H13/J13-1</f>
        <v>0.2737556561085972</v>
      </c>
      <c r="L13" s="7">
        <f t="shared" ref="L13" si="10">IF(K13&lt;0,0,K13)</f>
        <v>0.2737556561085972</v>
      </c>
      <c r="M13" s="33">
        <f t="shared" ref="M13" si="11">+L13/$L$14</f>
        <v>0.12853563586201094</v>
      </c>
      <c r="O13" s="77" t="s">
        <v>91</v>
      </c>
      <c r="P13" s="34">
        <f t="shared" ref="P13" si="12">+I13*$P$3</f>
        <v>6.3873581847649907E-2</v>
      </c>
      <c r="Q13" s="34">
        <f t="shared" ref="Q13" si="13">+M13*$Q$3</f>
        <v>3.8560690758603279E-2</v>
      </c>
      <c r="R13" s="74">
        <f t="shared" ref="R13" si="14">SUM(P13:Q13)</f>
        <v>0.10243427260625318</v>
      </c>
    </row>
    <row r="14" spans="1:20" s="2" customFormat="1" x14ac:dyDescent="0.2">
      <c r="C14" s="50" t="s">
        <v>14</v>
      </c>
      <c r="D14" s="51">
        <f>SUM(D5:D13)</f>
        <v>1430</v>
      </c>
      <c r="E14" s="172">
        <f t="shared" ref="E14:J14" si="15">SUM(E5:E13)</f>
        <v>1769</v>
      </c>
      <c r="F14" s="173">
        <f t="shared" si="15"/>
        <v>2022</v>
      </c>
      <c r="G14" s="51">
        <f t="shared" si="15"/>
        <v>2379</v>
      </c>
      <c r="H14" s="167">
        <f t="shared" si="15"/>
        <v>6170</v>
      </c>
      <c r="I14" s="168">
        <f>SUM(I5:I13)</f>
        <v>0.99999999999999989</v>
      </c>
      <c r="J14" s="167">
        <f t="shared" si="15"/>
        <v>5221</v>
      </c>
      <c r="K14" s="136">
        <f>SUM(K5:K13)</f>
        <v>2.1298035698246887</v>
      </c>
      <c r="L14" s="136">
        <f>SUM(L5:L13)</f>
        <v>2.1298035698246887</v>
      </c>
      <c r="M14" s="36">
        <f>SUM(M5:M13)</f>
        <v>1</v>
      </c>
      <c r="O14" s="72" t="s">
        <v>14</v>
      </c>
      <c r="P14" s="37">
        <f>SUM(P5:P13)</f>
        <v>0.7</v>
      </c>
      <c r="Q14" s="37">
        <f>SUM(Q5:Q13)</f>
        <v>0.3</v>
      </c>
      <c r="R14" s="75">
        <f>SUM(R5:R13)</f>
        <v>0.99999999999999989</v>
      </c>
    </row>
    <row r="15" spans="1:20" s="2" customFormat="1" x14ac:dyDescent="0.2">
      <c r="C15" s="38"/>
      <c r="D15" s="52"/>
      <c r="E15" s="53" t="s">
        <v>55</v>
      </c>
      <c r="F15" s="54" t="s">
        <v>55</v>
      </c>
      <c r="G15" s="38" t="s">
        <v>55</v>
      </c>
      <c r="H15" s="38" t="s">
        <v>55</v>
      </c>
      <c r="I15" s="38" t="s">
        <v>55</v>
      </c>
      <c r="J15" s="38"/>
      <c r="K15" s="38"/>
      <c r="L15" s="38"/>
      <c r="M15" s="38"/>
      <c r="P15" s="38" t="s">
        <v>55</v>
      </c>
      <c r="Q15" s="2" t="s">
        <v>56</v>
      </c>
    </row>
    <row r="16" spans="1:20" x14ac:dyDescent="0.2">
      <c r="D16" s="55"/>
      <c r="E16" s="56" t="s">
        <v>42</v>
      </c>
      <c r="F16" s="57" t="s">
        <v>42</v>
      </c>
      <c r="G16" s="17" t="s">
        <v>42</v>
      </c>
      <c r="H16" s="17" t="s">
        <v>42</v>
      </c>
      <c r="I16" s="17" t="s">
        <v>44</v>
      </c>
      <c r="P16" s="17" t="s">
        <v>45</v>
      </c>
      <c r="Q16" s="17" t="s">
        <v>60</v>
      </c>
    </row>
    <row r="17" spans="3:13" ht="15" x14ac:dyDescent="0.25">
      <c r="C17"/>
      <c r="D17" s="58"/>
      <c r="E17" s="59"/>
      <c r="F17" s="60"/>
      <c r="G17"/>
      <c r="H17" t="s">
        <v>43</v>
      </c>
    </row>
    <row r="18" spans="3:13" ht="15" x14ac:dyDescent="0.25">
      <c r="C18"/>
      <c r="D18" s="58"/>
      <c r="E18" s="59"/>
      <c r="F18" s="60"/>
      <c r="G18"/>
      <c r="H18"/>
    </row>
    <row r="19" spans="3:13" ht="15.75" thickBot="1" x14ac:dyDescent="0.3">
      <c r="C19"/>
      <c r="D19" s="61"/>
      <c r="E19" s="62"/>
      <c r="F19" s="63"/>
      <c r="G19"/>
      <c r="H19"/>
    </row>
    <row r="20" spans="3:13" ht="15" x14ac:dyDescent="0.25">
      <c r="C20"/>
      <c r="D20" t="s">
        <v>46</v>
      </c>
      <c r="E20" t="s">
        <v>46</v>
      </c>
      <c r="F20" t="s">
        <v>46</v>
      </c>
      <c r="G20"/>
      <c r="H20"/>
      <c r="J20" s="17" t="s">
        <v>46</v>
      </c>
      <c r="K20" s="17" t="s">
        <v>48</v>
      </c>
      <c r="L20" s="17" t="s">
        <v>57</v>
      </c>
      <c r="M20" s="17" t="s">
        <v>59</v>
      </c>
    </row>
    <row r="21" spans="3:13" ht="15" x14ac:dyDescent="0.25">
      <c r="C21"/>
      <c r="D21"/>
      <c r="E21"/>
      <c r="F21"/>
      <c r="G21"/>
      <c r="H21"/>
      <c r="J21" s="17" t="s">
        <v>47</v>
      </c>
      <c r="L21" s="17" t="s">
        <v>58</v>
      </c>
    </row>
    <row r="22" spans="3:13" ht="15" x14ac:dyDescent="0.25">
      <c r="C22"/>
      <c r="D22"/>
      <c r="E22"/>
      <c r="F22"/>
      <c r="G22"/>
      <c r="H22"/>
    </row>
    <row r="23" spans="3:13" ht="15" x14ac:dyDescent="0.25">
      <c r="C23"/>
      <c r="D23"/>
      <c r="E23"/>
      <c r="F23"/>
      <c r="G23"/>
      <c r="H23"/>
    </row>
    <row r="24" spans="3:13" ht="15" x14ac:dyDescent="0.25">
      <c r="C24"/>
      <c r="D24"/>
      <c r="E24"/>
      <c r="F24"/>
      <c r="G24"/>
      <c r="H24"/>
    </row>
    <row r="25" spans="3:13" ht="15" x14ac:dyDescent="0.25">
      <c r="C25"/>
      <c r="D25"/>
      <c r="E25"/>
      <c r="F25"/>
      <c r="G25"/>
      <c r="H25"/>
    </row>
    <row r="26" spans="3:13" ht="15" x14ac:dyDescent="0.25">
      <c r="C26"/>
      <c r="D26"/>
      <c r="E26"/>
      <c r="F26"/>
      <c r="G26"/>
      <c r="H26"/>
    </row>
  </sheetData>
  <mergeCells count="1">
    <mergeCell ref="T3:T4"/>
  </mergeCells>
  <hyperlinks>
    <hyperlink ref="T3:T4" location="'FI 2022'!M1" display="'FI 2022'!M1" xr:uid="{AD4172A6-B5F2-45D6-A2D5-4DABDC24BE92}"/>
  </hyperlinks>
  <pageMargins left="0.70866141732283472" right="0.70866141732283472" top="0.74803149606299213" bottom="0.74803149606299213" header="0.31496062992125984" footer="0.31496062992125984"/>
  <pageSetup paperSize="14" scale="73" orientation="landscape" verticalDpi="0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FI 2022</vt:lpstr>
      <vt:lpstr>I.Acreditación Institucional</vt:lpstr>
      <vt:lpstr>II.Doctorados Acreditados</vt:lpstr>
      <vt:lpstr>III. Planta Académica</vt:lpstr>
      <vt:lpstr>IV. Publicaciones por acad.</vt:lpstr>
      <vt:lpstr>V.Citas</vt:lpstr>
      <vt:lpstr>VI. Proyectos</vt:lpstr>
      <vt:lpstr>VII. Publicaciones</vt:lpstr>
      <vt:lpstr>'FI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2022-04-19T12:58:15Z</cp:lastPrinted>
  <dcterms:created xsi:type="dcterms:W3CDTF">2018-10-10T19:04:28Z</dcterms:created>
  <dcterms:modified xsi:type="dcterms:W3CDTF">2022-04-19T13:03:38Z</dcterms:modified>
</cp:coreProperties>
</file>