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9/PFE/"/>
    </mc:Choice>
  </mc:AlternateContent>
  <bookViews>
    <workbookView xWindow="0" yWindow="460" windowWidth="31980" windowHeight="21400"/>
  </bookViews>
  <sheets>
    <sheet name="Resumen PFE 2019" sheetId="1" r:id="rId1"/>
    <sheet name="1) Zonas Extremas" sheetId="2" r:id="rId2"/>
    <sheet name="3) Compensación" sheetId="3" r:id="rId3"/>
    <sheet name="4) Investigación Avanzada" sheetId="4" r:id="rId4"/>
    <sheet name="5) Efectividad Académica" sheetId="5" r:id="rId5"/>
    <sheet name="6) Género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Titles" localSheetId="4">'5) Efectividad Académica'!$A:$C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K38" i="1"/>
  <c r="K37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21" i="1"/>
  <c r="L21" i="1"/>
  <c r="J19" i="1"/>
  <c r="Q7" i="6"/>
  <c r="N18" i="6"/>
  <c r="AU4" i="5"/>
  <c r="AT4" i="5"/>
  <c r="AS19" i="5"/>
  <c r="AO18" i="5"/>
  <c r="AN19" i="5"/>
  <c r="AM19" i="5"/>
  <c r="AL19" i="5"/>
  <c r="AK18" i="5"/>
  <c r="W19" i="5"/>
  <c r="V19" i="5"/>
  <c r="T17" i="5"/>
  <c r="T4" i="5"/>
  <c r="L4" i="5"/>
  <c r="O3" i="4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1" i="1"/>
  <c r="N3" i="3"/>
  <c r="F19" i="1"/>
  <c r="M3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4" i="5"/>
  <c r="I5" i="5"/>
  <c r="M5" i="5"/>
  <c r="I6" i="5"/>
  <c r="M6" i="5"/>
  <c r="I7" i="5"/>
  <c r="I8" i="5"/>
  <c r="M8" i="5"/>
  <c r="I9" i="5"/>
  <c r="M9" i="5"/>
  <c r="I10" i="5"/>
  <c r="M10" i="5"/>
  <c r="I11" i="5"/>
  <c r="M11" i="5"/>
  <c r="I12" i="5"/>
  <c r="M12" i="5"/>
  <c r="I13" i="5"/>
  <c r="M13" i="5"/>
  <c r="I14" i="5"/>
  <c r="M14" i="5"/>
  <c r="I15" i="5"/>
  <c r="M15" i="5"/>
  <c r="I16" i="5"/>
  <c r="M16" i="5"/>
  <c r="I17" i="5"/>
  <c r="M17" i="5"/>
  <c r="I18" i="5"/>
  <c r="M18" i="5"/>
  <c r="I19" i="5"/>
  <c r="M19" i="5"/>
  <c r="I4" i="5"/>
  <c r="M4" i="5"/>
  <c r="H5" i="5"/>
  <c r="R5" i="5"/>
  <c r="H6" i="5"/>
  <c r="R6" i="5"/>
  <c r="H7" i="5"/>
  <c r="H8" i="5"/>
  <c r="R8" i="5"/>
  <c r="H9" i="5"/>
  <c r="R9" i="5"/>
  <c r="H10" i="5"/>
  <c r="R10" i="5"/>
  <c r="H11" i="5"/>
  <c r="R11" i="5"/>
  <c r="H12" i="5"/>
  <c r="R12" i="5"/>
  <c r="H13" i="5"/>
  <c r="R13" i="5"/>
  <c r="H14" i="5"/>
  <c r="R14" i="5"/>
  <c r="H15" i="5"/>
  <c r="H16" i="5"/>
  <c r="H17" i="5"/>
  <c r="R17" i="5"/>
  <c r="H18" i="5"/>
  <c r="R18" i="5"/>
  <c r="H19" i="5"/>
  <c r="R19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4" i="5"/>
  <c r="E5" i="5"/>
  <c r="L5" i="5"/>
  <c r="E6" i="5"/>
  <c r="L6" i="5"/>
  <c r="E7" i="5"/>
  <c r="E8" i="5"/>
  <c r="L8" i="5"/>
  <c r="E9" i="5"/>
  <c r="L9" i="5"/>
  <c r="E10" i="5"/>
  <c r="L10" i="5"/>
  <c r="E11" i="5"/>
  <c r="L11" i="5"/>
  <c r="E12" i="5"/>
  <c r="L12" i="5"/>
  <c r="E13" i="5"/>
  <c r="L13" i="5"/>
  <c r="E14" i="5"/>
  <c r="L14" i="5"/>
  <c r="E15" i="5"/>
  <c r="E16" i="5"/>
  <c r="L16" i="5"/>
  <c r="E17" i="5"/>
  <c r="L17" i="5"/>
  <c r="E18" i="5"/>
  <c r="L18" i="5"/>
  <c r="E19" i="5"/>
  <c r="L19" i="5"/>
  <c r="E4" i="5"/>
  <c r="D5" i="5"/>
  <c r="Q5" i="5"/>
  <c r="D6" i="5"/>
  <c r="Q6" i="5"/>
  <c r="D7" i="5"/>
  <c r="D8" i="5"/>
  <c r="Q8" i="5"/>
  <c r="D9" i="5"/>
  <c r="Q9" i="5"/>
  <c r="D10" i="5"/>
  <c r="Q10" i="5"/>
  <c r="D11" i="5"/>
  <c r="D12" i="5"/>
  <c r="Q12" i="5"/>
  <c r="D13" i="5"/>
  <c r="Q13" i="5"/>
  <c r="D14" i="5"/>
  <c r="Q14" i="5"/>
  <c r="D15" i="5"/>
  <c r="D16" i="5"/>
  <c r="Q16" i="5"/>
  <c r="D17" i="5"/>
  <c r="Q17" i="5"/>
  <c r="D18" i="5"/>
  <c r="D19" i="5"/>
  <c r="Q19" i="5"/>
  <c r="D4" i="5"/>
  <c r="Q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4" i="5"/>
  <c r="AH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4" i="5"/>
  <c r="AM4" i="5"/>
  <c r="AB19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4" i="5"/>
  <c r="AG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4" i="5"/>
  <c r="AL4" i="5"/>
  <c r="R4" i="5"/>
  <c r="S4" i="5"/>
  <c r="Q11" i="5"/>
  <c r="AN4" i="5"/>
  <c r="N4" i="5"/>
  <c r="S19" i="5"/>
  <c r="R16" i="5"/>
  <c r="Q18" i="5"/>
  <c r="S18" i="5"/>
  <c r="S17" i="5"/>
  <c r="S13" i="5"/>
  <c r="S9" i="5"/>
  <c r="S5" i="5"/>
  <c r="N17" i="5"/>
  <c r="N13" i="5"/>
  <c r="N9" i="5"/>
  <c r="T9" i="5"/>
  <c r="U9" i="5"/>
  <c r="N5" i="5"/>
  <c r="F20" i="5"/>
  <c r="G20" i="5"/>
  <c r="S16" i="5"/>
  <c r="S12" i="5"/>
  <c r="S8" i="5"/>
  <c r="N16" i="5"/>
  <c r="N12" i="5"/>
  <c r="T12" i="5"/>
  <c r="U12" i="5"/>
  <c r="Q15" i="5"/>
  <c r="Q7" i="5"/>
  <c r="L15" i="5"/>
  <c r="N15" i="5"/>
  <c r="N8" i="5"/>
  <c r="N19" i="5"/>
  <c r="R15" i="5"/>
  <c r="R7" i="5"/>
  <c r="M7" i="5"/>
  <c r="M20" i="5"/>
  <c r="S10" i="5"/>
  <c r="N14" i="5"/>
  <c r="N6" i="5"/>
  <c r="L7" i="5"/>
  <c r="U17" i="5"/>
  <c r="N18" i="5"/>
  <c r="E20" i="5"/>
  <c r="N11" i="5"/>
  <c r="S11" i="5"/>
  <c r="H20" i="5"/>
  <c r="S14" i="5"/>
  <c r="S6" i="5"/>
  <c r="N10" i="5"/>
  <c r="D20" i="5"/>
  <c r="K20" i="5"/>
  <c r="J20" i="5"/>
  <c r="I20" i="5"/>
  <c r="U4" i="5"/>
  <c r="T16" i="5"/>
  <c r="U16" i="5"/>
  <c r="T19" i="5"/>
  <c r="U19" i="5"/>
  <c r="Q20" i="5"/>
  <c r="R20" i="5"/>
  <c r="T8" i="5"/>
  <c r="U8" i="5"/>
  <c r="L20" i="5"/>
  <c r="T14" i="5"/>
  <c r="U14" i="5"/>
  <c r="S7" i="5"/>
  <c r="T5" i="5"/>
  <c r="U5" i="5"/>
  <c r="T13" i="5"/>
  <c r="U13" i="5"/>
  <c r="N7" i="5"/>
  <c r="N20" i="5"/>
  <c r="T6" i="5"/>
  <c r="U6" i="5"/>
  <c r="S15" i="5"/>
  <c r="T10" i="5"/>
  <c r="U10" i="5"/>
  <c r="T18" i="5"/>
  <c r="U18" i="5"/>
  <c r="T11" i="5"/>
  <c r="U11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C20" i="5"/>
  <c r="AB20" i="5"/>
  <c r="AA20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Z20" i="5"/>
  <c r="Y20" i="5"/>
  <c r="AN15" i="5"/>
  <c r="AN11" i="5"/>
  <c r="AN7" i="5"/>
  <c r="AN8" i="5"/>
  <c r="AN17" i="5"/>
  <c r="AN13" i="5"/>
  <c r="AN9" i="5"/>
  <c r="AN5" i="5"/>
  <c r="S20" i="5"/>
  <c r="AN16" i="5"/>
  <c r="AN12" i="5"/>
  <c r="AN18" i="5"/>
  <c r="AN10" i="5"/>
  <c r="AN6" i="5"/>
  <c r="T15" i="5"/>
  <c r="U15" i="5"/>
  <c r="O19" i="5"/>
  <c r="P19" i="5"/>
  <c r="O8" i="5"/>
  <c r="P8" i="5"/>
  <c r="O13" i="5"/>
  <c r="P13" i="5"/>
  <c r="O4" i="5"/>
  <c r="P4" i="5"/>
  <c r="O11" i="5"/>
  <c r="P11" i="5"/>
  <c r="O6" i="5"/>
  <c r="P6" i="5"/>
  <c r="O16" i="5"/>
  <c r="P16" i="5"/>
  <c r="O14" i="5"/>
  <c r="P14" i="5"/>
  <c r="O10" i="5"/>
  <c r="P10" i="5"/>
  <c r="O7" i="5"/>
  <c r="P7" i="5"/>
  <c r="O9" i="5"/>
  <c r="P9" i="5"/>
  <c r="T7" i="5"/>
  <c r="O18" i="5"/>
  <c r="P18" i="5"/>
  <c r="O5" i="5"/>
  <c r="P5" i="5"/>
  <c r="O17" i="5"/>
  <c r="P17" i="5"/>
  <c r="O15" i="5"/>
  <c r="P15" i="5"/>
  <c r="O12" i="5"/>
  <c r="P12" i="5"/>
  <c r="AN14" i="5"/>
  <c r="AM20" i="5"/>
  <c r="AL20" i="5"/>
  <c r="AI16" i="5"/>
  <c r="AI8" i="5"/>
  <c r="AI19" i="5"/>
  <c r="AO19" i="5"/>
  <c r="AP19" i="5"/>
  <c r="AI11" i="5"/>
  <c r="AO11" i="5"/>
  <c r="AP11" i="5"/>
  <c r="AI18" i="5"/>
  <c r="AI14" i="5"/>
  <c r="AI10" i="5"/>
  <c r="AO10" i="5"/>
  <c r="AP10" i="5"/>
  <c r="AI6" i="5"/>
  <c r="AO6" i="5"/>
  <c r="AP6" i="5"/>
  <c r="AH20" i="5"/>
  <c r="AI12" i="5"/>
  <c r="AI15" i="5"/>
  <c r="AI7" i="5"/>
  <c r="AO7" i="5"/>
  <c r="AP7" i="5"/>
  <c r="AI17" i="5"/>
  <c r="AI13" i="5"/>
  <c r="AI9" i="5"/>
  <c r="AI5" i="5"/>
  <c r="AG20" i="5"/>
  <c r="AF20" i="5"/>
  <c r="AE20" i="5"/>
  <c r="AD20" i="5"/>
  <c r="AO8" i="5"/>
  <c r="AP8" i="5"/>
  <c r="AO15" i="5"/>
  <c r="AP15" i="5"/>
  <c r="AO17" i="5"/>
  <c r="AP17" i="5"/>
  <c r="AO16" i="5"/>
  <c r="AP16" i="5"/>
  <c r="AO5" i="5"/>
  <c r="AP5" i="5"/>
  <c r="AO9" i="5"/>
  <c r="AP9" i="5"/>
  <c r="AO13" i="5"/>
  <c r="AP13" i="5"/>
  <c r="AO12" i="5"/>
  <c r="AP12" i="5"/>
  <c r="AP18" i="5"/>
  <c r="P20" i="5"/>
  <c r="U7" i="5"/>
  <c r="T20" i="5"/>
  <c r="O20" i="5"/>
  <c r="AO14" i="5"/>
  <c r="AP14" i="5"/>
  <c r="AN20" i="5"/>
  <c r="AI4" i="5"/>
  <c r="U20" i="5"/>
  <c r="V15" i="5"/>
  <c r="AO4" i="5"/>
  <c r="AP4" i="5"/>
  <c r="AI20" i="5"/>
  <c r="AJ4" i="5"/>
  <c r="AK4" i="5"/>
  <c r="AJ18" i="5"/>
  <c r="V18" i="5"/>
  <c r="W18" i="5"/>
  <c r="X18" i="5"/>
  <c r="V9" i="5"/>
  <c r="W9" i="5"/>
  <c r="X9" i="5"/>
  <c r="V6" i="5"/>
  <c r="W6" i="5"/>
  <c r="X6" i="5"/>
  <c r="W15" i="5"/>
  <c r="X15" i="5"/>
  <c r="V10" i="5"/>
  <c r="W10" i="5"/>
  <c r="X10" i="5"/>
  <c r="X19" i="5"/>
  <c r="V14" i="5"/>
  <c r="W14" i="5"/>
  <c r="X14" i="5"/>
  <c r="V11" i="5"/>
  <c r="W11" i="5"/>
  <c r="X11" i="5"/>
  <c r="V5" i="5"/>
  <c r="W5" i="5"/>
  <c r="X5" i="5"/>
  <c r="V17" i="5"/>
  <c r="W17" i="5"/>
  <c r="X17" i="5"/>
  <c r="V12" i="5"/>
  <c r="W12" i="5"/>
  <c r="X12" i="5"/>
  <c r="V4" i="5"/>
  <c r="W4" i="5"/>
  <c r="X4" i="5"/>
  <c r="V13" i="5"/>
  <c r="W13" i="5"/>
  <c r="X13" i="5"/>
  <c r="V16" i="5"/>
  <c r="W16" i="5"/>
  <c r="X16" i="5"/>
  <c r="V8" i="5"/>
  <c r="W8" i="5"/>
  <c r="X8" i="5"/>
  <c r="AO20" i="5"/>
  <c r="V7" i="5"/>
  <c r="W7" i="5"/>
  <c r="X7" i="5"/>
  <c r="AP20" i="5"/>
  <c r="AJ15" i="5"/>
  <c r="AK15" i="5"/>
  <c r="AJ19" i="5"/>
  <c r="AK19" i="5"/>
  <c r="AJ9" i="5"/>
  <c r="AK9" i="5"/>
  <c r="AJ7" i="5"/>
  <c r="AK7" i="5"/>
  <c r="AJ11" i="5"/>
  <c r="AK11" i="5"/>
  <c r="AJ17" i="5"/>
  <c r="AK17" i="5"/>
  <c r="AJ14" i="5"/>
  <c r="AK14" i="5"/>
  <c r="AJ12" i="5"/>
  <c r="AK12" i="5"/>
  <c r="AJ8" i="5"/>
  <c r="AK8" i="5"/>
  <c r="AJ16" i="5"/>
  <c r="AK16" i="5"/>
  <c r="AJ6" i="5"/>
  <c r="AK6" i="5"/>
  <c r="AJ13" i="5"/>
  <c r="AK13" i="5"/>
  <c r="AJ10" i="5"/>
  <c r="AK10" i="5"/>
  <c r="AJ5" i="5"/>
  <c r="AK5" i="5"/>
  <c r="AK20" i="5"/>
  <c r="W20" i="5"/>
  <c r="V20" i="5"/>
  <c r="AQ17" i="5"/>
  <c r="AQ7" i="5"/>
  <c r="AQ19" i="5"/>
  <c r="AQ13" i="5"/>
  <c r="AQ9" i="5"/>
  <c r="AQ11" i="5"/>
  <c r="AQ5" i="5"/>
  <c r="AQ18" i="5"/>
  <c r="AR18" i="5"/>
  <c r="AS18" i="5"/>
  <c r="AT18" i="5"/>
  <c r="AQ6" i="5"/>
  <c r="AQ12" i="5"/>
  <c r="AQ16" i="5"/>
  <c r="AQ15" i="5"/>
  <c r="AQ10" i="5"/>
  <c r="AQ8" i="5"/>
  <c r="AQ14" i="5"/>
  <c r="AQ4" i="5"/>
  <c r="AR4" i="5"/>
  <c r="AJ20" i="5"/>
  <c r="AR6" i="5"/>
  <c r="AS6" i="5"/>
  <c r="AT6" i="5"/>
  <c r="AR5" i="5"/>
  <c r="AS5" i="5"/>
  <c r="AT5" i="5"/>
  <c r="AS4" i="5"/>
  <c r="AR10" i="5"/>
  <c r="AS10" i="5"/>
  <c r="AT10" i="5"/>
  <c r="AR9" i="5"/>
  <c r="AS9" i="5"/>
  <c r="AT9" i="5"/>
  <c r="AR17" i="5"/>
  <c r="AS17" i="5"/>
  <c r="AT17" i="5"/>
  <c r="AR15" i="5"/>
  <c r="AS15" i="5"/>
  <c r="AT15" i="5"/>
  <c r="AR13" i="5"/>
  <c r="AS13" i="5"/>
  <c r="AT13" i="5"/>
  <c r="AR14" i="5"/>
  <c r="AS14" i="5"/>
  <c r="AT14" i="5"/>
  <c r="AR16" i="5"/>
  <c r="AS16" i="5"/>
  <c r="AT16" i="5"/>
  <c r="AR19" i="5"/>
  <c r="AT19" i="5"/>
  <c r="AR8" i="5"/>
  <c r="AS8" i="5"/>
  <c r="AT8" i="5"/>
  <c r="AR12" i="5"/>
  <c r="AS12" i="5"/>
  <c r="AT12" i="5"/>
  <c r="AR11" i="5"/>
  <c r="AS11" i="5"/>
  <c r="AT11" i="5"/>
  <c r="AR7" i="5"/>
  <c r="AS7" i="5"/>
  <c r="AT7" i="5"/>
  <c r="X20" i="5"/>
  <c r="AQ20" i="5"/>
  <c r="D38" i="1"/>
  <c r="D37" i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AR20" i="5"/>
  <c r="L19" i="6"/>
  <c r="K19" i="6"/>
  <c r="F7" i="6"/>
  <c r="N7" i="6"/>
  <c r="O7" i="6"/>
  <c r="F11" i="6"/>
  <c r="N11" i="6"/>
  <c r="O11" i="6"/>
  <c r="F15" i="6"/>
  <c r="N15" i="6"/>
  <c r="O15" i="6"/>
  <c r="F3" i="6"/>
  <c r="N3" i="6"/>
  <c r="E19" i="6"/>
  <c r="F4" i="6"/>
  <c r="N4" i="6"/>
  <c r="O4" i="6"/>
  <c r="F8" i="6"/>
  <c r="N8" i="6"/>
  <c r="O8" i="6"/>
  <c r="F12" i="6"/>
  <c r="N12" i="6"/>
  <c r="O12" i="6"/>
  <c r="F16" i="6"/>
  <c r="N16" i="6"/>
  <c r="O16" i="6"/>
  <c r="D19" i="6"/>
  <c r="I3" i="6"/>
  <c r="J3" i="6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3" i="4"/>
  <c r="AS20" i="5"/>
  <c r="I4" i="6"/>
  <c r="J4" i="6"/>
  <c r="I8" i="6"/>
  <c r="J8" i="6"/>
  <c r="I12" i="6"/>
  <c r="J12" i="6"/>
  <c r="I16" i="6"/>
  <c r="J16" i="6"/>
  <c r="I18" i="6"/>
  <c r="J18" i="6"/>
  <c r="I14" i="6"/>
  <c r="J14" i="6"/>
  <c r="I6" i="6"/>
  <c r="J6" i="6"/>
  <c r="I17" i="6"/>
  <c r="J17" i="6"/>
  <c r="I13" i="6"/>
  <c r="J13" i="6"/>
  <c r="I9" i="6"/>
  <c r="J9" i="6"/>
  <c r="I5" i="6"/>
  <c r="J5" i="6"/>
  <c r="I15" i="6"/>
  <c r="J15" i="6"/>
  <c r="I11" i="6"/>
  <c r="J11" i="6"/>
  <c r="I7" i="6"/>
  <c r="J7" i="6"/>
  <c r="I10" i="6"/>
  <c r="J10" i="6"/>
  <c r="L19" i="4"/>
  <c r="M11" i="4"/>
  <c r="F18" i="6"/>
  <c r="O18" i="6"/>
  <c r="F14" i="6"/>
  <c r="N14" i="6"/>
  <c r="O14" i="6"/>
  <c r="F10" i="6"/>
  <c r="N10" i="6"/>
  <c r="O10" i="6"/>
  <c r="F6" i="6"/>
  <c r="N6" i="6"/>
  <c r="O6" i="6"/>
  <c r="F17" i="6"/>
  <c r="N17" i="6"/>
  <c r="O17" i="6"/>
  <c r="F13" i="6"/>
  <c r="N13" i="6"/>
  <c r="O13" i="6"/>
  <c r="F9" i="6"/>
  <c r="N9" i="6"/>
  <c r="O9" i="6"/>
  <c r="F5" i="6"/>
  <c r="N5" i="6"/>
  <c r="O5" i="6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3" i="4"/>
  <c r="J19" i="6"/>
  <c r="J17" i="4"/>
  <c r="J5" i="4"/>
  <c r="O3" i="6"/>
  <c r="N19" i="6"/>
  <c r="J13" i="4"/>
  <c r="J9" i="4"/>
  <c r="AT20" i="5"/>
  <c r="F19" i="6"/>
  <c r="G11" i="6"/>
  <c r="H11" i="6"/>
  <c r="J8" i="4"/>
  <c r="M10" i="4"/>
  <c r="M9" i="4"/>
  <c r="J11" i="4"/>
  <c r="J16" i="4"/>
  <c r="J12" i="4"/>
  <c r="J4" i="4"/>
  <c r="M4" i="4"/>
  <c r="M8" i="4"/>
  <c r="M12" i="4"/>
  <c r="M16" i="4"/>
  <c r="M14" i="4"/>
  <c r="M17" i="4"/>
  <c r="M15" i="4"/>
  <c r="H19" i="4"/>
  <c r="J3" i="4"/>
  <c r="J15" i="4"/>
  <c r="J7" i="4"/>
  <c r="I19" i="6"/>
  <c r="M18" i="4"/>
  <c r="M3" i="4"/>
  <c r="J18" i="4"/>
  <c r="J14" i="4"/>
  <c r="J10" i="4"/>
  <c r="J6" i="4"/>
  <c r="M6" i="4"/>
  <c r="M5" i="4"/>
  <c r="M7" i="4"/>
  <c r="M13" i="4"/>
  <c r="I19" i="4"/>
  <c r="E19" i="4"/>
  <c r="G9" i="6"/>
  <c r="H9" i="6"/>
  <c r="G5" i="6"/>
  <c r="H5" i="6"/>
  <c r="G14" i="6"/>
  <c r="H14" i="6"/>
  <c r="G4" i="6"/>
  <c r="H4" i="6"/>
  <c r="G8" i="6"/>
  <c r="H8" i="6"/>
  <c r="G6" i="6"/>
  <c r="H6" i="6"/>
  <c r="G18" i="6"/>
  <c r="H18" i="6"/>
  <c r="G12" i="6"/>
  <c r="H12" i="6"/>
  <c r="G10" i="6"/>
  <c r="H10" i="6"/>
  <c r="O19" i="6"/>
  <c r="P3" i="6"/>
  <c r="Q3" i="6"/>
  <c r="G15" i="6"/>
  <c r="H15" i="6"/>
  <c r="G3" i="6"/>
  <c r="H3" i="6"/>
  <c r="G17" i="6"/>
  <c r="H17" i="6"/>
  <c r="G13" i="6"/>
  <c r="H13" i="6"/>
  <c r="G7" i="6"/>
  <c r="H7" i="6"/>
  <c r="G16" i="6"/>
  <c r="H16" i="6"/>
  <c r="M19" i="4"/>
  <c r="J19" i="4"/>
  <c r="K12" i="4"/>
  <c r="K13" i="4"/>
  <c r="R3" i="6"/>
  <c r="R9" i="6"/>
  <c r="H19" i="6"/>
  <c r="R15" i="6"/>
  <c r="P15" i="6"/>
  <c r="Q15" i="6"/>
  <c r="P8" i="6"/>
  <c r="Q8" i="6"/>
  <c r="R8" i="6"/>
  <c r="P16" i="6"/>
  <c r="Q16" i="6"/>
  <c r="R16" i="6"/>
  <c r="P11" i="6"/>
  <c r="Q11" i="6"/>
  <c r="R11" i="6"/>
  <c r="P7" i="6"/>
  <c r="R7" i="6"/>
  <c r="P4" i="6"/>
  <c r="Q4" i="6"/>
  <c r="P12" i="6"/>
  <c r="Q12" i="6"/>
  <c r="R12" i="6"/>
  <c r="P5" i="6"/>
  <c r="Q5" i="6"/>
  <c r="R5" i="6"/>
  <c r="P17" i="6"/>
  <c r="Q17" i="6"/>
  <c r="R17" i="6"/>
  <c r="P9" i="6"/>
  <c r="Q9" i="6"/>
  <c r="P6" i="6"/>
  <c r="Q6" i="6"/>
  <c r="R6" i="6"/>
  <c r="P18" i="6"/>
  <c r="Q18" i="6"/>
  <c r="R18" i="6"/>
  <c r="P13" i="6"/>
  <c r="Q13" i="6"/>
  <c r="R13" i="6"/>
  <c r="P10" i="6"/>
  <c r="Q10" i="6"/>
  <c r="R10" i="6"/>
  <c r="P14" i="6"/>
  <c r="Q14" i="6"/>
  <c r="R14" i="6"/>
  <c r="G19" i="6"/>
  <c r="K7" i="4"/>
  <c r="K15" i="4"/>
  <c r="K10" i="4"/>
  <c r="K4" i="4"/>
  <c r="K5" i="4"/>
  <c r="K17" i="4"/>
  <c r="K16" i="4"/>
  <c r="K8" i="4"/>
  <c r="K14" i="4"/>
  <c r="K11" i="4"/>
  <c r="K9" i="4"/>
  <c r="K3" i="4"/>
  <c r="K6" i="4"/>
  <c r="K18" i="4"/>
  <c r="D4" i="4"/>
  <c r="F4" i="4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3" i="4"/>
  <c r="Q19" i="6"/>
  <c r="R4" i="6"/>
  <c r="P19" i="6"/>
  <c r="K19" i="4"/>
  <c r="D19" i="4"/>
  <c r="F3" i="4"/>
  <c r="R19" i="6"/>
  <c r="F19" i="4"/>
  <c r="G9" i="4"/>
  <c r="N9" i="4"/>
  <c r="G17" i="4"/>
  <c r="N17" i="4"/>
  <c r="G4" i="4"/>
  <c r="N4" i="4"/>
  <c r="G6" i="4"/>
  <c r="N6" i="4"/>
  <c r="G11" i="4"/>
  <c r="N11" i="4"/>
  <c r="G14" i="4"/>
  <c r="N14" i="4"/>
  <c r="G7" i="4"/>
  <c r="N7" i="4"/>
  <c r="G8" i="4"/>
  <c r="N8" i="4"/>
  <c r="G10" i="4"/>
  <c r="N10" i="4"/>
  <c r="G16" i="4"/>
  <c r="N16" i="4"/>
  <c r="G15" i="4"/>
  <c r="N15" i="4"/>
  <c r="G13" i="4"/>
  <c r="N13" i="4"/>
  <c r="G18" i="4"/>
  <c r="N18" i="4"/>
  <c r="G12" i="4"/>
  <c r="N12" i="4"/>
  <c r="G5" i="4"/>
  <c r="N5" i="4"/>
  <c r="G3" i="4"/>
  <c r="N3" i="4"/>
  <c r="N19" i="4"/>
  <c r="G19" i="4"/>
  <c r="H19" i="3"/>
  <c r="I19" i="3"/>
  <c r="K19" i="3"/>
  <c r="G19" i="3"/>
  <c r="J4" i="3"/>
  <c r="L4" i="3"/>
  <c r="J5" i="3"/>
  <c r="L5" i="3"/>
  <c r="J6" i="3"/>
  <c r="L6" i="3"/>
  <c r="J7" i="3"/>
  <c r="L7" i="3"/>
  <c r="J8" i="3"/>
  <c r="L8" i="3"/>
  <c r="J9" i="3"/>
  <c r="L9" i="3"/>
  <c r="J10" i="3"/>
  <c r="L10" i="3"/>
  <c r="J11" i="3"/>
  <c r="L11" i="3"/>
  <c r="J12" i="3"/>
  <c r="L12" i="3"/>
  <c r="J13" i="3"/>
  <c r="L13" i="3"/>
  <c r="J14" i="3"/>
  <c r="L14" i="3"/>
  <c r="J15" i="3"/>
  <c r="L15" i="3"/>
  <c r="J16" i="3"/>
  <c r="L16" i="3"/>
  <c r="J17" i="3"/>
  <c r="L17" i="3"/>
  <c r="J18" i="3"/>
  <c r="L18" i="3"/>
  <c r="J3" i="3"/>
  <c r="F19" i="3"/>
  <c r="L3" i="3"/>
  <c r="L21" i="3"/>
  <c r="J19" i="3"/>
  <c r="L19" i="3"/>
  <c r="E19" i="3"/>
  <c r="M7" i="3"/>
  <c r="N7" i="3"/>
  <c r="M11" i="3"/>
  <c r="N11" i="3"/>
  <c r="M15" i="3"/>
  <c r="N15" i="3"/>
  <c r="M19" i="3"/>
  <c r="M6" i="3"/>
  <c r="N6" i="3"/>
  <c r="M10" i="3"/>
  <c r="N10" i="3"/>
  <c r="M18" i="3"/>
  <c r="N18" i="3"/>
  <c r="M4" i="3"/>
  <c r="N4" i="3"/>
  <c r="M8" i="3"/>
  <c r="N8" i="3"/>
  <c r="M12" i="3"/>
  <c r="N12" i="3"/>
  <c r="M16" i="3"/>
  <c r="N16" i="3"/>
  <c r="M3" i="3"/>
  <c r="M14" i="3"/>
  <c r="N14" i="3"/>
  <c r="M5" i="3"/>
  <c r="N5" i="3"/>
  <c r="M9" i="3"/>
  <c r="N9" i="3"/>
  <c r="M13" i="3"/>
  <c r="N13" i="3"/>
  <c r="M17" i="3"/>
  <c r="N17" i="3"/>
  <c r="D19" i="3"/>
  <c r="O13" i="3"/>
  <c r="O7" i="3"/>
  <c r="N19" i="3"/>
  <c r="O3" i="3"/>
  <c r="O6" i="3"/>
  <c r="O11" i="3"/>
  <c r="O17" i="3"/>
  <c r="O5" i="3"/>
  <c r="O15" i="3"/>
  <c r="O16" i="3"/>
  <c r="O8" i="3"/>
  <c r="O18" i="3"/>
  <c r="O10" i="3"/>
  <c r="O9" i="3"/>
  <c r="O14" i="3"/>
  <c r="O4" i="3"/>
  <c r="O12" i="3"/>
  <c r="O19" i="3"/>
  <c r="K18" i="1"/>
  <c r="E22" i="1"/>
  <c r="E24" i="1"/>
  <c r="E26" i="1"/>
  <c r="E27" i="1"/>
  <c r="E28" i="1"/>
  <c r="E29" i="1"/>
  <c r="E30" i="1"/>
  <c r="E31" i="1"/>
  <c r="E32" i="1"/>
  <c r="E33" i="1"/>
  <c r="E35" i="1"/>
  <c r="E36" i="1"/>
  <c r="E37" i="1"/>
  <c r="E38" i="1"/>
  <c r="E21" i="1"/>
  <c r="C4" i="2"/>
  <c r="C5" i="2"/>
  <c r="C3" i="2"/>
  <c r="C6" i="2"/>
  <c r="D3" i="2"/>
  <c r="E3" i="2"/>
  <c r="E34" i="1"/>
  <c r="D5" i="2"/>
  <c r="E5" i="2"/>
  <c r="D4" i="2"/>
  <c r="E23" i="1"/>
  <c r="D6" i="2"/>
  <c r="E4" i="2"/>
  <c r="D39" i="1"/>
  <c r="C8" i="1"/>
  <c r="C11" i="1"/>
  <c r="I19" i="1"/>
  <c r="E25" i="1"/>
  <c r="E6" i="2"/>
  <c r="G19" i="1"/>
  <c r="H19" i="1"/>
  <c r="S18" i="6"/>
  <c r="S6" i="6"/>
  <c r="S10" i="6"/>
  <c r="S13" i="6"/>
  <c r="S11" i="6"/>
  <c r="S16" i="6"/>
  <c r="S12" i="6"/>
  <c r="S7" i="6"/>
  <c r="S9" i="6"/>
  <c r="S5" i="6"/>
  <c r="S14" i="6"/>
  <c r="S15" i="6"/>
  <c r="S8" i="6"/>
  <c r="S3" i="6"/>
  <c r="S17" i="6"/>
  <c r="S4" i="6"/>
  <c r="S19" i="6"/>
  <c r="P7" i="3"/>
  <c r="P13" i="3"/>
  <c r="P3" i="3"/>
  <c r="P11" i="3"/>
  <c r="P6" i="3"/>
  <c r="P15" i="3"/>
  <c r="P17" i="3"/>
  <c r="P10" i="3"/>
  <c r="P12" i="3"/>
  <c r="P4" i="3"/>
  <c r="P14" i="3"/>
  <c r="P9" i="3"/>
  <c r="P8" i="3"/>
  <c r="P18" i="3"/>
  <c r="P5" i="3"/>
  <c r="P16" i="3"/>
  <c r="AU18" i="5"/>
  <c r="AU7" i="5"/>
  <c r="AU5" i="5"/>
  <c r="AU9" i="5"/>
  <c r="AU13" i="5"/>
  <c r="AU14" i="5"/>
  <c r="AU11" i="5"/>
  <c r="AU15" i="5"/>
  <c r="AU6" i="5"/>
  <c r="AU10" i="5"/>
  <c r="AU17" i="5"/>
  <c r="AU8" i="5"/>
  <c r="AU16" i="5"/>
  <c r="AU12" i="5"/>
  <c r="AU19" i="5"/>
  <c r="AU20" i="5"/>
  <c r="O7" i="4"/>
  <c r="O16" i="4"/>
  <c r="O18" i="4"/>
  <c r="O4" i="4"/>
  <c r="O14" i="4"/>
  <c r="O10" i="4"/>
  <c r="O13" i="4"/>
  <c r="O5" i="4"/>
  <c r="O8" i="4"/>
  <c r="O15" i="4"/>
  <c r="O9" i="4"/>
  <c r="O11" i="4"/>
  <c r="O17" i="4"/>
  <c r="O12" i="4"/>
  <c r="O6" i="4"/>
  <c r="O19" i="4"/>
  <c r="I37" i="1"/>
  <c r="I36" i="1"/>
  <c r="I31" i="1"/>
  <c r="I25" i="1"/>
  <c r="I32" i="1"/>
  <c r="I35" i="1"/>
  <c r="I33" i="1"/>
  <c r="I27" i="1"/>
  <c r="I29" i="1"/>
  <c r="I38" i="1"/>
  <c r="I26" i="1"/>
  <c r="I23" i="1"/>
  <c r="I34" i="1"/>
  <c r="I21" i="1"/>
  <c r="I22" i="1"/>
  <c r="I30" i="1"/>
  <c r="I28" i="1"/>
  <c r="I24" i="1"/>
  <c r="H38" i="1"/>
  <c r="H26" i="1"/>
  <c r="H24" i="1"/>
  <c r="H23" i="1"/>
  <c r="H28" i="1"/>
  <c r="H33" i="1"/>
  <c r="H35" i="1"/>
  <c r="H37" i="1"/>
  <c r="H29" i="1"/>
  <c r="H21" i="1"/>
  <c r="H31" i="1"/>
  <c r="H25" i="1"/>
  <c r="H22" i="1"/>
  <c r="H30" i="1"/>
  <c r="H32" i="1"/>
  <c r="H36" i="1"/>
  <c r="H34" i="1"/>
  <c r="H27" i="1"/>
  <c r="J35" i="1"/>
  <c r="J30" i="1"/>
  <c r="J32" i="1"/>
  <c r="J26" i="1"/>
  <c r="J24" i="1"/>
  <c r="J21" i="1"/>
  <c r="J31" i="1"/>
  <c r="J28" i="1"/>
  <c r="J23" i="1"/>
  <c r="J25" i="1"/>
  <c r="J38" i="1"/>
  <c r="J36" i="1"/>
  <c r="J34" i="1"/>
  <c r="J27" i="1"/>
  <c r="J33" i="1"/>
  <c r="J29" i="1"/>
  <c r="J22" i="1"/>
  <c r="J37" i="1"/>
  <c r="K19" i="1"/>
  <c r="G35" i="1"/>
  <c r="G24" i="1"/>
  <c r="G30" i="1"/>
  <c r="G27" i="1"/>
  <c r="G38" i="1"/>
  <c r="G34" i="1"/>
  <c r="G23" i="1"/>
  <c r="G29" i="1"/>
  <c r="G37" i="1"/>
  <c r="G21" i="1"/>
  <c r="G33" i="1"/>
  <c r="G32" i="1"/>
  <c r="G28" i="1"/>
  <c r="G31" i="1"/>
  <c r="G26" i="1"/>
  <c r="G36" i="1"/>
  <c r="G25" i="1"/>
  <c r="G22" i="1"/>
  <c r="E39" i="1"/>
  <c r="P19" i="3"/>
  <c r="L35" i="1"/>
  <c r="L30" i="1"/>
  <c r="J39" i="1"/>
  <c r="F39" i="1"/>
  <c r="L36" i="1"/>
  <c r="G39" i="1"/>
  <c r="L32" i="1"/>
  <c r="H39" i="1"/>
  <c r="L29" i="1"/>
  <c r="L28" i="1"/>
  <c r="L27" i="1"/>
  <c r="L26" i="1"/>
  <c r="L33" i="1"/>
  <c r="L23" i="1"/>
  <c r="L22" i="1"/>
  <c r="L34" i="1"/>
  <c r="I39" i="1"/>
  <c r="L25" i="1"/>
  <c r="M26" i="1"/>
  <c r="M27" i="1"/>
  <c r="M30" i="1"/>
  <c r="M23" i="1"/>
  <c r="M36" i="1"/>
  <c r="M34" i="1"/>
  <c r="M28" i="1"/>
  <c r="M25" i="1"/>
  <c r="M22" i="1"/>
  <c r="M33" i="1"/>
  <c r="M29" i="1"/>
  <c r="M32" i="1"/>
  <c r="M35" i="1"/>
  <c r="L24" i="1"/>
  <c r="N38" i="1"/>
  <c r="L38" i="1"/>
  <c r="M38" i="1"/>
  <c r="L37" i="1"/>
  <c r="M37" i="1"/>
  <c r="N37" i="1"/>
  <c r="K39" i="1"/>
  <c r="L31" i="1"/>
  <c r="M31" i="1"/>
  <c r="M21" i="1"/>
  <c r="M24" i="1"/>
  <c r="O37" i="1"/>
  <c r="L39" i="1"/>
  <c r="O38" i="1"/>
  <c r="M40" i="1"/>
  <c r="N34" i="1"/>
  <c r="O34" i="1"/>
  <c r="M39" i="1"/>
  <c r="N31" i="1"/>
  <c r="O31" i="1"/>
  <c r="N25" i="1"/>
  <c r="O25" i="1"/>
  <c r="N24" i="1"/>
  <c r="O24" i="1"/>
  <c r="N29" i="1"/>
  <c r="O29" i="1"/>
  <c r="N27" i="1"/>
  <c r="O27" i="1"/>
  <c r="N26" i="1"/>
  <c r="O26" i="1"/>
  <c r="N28" i="1"/>
  <c r="O28" i="1"/>
  <c r="N21" i="1"/>
  <c r="O21" i="1"/>
  <c r="N23" i="1"/>
  <c r="O23" i="1"/>
  <c r="N33" i="1"/>
  <c r="N30" i="1"/>
  <c r="O30" i="1"/>
  <c r="N36" i="1"/>
  <c r="N35" i="1"/>
  <c r="O35" i="1"/>
  <c r="N32" i="1"/>
  <c r="O32" i="1"/>
  <c r="N22" i="1"/>
  <c r="O22" i="1"/>
  <c r="O39" i="1"/>
  <c r="P21" i="1"/>
  <c r="N39" i="1"/>
  <c r="P30" i="1"/>
  <c r="P36" i="1"/>
  <c r="P33" i="1"/>
  <c r="P26" i="1"/>
  <c r="P22" i="1"/>
  <c r="P23" i="1"/>
  <c r="P28" i="1"/>
  <c r="P32" i="1"/>
  <c r="O40" i="1"/>
  <c r="P31" i="1"/>
  <c r="P37" i="1"/>
  <c r="P38" i="1"/>
  <c r="P25" i="1"/>
  <c r="P24" i="1"/>
  <c r="P27" i="1"/>
  <c r="P34" i="1"/>
  <c r="P29" i="1"/>
  <c r="P35" i="1"/>
  <c r="P39" i="1"/>
</calcChain>
</file>

<file path=xl/sharedStrings.xml><?xml version="1.0" encoding="utf-8"?>
<sst xmlns="http://schemas.openxmlformats.org/spreadsheetml/2006/main" count="427" uniqueCount="241">
  <si>
    <t>Montos PFE 2019</t>
  </si>
  <si>
    <t>N°</t>
  </si>
  <si>
    <t>Cod_ IES</t>
  </si>
  <si>
    <t>Instituciones</t>
  </si>
  <si>
    <t>ATA</t>
  </si>
  <si>
    <t>U. de Atacama</t>
  </si>
  <si>
    <t>UCH</t>
  </si>
  <si>
    <t>U. de Chile</t>
  </si>
  <si>
    <t>MAG</t>
  </si>
  <si>
    <t>U. de Magallanes</t>
  </si>
  <si>
    <t>UVA</t>
  </si>
  <si>
    <t>U. de Valparaíso</t>
  </si>
  <si>
    <t>UAP</t>
  </si>
  <si>
    <t>U. Arturo Prat</t>
  </si>
  <si>
    <t>ULA</t>
  </si>
  <si>
    <t>U. de Los Lagos</t>
  </si>
  <si>
    <t>UPA</t>
  </si>
  <si>
    <t>U. de Playa Ancha</t>
  </si>
  <si>
    <t>ULS</t>
  </si>
  <si>
    <t>U. de la Serena</t>
  </si>
  <si>
    <t>UTM</t>
  </si>
  <si>
    <t>U. Tecnológica Metropolitana</t>
  </si>
  <si>
    <t>ANT</t>
  </si>
  <si>
    <t>U. de Antofagasta</t>
  </si>
  <si>
    <t>USA</t>
  </si>
  <si>
    <t>U. de Santiago</t>
  </si>
  <si>
    <t>FRO</t>
  </si>
  <si>
    <t>U. de la Frontera</t>
  </si>
  <si>
    <t>TAL</t>
  </si>
  <si>
    <t>U. de Talca</t>
  </si>
  <si>
    <t>UTA</t>
  </si>
  <si>
    <t>U. de Tarapacá</t>
  </si>
  <si>
    <t>UBB</t>
  </si>
  <si>
    <t>U. del Bío Bío</t>
  </si>
  <si>
    <t>UMC</t>
  </si>
  <si>
    <t>U. Metropolitana</t>
  </si>
  <si>
    <t>URO</t>
  </si>
  <si>
    <t>U. de O'Higgins</t>
  </si>
  <si>
    <t>URY</t>
  </si>
  <si>
    <t>U. de Aysén</t>
  </si>
  <si>
    <t>M$</t>
  </si>
  <si>
    <t>Corriente</t>
  </si>
  <si>
    <t>Capital</t>
  </si>
  <si>
    <t>Zonas Extremas</t>
  </si>
  <si>
    <t>Universidades Nuevas</t>
  </si>
  <si>
    <t>Límite Superior</t>
  </si>
  <si>
    <t>Repartición Montos Iguales</t>
  </si>
  <si>
    <t>Total Presupuesto 2019</t>
  </si>
  <si>
    <t>Compensación</t>
  </si>
  <si>
    <t>Género</t>
  </si>
  <si>
    <t>Efectividad Académica</t>
  </si>
  <si>
    <t>Investigación Avanzada</t>
  </si>
  <si>
    <t>Universidades</t>
  </si>
  <si>
    <t>Distancia KM a Santiago</t>
  </si>
  <si>
    <t>Porcentaje</t>
  </si>
  <si>
    <t>Total M$</t>
  </si>
  <si>
    <t>Total ponderación</t>
  </si>
  <si>
    <t>AFD</t>
  </si>
  <si>
    <t>CM</t>
  </si>
  <si>
    <t>ESR</t>
  </si>
  <si>
    <t>PFE</t>
  </si>
  <si>
    <t>AIN</t>
  </si>
  <si>
    <t>IU</t>
  </si>
  <si>
    <t>Santiago, 14 de mayo de 2019</t>
  </si>
  <si>
    <t>Matrícula</t>
  </si>
  <si>
    <t>Max</t>
  </si>
  <si>
    <t>Brecha</t>
  </si>
  <si>
    <t>% Brecha</t>
  </si>
  <si>
    <t>Proporción JC con Doctor 2018</t>
  </si>
  <si>
    <t>Proporción Publicaciones por JC con Doctorado 2017</t>
  </si>
  <si>
    <t>Publicaciones Scopus 2017</t>
  </si>
  <si>
    <t>JC con Doctorado 2017</t>
  </si>
  <si>
    <t>Publicaciones por JC con Doctorado</t>
  </si>
  <si>
    <t>JC 39 horas o más 2018</t>
  </si>
  <si>
    <t>JC con Doctorado 2018</t>
  </si>
  <si>
    <t>% JC con Doctorado respecto JC 2018</t>
  </si>
  <si>
    <t>Proporción Doctorados Acreditados (Individual + Cjto desde 5 años) 2018</t>
  </si>
  <si>
    <t>Doctorados Acreditados -conjuntos 5 años o más</t>
  </si>
  <si>
    <t>Total Investigación Avanzada</t>
  </si>
  <si>
    <t>JC Doctor Mujeres 2018</t>
  </si>
  <si>
    <t>JC Doctor 2018</t>
  </si>
  <si>
    <t>% Mujeres JC Doctorado total JC Doctorado</t>
  </si>
  <si>
    <t>JC Doctor 2017</t>
  </si>
  <si>
    <t>% Mujeres JC con Grado Doctor 2017</t>
  </si>
  <si>
    <t>Tasa variación Mujeres JC con doctorado 2018</t>
  </si>
  <si>
    <t>Tasa variación Mujeres JC con doctorado sin negativos 2018</t>
  </si>
  <si>
    <t>Total Indicadores de Género</t>
  </si>
  <si>
    <t>Total IES</t>
  </si>
  <si>
    <t>Total M$ 2018</t>
  </si>
  <si>
    <t>Código IES</t>
  </si>
  <si>
    <t>Total ajustado</t>
  </si>
  <si>
    <t>MAT_2012</t>
  </si>
  <si>
    <t>MAT_2013</t>
  </si>
  <si>
    <t>MAT_2014</t>
  </si>
  <si>
    <t>MAT_2015</t>
  </si>
  <si>
    <t>TOTAL DE MATRICULA DE PRIMER AÑO</t>
  </si>
  <si>
    <t>RETENIDO EN :</t>
  </si>
  <si>
    <t>MAT_2012 RETENIDO EN MAT 2015</t>
  </si>
  <si>
    <t>MAT_2013 RETENIDO EN MAT 2016</t>
  </si>
  <si>
    <t>MAT_2014 RETENIDO EN MAT 2017</t>
  </si>
  <si>
    <t>MAT_2015 RETENIDO EN MAT 2018</t>
  </si>
  <si>
    <t>Matrícula 2013-2015</t>
  </si>
  <si>
    <t>Retenido 2013-2015</t>
  </si>
  <si>
    <t>Tasa de Retención 2013-2015</t>
  </si>
  <si>
    <t>Retenido 2012-2014</t>
  </si>
  <si>
    <t>Tasa de variación 2013-2015/2012-2014</t>
  </si>
  <si>
    <t>Tasa de variación 2013-2015/2012-2014 sin negativos</t>
  </si>
  <si>
    <t>Resultado Retención 3er año 2013-2015</t>
  </si>
  <si>
    <t>Proporción Tasa de variación 2013-2015/2012-2014</t>
  </si>
  <si>
    <t>TOTAL DE MATRICULA DE PRIMER AÑO Q1+Q2+Q3</t>
  </si>
  <si>
    <t>Matrícula 2012-2014</t>
  </si>
  <si>
    <t>MAT_2016</t>
  </si>
  <si>
    <t>MAT_2017</t>
  </si>
  <si>
    <t>MAT_2014 RETENIDO EN MAT 2015</t>
  </si>
  <si>
    <t>MAT_2015 RETENIDO EN MAT 2016</t>
  </si>
  <si>
    <t>MAT_2016 RETENIDO EN MAT 2017</t>
  </si>
  <si>
    <t>MAT_2017 RETENIDO EN MAT 2018</t>
  </si>
  <si>
    <t>RETENIDO EN:</t>
  </si>
  <si>
    <t>Matrícula 2015-2017</t>
  </si>
  <si>
    <t>Tasa de Retención 2015-2017</t>
  </si>
  <si>
    <t>Proporción Tasa de Retención 2015-2017</t>
  </si>
  <si>
    <t>Matrícula 2014-2016</t>
  </si>
  <si>
    <t>Tasa de Retención 2012-2014</t>
  </si>
  <si>
    <t>Tasa de Retención 2014-2016</t>
  </si>
  <si>
    <t>Tasa de variación 2015-2017/2014-2016</t>
  </si>
  <si>
    <t>Tasa de variación 2015-2017/2014-2017 sin negativos</t>
  </si>
  <si>
    <t>Proporción Tasa de variación 2015-2017/2014-2017</t>
  </si>
  <si>
    <t>Resultado Retención 1er año 2015-2017</t>
  </si>
  <si>
    <t>Resultado Total Retenciones 3er año y 1er año</t>
  </si>
  <si>
    <t>Recursos a Repartir</t>
  </si>
  <si>
    <t>Total Ajustado 2</t>
  </si>
  <si>
    <t>% PFE 2019</t>
  </si>
  <si>
    <t>Total IES Tope</t>
  </si>
  <si>
    <t>Plan de Fortalecimiento Universidades Estatales 2019</t>
  </si>
  <si>
    <t>Ponderación Indicadores</t>
  </si>
  <si>
    <t>Monto por Brecha M$</t>
  </si>
  <si>
    <t>JC Doctor Mujeres 2017</t>
  </si>
  <si>
    <t>Zonas Extremas (1)</t>
  </si>
  <si>
    <t>Montos Indicadores (2 al 6)</t>
  </si>
  <si>
    <t>PFE 2019
M$</t>
  </si>
  <si>
    <t>I
Publicaciones por Académico con Grado de Doctor</t>
  </si>
  <si>
    <t>II
Porcentaje de Académicos Jornada Completa con Grado de Doctor</t>
  </si>
  <si>
    <t>Sección A. Retención Primer año Quintiles 1, 2 y 3.</t>
  </si>
  <si>
    <t>Sección B. Retención Tercer año.</t>
  </si>
  <si>
    <t>I
Porcentaje retención 1° año q1q2q3 trienio</t>
  </si>
  <si>
    <t>Retenido de cohortes 2015-2017</t>
  </si>
  <si>
    <t>Retenidos de Cohortes 2014-2016</t>
  </si>
  <si>
    <t>II
Variación del Porcentaje retención 1° año q1q2q3 trienio</t>
  </si>
  <si>
    <t>Proporción Tasa de Retención 2015-2017
Ponderado</t>
  </si>
  <si>
    <t>Proporción Tasa de variación 2015-2017/2014-2017
Ponderado</t>
  </si>
  <si>
    <t>Proporción Tasa de Retención 2013-2015
Ponderado</t>
  </si>
  <si>
    <t xml:space="preserve">Proporción Tasa de Retención 2013-2015
</t>
  </si>
  <si>
    <t>III
Porcentaje retención 3° año trienio</t>
  </si>
  <si>
    <t>IV
Variación del Porcentaje retención 3° año trienio</t>
  </si>
  <si>
    <t>Proporción Tasa de variación 2013-2015/2012-2014
Ponderado</t>
  </si>
  <si>
    <t>I
Porcentaje de Académicas con grado de Doctor
2018</t>
  </si>
  <si>
    <t>II
Participación del total  de Académicas con grado de Doctor 2018</t>
  </si>
  <si>
    <t>III
Variación del Porcentaje de Académicas con grado de Doctor. 2018</t>
  </si>
  <si>
    <t>I
Porcentaje de Académicas con grado de Doctor
2018
Ponderado</t>
  </si>
  <si>
    <t>II
Participación del total  de Académicas con grado de Doctor 2018
Ponderado</t>
  </si>
  <si>
    <t>III
Variación del Porcentaje de Académicas con grado de Doctor. 2018
Ponderado</t>
  </si>
  <si>
    <t>a</t>
  </si>
  <si>
    <t>b</t>
  </si>
  <si>
    <t>g</t>
  </si>
  <si>
    <t>(A+B)/2* monto disponible</t>
  </si>
  <si>
    <t>c</t>
  </si>
  <si>
    <t>d=b/c</t>
  </si>
  <si>
    <t>d*0,5</t>
  </si>
  <si>
    <t>a (academicas)</t>
  </si>
  <si>
    <t>2da Parte</t>
  </si>
  <si>
    <t>1ra Parte</t>
  </si>
  <si>
    <t>1)</t>
  </si>
  <si>
    <t>2)</t>
  </si>
  <si>
    <t>3)</t>
  </si>
  <si>
    <t>4)</t>
  </si>
  <si>
    <t>5)</t>
  </si>
  <si>
    <t>6)</t>
  </si>
  <si>
    <t>suma 1) al 6)</t>
  </si>
  <si>
    <t>límite M$1.230</t>
  </si>
  <si>
    <t>b.</t>
  </si>
  <si>
    <t>a.</t>
  </si>
  <si>
    <t>c.</t>
  </si>
  <si>
    <t>d.</t>
  </si>
  <si>
    <t>e.</t>
  </si>
  <si>
    <t>f.</t>
  </si>
  <si>
    <t>g.</t>
  </si>
  <si>
    <t>e=f/g</t>
  </si>
  <si>
    <t>c=a/b</t>
  </si>
  <si>
    <t>h.</t>
  </si>
  <si>
    <t>i.</t>
  </si>
  <si>
    <t>III
Participación del total de Programas de Doctorado Acreditado</t>
  </si>
  <si>
    <t>j.</t>
  </si>
  <si>
    <t>k.</t>
  </si>
  <si>
    <t>l.</t>
  </si>
  <si>
    <t>e/f</t>
  </si>
  <si>
    <t>g=e/f *0,3</t>
  </si>
  <si>
    <t>h</t>
  </si>
  <si>
    <t>h (academicas)</t>
  </si>
  <si>
    <t>i= h (academicas)/h</t>
  </si>
  <si>
    <t>j=b. I/i  -1</t>
  </si>
  <si>
    <t>j sin negativos</t>
  </si>
  <si>
    <t>k</t>
  </si>
  <si>
    <t>l=j/k</t>
  </si>
  <si>
    <t>l *0,2</t>
  </si>
  <si>
    <t>d+g+l</t>
  </si>
  <si>
    <t>Unidad de Análsis,DFI</t>
  </si>
  <si>
    <t>Santiago 09, octubre de 2019</t>
  </si>
  <si>
    <t>Pér cápita</t>
  </si>
  <si>
    <t>b (suma a)</t>
  </si>
  <si>
    <t>suma c</t>
  </si>
  <si>
    <t xml:space="preserve"> d/e </t>
  </si>
  <si>
    <t>f=d/e *0,7</t>
  </si>
  <si>
    <t>i</t>
  </si>
  <si>
    <t>suma i</t>
  </si>
  <si>
    <t>j= i/h</t>
  </si>
  <si>
    <t>k, sin negativos</t>
  </si>
  <si>
    <t>d= (suma c)/b</t>
  </si>
  <si>
    <t>e=suma d</t>
  </si>
  <si>
    <t>l=suma k</t>
  </si>
  <si>
    <t>k/l</t>
  </si>
  <si>
    <t>m=k/l*0,3</t>
  </si>
  <si>
    <t>f+m</t>
  </si>
  <si>
    <t>k=d/j-1</t>
  </si>
  <si>
    <t>n</t>
  </si>
  <si>
    <t>o =suma n</t>
  </si>
  <si>
    <t>p</t>
  </si>
  <si>
    <t>suma p</t>
  </si>
  <si>
    <t>q=p/o</t>
  </si>
  <si>
    <t>r=suma q</t>
  </si>
  <si>
    <t>q/r</t>
  </si>
  <si>
    <t>s= q/r *0,7</t>
  </si>
  <si>
    <t>t</t>
  </si>
  <si>
    <t>u= suma t</t>
  </si>
  <si>
    <t>v</t>
  </si>
  <si>
    <t>w=v/u</t>
  </si>
  <si>
    <t>x=q/w-1</t>
  </si>
  <si>
    <t>x sin negativos</t>
  </si>
  <si>
    <t>y = suma X</t>
  </si>
  <si>
    <t>z=x/y*0,3</t>
  </si>
  <si>
    <t>x/y</t>
  </si>
  <si>
    <t>s+z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</si>
</sst>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.00_ ;_ * \-#,##0.00_ ;_ * &quot;-&quot;_ ;_ @_ "/>
    <numFmt numFmtId="167" formatCode="0.000"/>
    <numFmt numFmtId="168" formatCode="_ * #,##0.0_ ;_ * \-#,##0.0_ ;_ * &quot;-&quot;_ ;_ @_ "/>
    <numFmt numFmtId="169" formatCode="_ * #,##0.0_ ;_ * \-#,##0.0_ ;_ * &quot;-&quot;??_ ;_ @_ "/>
    <numFmt numFmtId="170" formatCode="_ * #,##0.0_ ;_ * \-#,##0.0_ ;_ * &quot;-&quot;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B0F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73B248"/>
        <bgColor theme="4" tint="0.79998168889431442"/>
      </patternFill>
    </fill>
    <fill>
      <patternFill patternType="solid">
        <fgColor rgb="FF73B24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dashDot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thin">
        <color auto="1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18">
    <xf numFmtId="0" fontId="0" fillId="0" borderId="0" xfId="0"/>
    <xf numFmtId="0" fontId="2" fillId="0" borderId="1" xfId="3" applyFont="1" applyBorder="1" applyAlignment="1">
      <alignment horizontal="center" vertical="center" wrapText="1"/>
    </xf>
    <xf numFmtId="0" fontId="3" fillId="0" borderId="2" xfId="3" applyFont="1" applyBorder="1"/>
    <xf numFmtId="0" fontId="3" fillId="0" borderId="0" xfId="0" applyFont="1"/>
    <xf numFmtId="164" fontId="3" fillId="0" borderId="0" xfId="1" applyFont="1"/>
    <xf numFmtId="0" fontId="2" fillId="0" borderId="2" xfId="3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3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3" fillId="0" borderId="2" xfId="1" applyFont="1" applyBorder="1"/>
    <xf numFmtId="0" fontId="4" fillId="0" borderId="0" xfId="0" applyFont="1"/>
    <xf numFmtId="10" fontId="3" fillId="0" borderId="2" xfId="2" applyNumberFormat="1" applyFont="1" applyBorder="1"/>
    <xf numFmtId="9" fontId="3" fillId="0" borderId="2" xfId="2" applyFont="1" applyBorder="1"/>
    <xf numFmtId="0" fontId="3" fillId="0" borderId="4" xfId="3" applyFont="1" applyBorder="1"/>
    <xf numFmtId="167" fontId="3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2" fillId="3" borderId="2" xfId="3" applyFont="1" applyFill="1" applyBorder="1" applyAlignment="1">
      <alignment horizontal="center" vertical="center" wrapText="1"/>
    </xf>
    <xf numFmtId="10" fontId="3" fillId="3" borderId="2" xfId="2" applyNumberFormat="1" applyFont="1" applyFill="1" applyBorder="1"/>
    <xf numFmtId="10" fontId="3" fillId="3" borderId="2" xfId="0" applyNumberFormat="1" applyFont="1" applyFill="1" applyBorder="1"/>
    <xf numFmtId="0" fontId="2" fillId="4" borderId="2" xfId="3" applyFont="1" applyFill="1" applyBorder="1" applyAlignment="1">
      <alignment horizontal="center" vertical="center" wrapText="1"/>
    </xf>
    <xf numFmtId="10" fontId="3" fillId="4" borderId="2" xfId="0" applyNumberFormat="1" applyFont="1" applyFill="1" applyBorder="1"/>
    <xf numFmtId="166" fontId="3" fillId="0" borderId="2" xfId="0" applyNumberFormat="1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6" fillId="5" borderId="2" xfId="4" applyNumberFormat="1" applyFont="1" applyFill="1" applyBorder="1" applyAlignment="1">
      <alignment horizontal="center" vertical="center" wrapText="1"/>
    </xf>
    <xf numFmtId="164" fontId="4" fillId="0" borderId="2" xfId="1" applyFont="1" applyBorder="1"/>
    <xf numFmtId="10" fontId="4" fillId="0" borderId="2" xfId="2" applyNumberFormat="1" applyFont="1" applyBorder="1"/>
    <xf numFmtId="164" fontId="0" fillId="0" borderId="2" xfId="0" applyNumberFormat="1" applyBorder="1"/>
    <xf numFmtId="10" fontId="0" fillId="0" borderId="2" xfId="2" applyNumberFormat="1" applyFont="1" applyBorder="1"/>
    <xf numFmtId="10" fontId="4" fillId="0" borderId="4" xfId="2" applyNumberFormat="1" applyFont="1" applyBorder="1"/>
    <xf numFmtId="0" fontId="6" fillId="0" borderId="2" xfId="4" applyNumberFormat="1" applyFont="1" applyFill="1" applyBorder="1" applyAlignment="1">
      <alignment horizontal="center" vertical="center" wrapText="1"/>
    </xf>
    <xf numFmtId="10" fontId="3" fillId="0" borderId="2" xfId="2" applyNumberFormat="1" applyFont="1" applyFill="1" applyBorder="1"/>
    <xf numFmtId="10" fontId="4" fillId="0" borderId="2" xfId="2" applyNumberFormat="1" applyFont="1" applyFill="1" applyBorder="1"/>
    <xf numFmtId="10" fontId="5" fillId="0" borderId="2" xfId="2" applyNumberFormat="1" applyFont="1" applyBorder="1"/>
    <xf numFmtId="10" fontId="3" fillId="8" borderId="2" xfId="2" applyNumberFormat="1" applyFont="1" applyFill="1" applyBorder="1"/>
    <xf numFmtId="10" fontId="5" fillId="8" borderId="2" xfId="2" applyNumberFormat="1" applyFont="1" applyFill="1" applyBorder="1"/>
    <xf numFmtId="10" fontId="0" fillId="0" borderId="2" xfId="0" applyNumberFormat="1" applyBorder="1"/>
    <xf numFmtId="164" fontId="5" fillId="0" borderId="2" xfId="1" applyFont="1" applyBorder="1"/>
    <xf numFmtId="164" fontId="5" fillId="0" borderId="2" xfId="0" applyNumberFormat="1" applyFont="1" applyBorder="1"/>
    <xf numFmtId="10" fontId="5" fillId="11" borderId="2" xfId="2" applyNumberFormat="1" applyFont="1" applyFill="1" applyBorder="1"/>
    <xf numFmtId="164" fontId="4" fillId="0" borderId="2" xfId="0" applyNumberFormat="1" applyFont="1" applyBorder="1"/>
    <xf numFmtId="0" fontId="3" fillId="0" borderId="2" xfId="0" applyFont="1" applyBorder="1" applyAlignment="1"/>
    <xf numFmtId="0" fontId="4" fillId="2" borderId="2" xfId="0" applyFont="1" applyFill="1" applyBorder="1" applyAlignment="1"/>
    <xf numFmtId="164" fontId="4" fillId="2" borderId="2" xfId="1" applyFont="1" applyFill="1" applyBorder="1"/>
    <xf numFmtId="0" fontId="3" fillId="0" borderId="2" xfId="0" applyFont="1" applyFill="1" applyBorder="1" applyAlignment="1"/>
    <xf numFmtId="164" fontId="3" fillId="0" borderId="2" xfId="1" applyFont="1" applyFill="1" applyBorder="1"/>
    <xf numFmtId="0" fontId="5" fillId="0" borderId="0" xfId="0" applyFont="1"/>
    <xf numFmtId="0" fontId="2" fillId="2" borderId="2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164" fontId="3" fillId="12" borderId="2" xfId="1" applyFont="1" applyFill="1" applyBorder="1"/>
    <xf numFmtId="0" fontId="4" fillId="12" borderId="2" xfId="0" applyFont="1" applyFill="1" applyBorder="1" applyAlignment="1">
      <alignment horizontal="center" vertical="center" wrapText="1"/>
    </xf>
    <xf numFmtId="9" fontId="3" fillId="12" borderId="2" xfId="2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168" fontId="3" fillId="0" borderId="2" xfId="1" applyNumberFormat="1" applyFont="1" applyBorder="1" applyAlignment="1">
      <alignment horizontal="center" vertical="center"/>
    </xf>
    <xf numFmtId="168" fontId="3" fillId="0" borderId="2" xfId="0" applyNumberFormat="1" applyFont="1" applyBorder="1"/>
    <xf numFmtId="168" fontId="3" fillId="0" borderId="2" xfId="1" applyNumberFormat="1" applyFont="1" applyBorder="1"/>
    <xf numFmtId="166" fontId="4" fillId="0" borderId="2" xfId="1" applyNumberFormat="1" applyFont="1" applyBorder="1"/>
    <xf numFmtId="168" fontId="4" fillId="10" borderId="2" xfId="0" applyNumberFormat="1" applyFont="1" applyFill="1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2" xfId="4" applyFont="1" applyFill="1" applyBorder="1" applyAlignment="1">
      <alignment horizontal="center" vertical="center"/>
    </xf>
    <xf numFmtId="0" fontId="6" fillId="13" borderId="1" xfId="4" applyNumberFormat="1" applyFont="1" applyFill="1" applyBorder="1" applyAlignment="1">
      <alignment horizontal="center" vertical="center" wrapText="1"/>
    </xf>
    <xf numFmtId="10" fontId="0" fillId="3" borderId="2" xfId="0" applyNumberFormat="1" applyFill="1" applyBorder="1"/>
    <xf numFmtId="10" fontId="5" fillId="3" borderId="2" xfId="2" applyNumberFormat="1" applyFont="1" applyFill="1" applyBorder="1"/>
    <xf numFmtId="0" fontId="6" fillId="13" borderId="2" xfId="4" applyNumberFormat="1" applyFont="1" applyFill="1" applyBorder="1" applyAlignment="1">
      <alignment horizontal="center" vertical="center" wrapText="1"/>
    </xf>
    <xf numFmtId="0" fontId="6" fillId="14" borderId="1" xfId="4" applyNumberFormat="1" applyFont="1" applyFill="1" applyBorder="1" applyAlignment="1">
      <alignment horizontal="center" vertical="center" wrapText="1"/>
    </xf>
    <xf numFmtId="0" fontId="6" fillId="14" borderId="2" xfId="4" applyNumberFormat="1" applyFont="1" applyFill="1" applyBorder="1" applyAlignment="1">
      <alignment horizontal="center" vertical="center" wrapText="1"/>
    </xf>
    <xf numFmtId="10" fontId="0" fillId="16" borderId="2" xfId="2" applyNumberFormat="1" applyFont="1" applyFill="1" applyBorder="1"/>
    <xf numFmtId="10" fontId="5" fillId="16" borderId="2" xfId="2" applyNumberFormat="1" applyFont="1" applyFill="1" applyBorder="1"/>
    <xf numFmtId="0" fontId="7" fillId="3" borderId="5" xfId="0" applyFont="1" applyFill="1" applyBorder="1" applyAlignment="1">
      <alignment horizontal="center" vertical="center"/>
    </xf>
    <xf numFmtId="10" fontId="0" fillId="10" borderId="2" xfId="0" applyNumberFormat="1" applyFill="1" applyBorder="1"/>
    <xf numFmtId="10" fontId="5" fillId="10" borderId="2" xfId="2" applyNumberFormat="1" applyFont="1" applyFill="1" applyBorder="1"/>
    <xf numFmtId="0" fontId="7" fillId="17" borderId="5" xfId="0" applyFont="1" applyFill="1" applyBorder="1" applyAlignment="1">
      <alignment horizontal="center" vertical="center"/>
    </xf>
    <xf numFmtId="0" fontId="6" fillId="18" borderId="2" xfId="4" applyNumberFormat="1" applyFont="1" applyFill="1" applyBorder="1" applyAlignment="1">
      <alignment horizontal="center" vertical="center" wrapText="1"/>
    </xf>
    <xf numFmtId="10" fontId="3" fillId="9" borderId="2" xfId="0" applyNumberFormat="1" applyFont="1" applyFill="1" applyBorder="1"/>
    <xf numFmtId="10" fontId="4" fillId="9" borderId="2" xfId="2" applyNumberFormat="1" applyFont="1" applyFill="1" applyBorder="1"/>
    <xf numFmtId="10" fontId="3" fillId="17" borderId="2" xfId="0" applyNumberFormat="1" applyFont="1" applyFill="1" applyBorder="1"/>
    <xf numFmtId="10" fontId="6" fillId="5" borderId="2" xfId="4" applyNumberFormat="1" applyFont="1" applyFill="1" applyBorder="1" applyAlignment="1">
      <alignment horizontal="center" vertical="center" wrapText="1"/>
    </xf>
    <xf numFmtId="10" fontId="3" fillId="9" borderId="2" xfId="2" applyNumberFormat="1" applyFont="1" applyFill="1" applyBorder="1"/>
    <xf numFmtId="10" fontId="4" fillId="9" borderId="4" xfId="2" applyNumberFormat="1" applyFont="1" applyFill="1" applyBorder="1"/>
    <xf numFmtId="10" fontId="6" fillId="18" borderId="2" xfId="4" applyNumberFormat="1" applyFont="1" applyFill="1" applyBorder="1" applyAlignment="1">
      <alignment horizontal="center" vertical="center" wrapText="1"/>
    </xf>
    <xf numFmtId="10" fontId="3" fillId="17" borderId="2" xfId="2" applyNumberFormat="1" applyFont="1" applyFill="1" applyBorder="1"/>
    <xf numFmtId="10" fontId="4" fillId="17" borderId="4" xfId="2" applyNumberFormat="1" applyFont="1" applyFill="1" applyBorder="1"/>
    <xf numFmtId="10" fontId="5" fillId="11" borderId="2" xfId="0" applyNumberFormat="1" applyFont="1" applyFill="1" applyBorder="1" applyAlignment="1">
      <alignment horizontal="center"/>
    </xf>
    <xf numFmtId="0" fontId="2" fillId="6" borderId="2" xfId="3" applyFont="1" applyFill="1" applyBorder="1" applyAlignment="1">
      <alignment horizontal="center" vertical="center" wrapText="1"/>
    </xf>
    <xf numFmtId="10" fontId="3" fillId="6" borderId="2" xfId="2" applyNumberFormat="1" applyFont="1" applyFill="1" applyBorder="1"/>
    <xf numFmtId="10" fontId="3" fillId="6" borderId="2" xfId="0" applyNumberFormat="1" applyFont="1" applyFill="1" applyBorder="1"/>
    <xf numFmtId="10" fontId="3" fillId="4" borderId="2" xfId="2" applyNumberFormat="1" applyFont="1" applyFill="1" applyBorder="1"/>
    <xf numFmtId="10" fontId="4" fillId="4" borderId="2" xfId="2" applyNumberFormat="1" applyFont="1" applyFill="1" applyBorder="1"/>
    <xf numFmtId="0" fontId="5" fillId="4" borderId="2" xfId="0" applyFont="1" applyFill="1" applyBorder="1" applyAlignment="1">
      <alignment horizontal="center"/>
    </xf>
    <xf numFmtId="10" fontId="4" fillId="4" borderId="2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6" fillId="0" borderId="4" xfId="4" applyFont="1" applyFill="1" applyBorder="1" applyAlignment="1">
      <alignment horizontal="center" vertical="center"/>
    </xf>
    <xf numFmtId="164" fontId="0" fillId="0" borderId="4" xfId="1" applyFont="1" applyBorder="1"/>
    <xf numFmtId="164" fontId="5" fillId="0" borderId="4" xfId="1" applyFont="1" applyBorder="1"/>
    <xf numFmtId="164" fontId="5" fillId="0" borderId="8" xfId="1" applyFont="1" applyBorder="1"/>
    <xf numFmtId="0" fontId="6" fillId="0" borderId="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164" fontId="5" fillId="0" borderId="9" xfId="1" applyFont="1" applyBorder="1"/>
    <xf numFmtId="164" fontId="5" fillId="0" borderId="10" xfId="1" applyFont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0" xfId="4" applyNumberFormat="1" applyFont="1" applyFill="1" applyBorder="1" applyAlignment="1">
      <alignment horizontal="center" vertical="center" wrapText="1"/>
    </xf>
    <xf numFmtId="164" fontId="0" fillId="0" borderId="16" xfId="1" applyFont="1" applyBorder="1"/>
    <xf numFmtId="164" fontId="5" fillId="0" borderId="16" xfId="1" applyFont="1" applyBorder="1"/>
    <xf numFmtId="0" fontId="6" fillId="14" borderId="8" xfId="4" applyNumberFormat="1" applyFont="1" applyFill="1" applyBorder="1" applyAlignment="1">
      <alignment horizontal="center" vertical="center" wrapText="1"/>
    </xf>
    <xf numFmtId="0" fontId="6" fillId="0" borderId="17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6" fillId="0" borderId="10" xfId="4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4" fontId="0" fillId="6" borderId="9" xfId="1" applyFont="1" applyFill="1" applyBorder="1"/>
    <xf numFmtId="164" fontId="0" fillId="6" borderId="2" xfId="1" applyFont="1" applyFill="1" applyBorder="1"/>
    <xf numFmtId="164" fontId="0" fillId="6" borderId="10" xfId="1" applyFont="1" applyFill="1" applyBorder="1"/>
    <xf numFmtId="164" fontId="0" fillId="6" borderId="2" xfId="0" applyNumberFormat="1" applyFill="1" applyBorder="1"/>
    <xf numFmtId="164" fontId="0" fillId="2" borderId="9" xfId="1" applyFont="1" applyFill="1" applyBorder="1"/>
    <xf numFmtId="164" fontId="0" fillId="2" borderId="2" xfId="1" applyFont="1" applyFill="1" applyBorder="1"/>
    <xf numFmtId="164" fontId="0" fillId="2" borderId="10" xfId="1" applyFont="1" applyFill="1" applyBorder="1"/>
    <xf numFmtId="164" fontId="0" fillId="2" borderId="8" xfId="0" applyNumberFormat="1" applyFill="1" applyBorder="1"/>
    <xf numFmtId="0" fontId="0" fillId="0" borderId="0" xfId="0" applyFill="1" applyBorder="1" applyAlignment="1">
      <alignment wrapText="1"/>
    </xf>
    <xf numFmtId="0" fontId="9" fillId="0" borderId="0" xfId="0" applyFont="1"/>
    <xf numFmtId="164" fontId="3" fillId="0" borderId="4" xfId="1" applyFont="1" applyBorder="1"/>
    <xf numFmtId="164" fontId="4" fillId="0" borderId="4" xfId="1" applyFont="1" applyBorder="1"/>
    <xf numFmtId="164" fontId="4" fillId="0" borderId="8" xfId="1" applyFont="1" applyBorder="1"/>
    <xf numFmtId="0" fontId="6" fillId="0" borderId="18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164" fontId="4" fillId="0" borderId="18" xfId="1" applyFont="1" applyBorder="1"/>
    <xf numFmtId="164" fontId="4" fillId="0" borderId="19" xfId="1" applyFont="1" applyBorder="1"/>
    <xf numFmtId="0" fontId="0" fillId="0" borderId="20" xfId="0" applyBorder="1"/>
    <xf numFmtId="0" fontId="0" fillId="0" borderId="21" xfId="0" applyBorder="1"/>
    <xf numFmtId="0" fontId="6" fillId="0" borderId="16" xfId="4" applyNumberFormat="1" applyFont="1" applyFill="1" applyBorder="1" applyAlignment="1">
      <alignment horizontal="center" vertical="center" wrapText="1"/>
    </xf>
    <xf numFmtId="164" fontId="3" fillId="0" borderId="16" xfId="1" applyFont="1" applyBorder="1"/>
    <xf numFmtId="164" fontId="4" fillId="0" borderId="16" xfId="1" applyFont="1" applyBorder="1"/>
    <xf numFmtId="0" fontId="6" fillId="5" borderId="8" xfId="4" applyNumberFormat="1" applyFont="1" applyFill="1" applyBorder="1" applyAlignment="1">
      <alignment horizontal="center" vertical="center" wrapText="1"/>
    </xf>
    <xf numFmtId="0" fontId="6" fillId="0" borderId="9" xfId="4" applyNumberFormat="1" applyFont="1" applyFill="1" applyBorder="1" applyAlignment="1">
      <alignment horizontal="center" vertical="center" wrapText="1"/>
    </xf>
    <xf numFmtId="164" fontId="4" fillId="0" borderId="9" xfId="1" applyFont="1" applyBorder="1"/>
    <xf numFmtId="164" fontId="4" fillId="0" borderId="10" xfId="1" applyFont="1" applyBorder="1"/>
    <xf numFmtId="164" fontId="3" fillId="19" borderId="18" xfId="1" applyFont="1" applyFill="1" applyBorder="1"/>
    <xf numFmtId="164" fontId="3" fillId="19" borderId="2" xfId="1" applyFont="1" applyFill="1" applyBorder="1"/>
    <xf numFmtId="164" fontId="3" fillId="19" borderId="19" xfId="1" applyFont="1" applyFill="1" applyBorder="1"/>
    <xf numFmtId="164" fontId="3" fillId="19" borderId="8" xfId="1" applyFont="1" applyFill="1" applyBorder="1"/>
    <xf numFmtId="164" fontId="3" fillId="4" borderId="9" xfId="1" applyFont="1" applyFill="1" applyBorder="1"/>
    <xf numFmtId="164" fontId="3" fillId="4" borderId="2" xfId="1" applyFont="1" applyFill="1" applyBorder="1"/>
    <xf numFmtId="164" fontId="3" fillId="4" borderId="10" xfId="1" applyFont="1" applyFill="1" applyBorder="1"/>
    <xf numFmtId="0" fontId="0" fillId="0" borderId="4" xfId="0" applyBorder="1"/>
    <xf numFmtId="0" fontId="2" fillId="0" borderId="8" xfId="3" applyFont="1" applyFill="1" applyBorder="1" applyAlignment="1">
      <alignment horizontal="center" vertical="center" wrapText="1"/>
    </xf>
    <xf numFmtId="10" fontId="3" fillId="0" borderId="8" xfId="2" applyNumberFormat="1" applyFont="1" applyBorder="1"/>
    <xf numFmtId="0" fontId="2" fillId="0" borderId="9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3" xfId="0" applyFont="1" applyBorder="1"/>
    <xf numFmtId="0" fontId="11" fillId="0" borderId="0" xfId="0" applyFont="1"/>
    <xf numFmtId="0" fontId="10" fillId="0" borderId="0" xfId="0" applyFont="1"/>
    <xf numFmtId="0" fontId="0" fillId="4" borderId="4" xfId="0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0" fillId="4" borderId="8" xfId="0" applyFill="1" applyBorder="1" applyAlignment="1">
      <alignment wrapText="1"/>
    </xf>
    <xf numFmtId="165" fontId="0" fillId="0" borderId="0" xfId="0" applyNumberFormat="1"/>
    <xf numFmtId="168" fontId="0" fillId="0" borderId="0" xfId="0" applyNumberFormat="1"/>
    <xf numFmtId="0" fontId="3" fillId="0" borderId="0" xfId="0" applyFont="1" applyFill="1" applyBorder="1" applyAlignment="1"/>
    <xf numFmtId="164" fontId="3" fillId="0" borderId="0" xfId="1" applyFont="1" applyFill="1" applyBorder="1"/>
    <xf numFmtId="168" fontId="0" fillId="0" borderId="2" xfId="0" applyNumberFormat="1" applyBorder="1"/>
    <xf numFmtId="0" fontId="12" fillId="0" borderId="0" xfId="0" applyFont="1"/>
    <xf numFmtId="0" fontId="0" fillId="0" borderId="2" xfId="0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2" fillId="0" borderId="0" xfId="3" applyFont="1" applyFill="1" applyBorder="1" applyAlignment="1">
      <alignment horizontal="center" vertical="center" wrapText="1"/>
    </xf>
    <xf numFmtId="169" fontId="4" fillId="0" borderId="0" xfId="0" applyNumberFormat="1" applyFont="1" applyFill="1" applyBorder="1"/>
    <xf numFmtId="164" fontId="0" fillId="0" borderId="0" xfId="0" applyNumberFormat="1"/>
    <xf numFmtId="170" fontId="0" fillId="0" borderId="0" xfId="0" applyNumberFormat="1"/>
    <xf numFmtId="10" fontId="2" fillId="10" borderId="2" xfId="2" applyNumberFormat="1" applyFont="1" applyFill="1" applyBorder="1"/>
    <xf numFmtId="0" fontId="9" fillId="0" borderId="0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22" xfId="0" applyFont="1" applyBorder="1"/>
    <xf numFmtId="0" fontId="12" fillId="0" borderId="23" xfId="0" applyFont="1" applyBorder="1"/>
    <xf numFmtId="0" fontId="12" fillId="0" borderId="24" xfId="0" applyFont="1" applyBorder="1"/>
    <xf numFmtId="0" fontId="12" fillId="0" borderId="0" xfId="0" applyFont="1" applyFill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0" xfId="0" applyFont="1" applyFill="1" applyBorder="1" applyAlignment="1">
      <alignment wrapText="1"/>
    </xf>
    <xf numFmtId="164" fontId="13" fillId="12" borderId="2" xfId="1" applyFont="1" applyFill="1" applyBorder="1"/>
    <xf numFmtId="168" fontId="13" fillId="0" borderId="2" xfId="1" applyNumberFormat="1" applyFont="1" applyBorder="1" applyAlignment="1">
      <alignment horizontal="center" vertical="center"/>
    </xf>
    <xf numFmtId="168" fontId="13" fillId="0" borderId="2" xfId="1" applyNumberFormat="1" applyFont="1" applyBorder="1"/>
    <xf numFmtId="4" fontId="3" fillId="0" borderId="2" xfId="0" applyNumberFormat="1" applyFont="1" applyBorder="1"/>
    <xf numFmtId="166" fontId="3" fillId="10" borderId="2" xfId="0" applyNumberFormat="1" applyFont="1" applyFill="1" applyBorder="1"/>
    <xf numFmtId="166" fontId="14" fillId="10" borderId="2" xfId="0" applyNumberFormat="1" applyFont="1" applyFill="1" applyBorder="1"/>
    <xf numFmtId="168" fontId="2" fillId="10" borderId="2" xfId="0" applyNumberFormat="1" applyFont="1" applyFill="1" applyBorder="1"/>
    <xf numFmtId="164" fontId="2" fillId="10" borderId="2" xfId="0" applyNumberFormat="1" applyFont="1" applyFill="1" applyBorder="1"/>
    <xf numFmtId="0" fontId="4" fillId="1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5" fillId="11" borderId="2" xfId="4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15" borderId="3" xfId="4" applyNumberFormat="1" applyFont="1" applyFill="1" applyBorder="1" applyAlignment="1">
      <alignment horizontal="center" vertical="center" wrapText="1"/>
    </xf>
    <xf numFmtId="0" fontId="6" fillId="15" borderId="5" xfId="4" applyNumberFormat="1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6" fillId="7" borderId="1" xfId="4" applyNumberFormat="1" applyFont="1" applyFill="1" applyBorder="1" applyAlignment="1">
      <alignment horizontal="center" vertical="center" wrapText="1"/>
    </xf>
    <xf numFmtId="0" fontId="6" fillId="7" borderId="7" xfId="4" applyNumberFormat="1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 wrapText="1"/>
    </xf>
    <xf numFmtId="164" fontId="3" fillId="20" borderId="0" xfId="0" applyNumberFormat="1" applyFont="1" applyFill="1"/>
  </cellXfs>
  <cellStyles count="5">
    <cellStyle name="Millares [0]" xfId="1" builtinId="6"/>
    <cellStyle name="Normal" xfId="0" builtinId="0"/>
    <cellStyle name="Normal 2" xfId="3"/>
    <cellStyle name="Normal 2 2 2" xfId="4"/>
    <cellStyle name="Porcentaje" xfId="2" builtinId="5"/>
  </cellStyles>
  <dxfs count="0"/>
  <tableStyles count="0" defaultTableStyle="TableStyleMedium2" defaultPivotStyle="PivotStyleLight16"/>
  <colors>
    <mruColors>
      <color rgb="FFFFCCFF"/>
      <color rgb="FF73B248"/>
      <color rgb="FF649B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8/ESR/Distribucion_regional_2018_CRUCH_ESTATAL_1405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9/FI/Acad&#233;micos%20Universidades%20JC_2012-2018_1802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9/PFE/Publicaciones_Scopus_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9/PFE/Doctorados_acreditados_1405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Presupuesto%202019/PFE/Indicadores_Banco_Mundial_25_09_2018_rete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Regional"/>
      <sheetName val="Subvencionados U. Estatales"/>
      <sheetName val="KM RM"/>
    </sheetNames>
    <sheetDataSet>
      <sheetData sheetId="0"/>
      <sheetData sheetId="1"/>
      <sheetData sheetId="2">
        <row r="3">
          <cell r="A3" t="str">
            <v>UAP</v>
          </cell>
          <cell r="B3" t="str">
            <v>U. Arturo Prat</v>
          </cell>
          <cell r="C3" t="str">
            <v>Tarapacá</v>
          </cell>
          <cell r="D3" t="str">
            <v>CRUCH-ESTATAL</v>
          </cell>
          <cell r="E3" t="str">
            <v>Iquique</v>
          </cell>
          <cell r="F3">
            <v>1780.99</v>
          </cell>
        </row>
        <row r="4">
          <cell r="A4" t="str">
            <v>ANT</v>
          </cell>
          <cell r="B4" t="str">
            <v>U. de Antofagasta</v>
          </cell>
          <cell r="C4" t="str">
            <v>Antofagasta</v>
          </cell>
          <cell r="D4" t="str">
            <v>CRUCH-ESTATAL</v>
          </cell>
          <cell r="E4" t="str">
            <v>Antofagasta</v>
          </cell>
          <cell r="F4">
            <v>1368.17</v>
          </cell>
        </row>
        <row r="5">
          <cell r="A5" t="str">
            <v>ATA</v>
          </cell>
          <cell r="B5" t="str">
            <v>U. de Atacama</v>
          </cell>
          <cell r="C5" t="str">
            <v>Atacama</v>
          </cell>
          <cell r="D5" t="str">
            <v>CRUCH-ESTATAL</v>
          </cell>
          <cell r="E5" t="str">
            <v>Copiapó</v>
          </cell>
          <cell r="F5">
            <v>803.72</v>
          </cell>
        </row>
        <row r="6">
          <cell r="A6" t="str">
            <v>FRO</v>
          </cell>
          <cell r="B6" t="str">
            <v>U. de la Frontera</v>
          </cell>
          <cell r="C6" t="str">
            <v>Araucanía</v>
          </cell>
          <cell r="D6" t="str">
            <v>CRUCH-ESTATAL</v>
          </cell>
          <cell r="E6" t="str">
            <v>Temuco</v>
          </cell>
          <cell r="F6">
            <v>689.95</v>
          </cell>
        </row>
        <row r="7">
          <cell r="A7" t="str">
            <v>ULS</v>
          </cell>
          <cell r="B7" t="str">
            <v>U. de la Serena</v>
          </cell>
          <cell r="C7" t="str">
            <v>Coquimbo</v>
          </cell>
          <cell r="D7" t="str">
            <v>CRUCH-ESTATAL</v>
          </cell>
          <cell r="E7" t="str">
            <v>La Serena</v>
          </cell>
          <cell r="F7">
            <v>470.33</v>
          </cell>
        </row>
        <row r="8">
          <cell r="A8" t="str">
            <v>ULA</v>
          </cell>
          <cell r="B8" t="str">
            <v>U. de Los Lagos</v>
          </cell>
          <cell r="C8" t="str">
            <v>Los Lagos</v>
          </cell>
          <cell r="D8" t="str">
            <v>CRUCH-ESTATAL</v>
          </cell>
          <cell r="E8" t="str">
            <v>Osorno</v>
          </cell>
          <cell r="F8">
            <v>931.87</v>
          </cell>
        </row>
        <row r="9">
          <cell r="A9" t="str">
            <v>MAG</v>
          </cell>
          <cell r="B9" t="str">
            <v>U. de Magallanes</v>
          </cell>
          <cell r="C9" t="str">
            <v>Magallanes</v>
          </cell>
          <cell r="D9" t="str">
            <v>CRUCH-ESTATAL</v>
          </cell>
          <cell r="E9" t="str">
            <v>Punta Arenas</v>
          </cell>
          <cell r="F9">
            <v>3003.69</v>
          </cell>
        </row>
        <row r="10">
          <cell r="A10" t="str">
            <v>UPA</v>
          </cell>
          <cell r="B10" t="str">
            <v>U. de Playa Ancha</v>
          </cell>
          <cell r="C10" t="str">
            <v>Valparaíso</v>
          </cell>
          <cell r="D10" t="str">
            <v>CRUCH-ESTATAL</v>
          </cell>
          <cell r="E10" t="str">
            <v>Valparaíso</v>
          </cell>
          <cell r="F10">
            <v>115.95</v>
          </cell>
        </row>
        <row r="11">
          <cell r="A11" t="str">
            <v>TAL</v>
          </cell>
          <cell r="B11" t="str">
            <v>U. de Talca</v>
          </cell>
          <cell r="C11" t="str">
            <v>Maule</v>
          </cell>
          <cell r="D11" t="str">
            <v>CRUCH-ESTATAL</v>
          </cell>
          <cell r="E11" t="str">
            <v>Talca</v>
          </cell>
          <cell r="F11">
            <v>256.86</v>
          </cell>
        </row>
        <row r="12">
          <cell r="A12" t="str">
            <v>UTA</v>
          </cell>
          <cell r="B12" t="str">
            <v>U. de Tarapacá</v>
          </cell>
          <cell r="C12" t="str">
            <v>Arica y Parinacota</v>
          </cell>
          <cell r="D12" t="str">
            <v>CRUCH-ESTATAL</v>
          </cell>
          <cell r="E12" t="str">
            <v>Arica</v>
          </cell>
          <cell r="F12">
            <v>2059.04</v>
          </cell>
        </row>
        <row r="13">
          <cell r="A13" t="str">
            <v>UVA</v>
          </cell>
          <cell r="B13" t="str">
            <v>U. de Valparaíso</v>
          </cell>
          <cell r="C13" t="str">
            <v>Valparaíso</v>
          </cell>
          <cell r="D13" t="str">
            <v>CRUCH-ESTATAL</v>
          </cell>
          <cell r="E13" t="str">
            <v>Valparaíso</v>
          </cell>
          <cell r="F13">
            <v>115.95</v>
          </cell>
        </row>
        <row r="14">
          <cell r="A14" t="str">
            <v>UBB</v>
          </cell>
          <cell r="B14" t="str">
            <v>U. del Bio Bio</v>
          </cell>
          <cell r="C14" t="str">
            <v>Bío-Bío</v>
          </cell>
          <cell r="D14" t="str">
            <v>CRUCH-ESTATAL</v>
          </cell>
          <cell r="E14" t="str">
            <v>Concepción</v>
          </cell>
          <cell r="F14">
            <v>499.75</v>
          </cell>
        </row>
        <row r="15">
          <cell r="A15" t="str">
            <v>URO</v>
          </cell>
          <cell r="B15" t="str">
            <v>U. de O'Higgins</v>
          </cell>
          <cell r="C15" t="str">
            <v>O'Higgins</v>
          </cell>
          <cell r="D15" t="str">
            <v>CRUCH-ESTATAL</v>
          </cell>
          <cell r="E15" t="str">
            <v>Rancagua</v>
          </cell>
          <cell r="F15">
            <v>83.73</v>
          </cell>
        </row>
        <row r="16">
          <cell r="A16" t="str">
            <v>URY</v>
          </cell>
          <cell r="B16" t="str">
            <v>U. de Aysén</v>
          </cell>
          <cell r="C16" t="str">
            <v>Aysén</v>
          </cell>
          <cell r="D16" t="str">
            <v>CRUCH-ESTATAL</v>
          </cell>
          <cell r="E16" t="str">
            <v>Coyhaique</v>
          </cell>
          <cell r="F16">
            <v>1708.48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 2012"/>
      <sheetName val="PAC 2013"/>
      <sheetName val="PAC 2014"/>
      <sheetName val="PAC 2015"/>
      <sheetName val="PAC 2016"/>
      <sheetName val="PAC 2017"/>
      <sheetName val="PAC 2018"/>
      <sheetName val="JC 2012-2016"/>
    </sheetNames>
    <sheetDataSet>
      <sheetData sheetId="0"/>
      <sheetData sheetId="1"/>
      <sheetData sheetId="2"/>
      <sheetData sheetId="3"/>
      <sheetData sheetId="4"/>
      <sheetData sheetId="5">
        <row r="35">
          <cell r="D35" t="str">
            <v>UCH</v>
          </cell>
          <cell r="E35">
            <v>316</v>
          </cell>
          <cell r="F35">
            <v>715</v>
          </cell>
          <cell r="G35">
            <v>112</v>
          </cell>
          <cell r="H35">
            <v>116</v>
          </cell>
          <cell r="I35">
            <v>11</v>
          </cell>
          <cell r="J35">
            <v>16</v>
          </cell>
          <cell r="K35">
            <v>104</v>
          </cell>
          <cell r="L35">
            <v>125</v>
          </cell>
          <cell r="M35">
            <v>18</v>
          </cell>
          <cell r="N35">
            <v>26</v>
          </cell>
          <cell r="W35">
            <v>561</v>
          </cell>
          <cell r="X35">
            <v>998</v>
          </cell>
          <cell r="Y35">
            <v>1559</v>
          </cell>
          <cell r="Z35">
            <v>1031</v>
          </cell>
        </row>
        <row r="36">
          <cell r="D36" t="str">
            <v>USA</v>
          </cell>
          <cell r="E36">
            <v>106</v>
          </cell>
          <cell r="F36">
            <v>299</v>
          </cell>
          <cell r="G36">
            <v>33</v>
          </cell>
          <cell r="H36">
            <v>100</v>
          </cell>
          <cell r="K36">
            <v>32</v>
          </cell>
          <cell r="L36">
            <v>62</v>
          </cell>
          <cell r="M36">
            <v>4</v>
          </cell>
          <cell r="N36">
            <v>4</v>
          </cell>
          <cell r="W36">
            <v>175</v>
          </cell>
          <cell r="X36">
            <v>465</v>
          </cell>
          <cell r="Y36">
            <v>640</v>
          </cell>
          <cell r="Z36">
            <v>405</v>
          </cell>
        </row>
        <row r="37">
          <cell r="D37" t="str">
            <v>UVA</v>
          </cell>
          <cell r="E37">
            <v>75</v>
          </cell>
          <cell r="F37">
            <v>141</v>
          </cell>
          <cell r="G37">
            <v>118</v>
          </cell>
          <cell r="H37">
            <v>121</v>
          </cell>
          <cell r="I37">
            <v>2</v>
          </cell>
          <cell r="J37">
            <v>7</v>
          </cell>
          <cell r="K37">
            <v>37</v>
          </cell>
          <cell r="L37">
            <v>64</v>
          </cell>
          <cell r="M37">
            <v>1</v>
          </cell>
          <cell r="N37">
            <v>2</v>
          </cell>
          <cell r="W37">
            <v>233</v>
          </cell>
          <cell r="X37">
            <v>335</v>
          </cell>
          <cell r="Y37">
            <v>568</v>
          </cell>
          <cell r="Z37">
            <v>216</v>
          </cell>
        </row>
        <row r="38">
          <cell r="D38" t="str">
            <v>ANT</v>
          </cell>
          <cell r="E38">
            <v>35</v>
          </cell>
          <cell r="F38">
            <v>100</v>
          </cell>
          <cell r="G38">
            <v>45</v>
          </cell>
          <cell r="H38">
            <v>61</v>
          </cell>
          <cell r="I38">
            <v>2</v>
          </cell>
          <cell r="J38">
            <v>5</v>
          </cell>
          <cell r="K38">
            <v>25</v>
          </cell>
          <cell r="L38">
            <v>41</v>
          </cell>
          <cell r="N38">
            <v>1</v>
          </cell>
          <cell r="W38">
            <v>107</v>
          </cell>
          <cell r="X38">
            <v>208</v>
          </cell>
          <cell r="Y38">
            <v>315</v>
          </cell>
          <cell r="Z38">
            <v>135</v>
          </cell>
        </row>
        <row r="39">
          <cell r="D39" t="str">
            <v>ULS</v>
          </cell>
          <cell r="E39">
            <v>26</v>
          </cell>
          <cell r="F39">
            <v>85</v>
          </cell>
          <cell r="G39">
            <v>22</v>
          </cell>
          <cell r="H39">
            <v>40</v>
          </cell>
          <cell r="K39">
            <v>13</v>
          </cell>
          <cell r="L39">
            <v>42</v>
          </cell>
          <cell r="M39">
            <v>1</v>
          </cell>
          <cell r="N39">
            <v>2</v>
          </cell>
          <cell r="T39">
            <v>1</v>
          </cell>
          <cell r="W39">
            <v>62</v>
          </cell>
          <cell r="X39">
            <v>170</v>
          </cell>
          <cell r="Y39">
            <v>232</v>
          </cell>
          <cell r="Z39">
            <v>111</v>
          </cell>
        </row>
        <row r="40">
          <cell r="D40" t="str">
            <v>UBB</v>
          </cell>
          <cell r="E40">
            <v>51</v>
          </cell>
          <cell r="F40">
            <v>166</v>
          </cell>
          <cell r="G40">
            <v>80</v>
          </cell>
          <cell r="H40">
            <v>105</v>
          </cell>
          <cell r="K40">
            <v>12</v>
          </cell>
          <cell r="L40">
            <v>44</v>
          </cell>
          <cell r="M40">
            <v>1</v>
          </cell>
          <cell r="N40">
            <v>2</v>
          </cell>
          <cell r="W40">
            <v>144</v>
          </cell>
          <cell r="X40">
            <v>317</v>
          </cell>
          <cell r="Y40">
            <v>461</v>
          </cell>
          <cell r="Z40">
            <v>217</v>
          </cell>
        </row>
        <row r="41">
          <cell r="D41" t="str">
            <v>FRO</v>
          </cell>
          <cell r="E41">
            <v>65</v>
          </cell>
          <cell r="F41">
            <v>120</v>
          </cell>
          <cell r="G41">
            <v>38</v>
          </cell>
          <cell r="H41">
            <v>34</v>
          </cell>
          <cell r="J41">
            <v>1</v>
          </cell>
          <cell r="K41">
            <v>24</v>
          </cell>
          <cell r="L41">
            <v>38</v>
          </cell>
          <cell r="W41">
            <v>127</v>
          </cell>
          <cell r="X41">
            <v>193</v>
          </cell>
          <cell r="Y41">
            <v>320</v>
          </cell>
          <cell r="Z41">
            <v>185</v>
          </cell>
        </row>
        <row r="42">
          <cell r="D42" t="str">
            <v>MAG</v>
          </cell>
          <cell r="E42">
            <v>19</v>
          </cell>
          <cell r="F42">
            <v>38</v>
          </cell>
          <cell r="G42">
            <v>32</v>
          </cell>
          <cell r="H42">
            <v>31</v>
          </cell>
          <cell r="K42">
            <v>29</v>
          </cell>
          <cell r="L42">
            <v>36</v>
          </cell>
          <cell r="M42">
            <v>2</v>
          </cell>
          <cell r="N42">
            <v>1</v>
          </cell>
          <cell r="T42">
            <v>1</v>
          </cell>
          <cell r="W42">
            <v>82</v>
          </cell>
          <cell r="X42">
            <v>107</v>
          </cell>
          <cell r="Y42">
            <v>189</v>
          </cell>
          <cell r="Z42">
            <v>57</v>
          </cell>
        </row>
        <row r="43">
          <cell r="D43" t="str">
            <v>TAL</v>
          </cell>
          <cell r="E43">
            <v>34</v>
          </cell>
          <cell r="F43">
            <v>179</v>
          </cell>
          <cell r="G43">
            <v>72</v>
          </cell>
          <cell r="H43">
            <v>67</v>
          </cell>
          <cell r="J43">
            <v>1</v>
          </cell>
          <cell r="K43">
            <v>6</v>
          </cell>
          <cell r="L43">
            <v>5</v>
          </cell>
          <cell r="W43">
            <v>112</v>
          </cell>
          <cell r="X43">
            <v>252</v>
          </cell>
          <cell r="Y43">
            <v>364</v>
          </cell>
          <cell r="Z43">
            <v>213</v>
          </cell>
        </row>
        <row r="44">
          <cell r="D44" t="str">
            <v>ATA</v>
          </cell>
          <cell r="E44">
            <v>13</v>
          </cell>
          <cell r="F44">
            <v>57</v>
          </cell>
          <cell r="G44">
            <v>30</v>
          </cell>
          <cell r="H44">
            <v>38</v>
          </cell>
          <cell r="K44">
            <v>72</v>
          </cell>
          <cell r="L44">
            <v>80</v>
          </cell>
          <cell r="M44">
            <v>9</v>
          </cell>
          <cell r="N44">
            <v>9</v>
          </cell>
          <cell r="O44">
            <v>1</v>
          </cell>
          <cell r="P44">
            <v>2</v>
          </cell>
          <cell r="W44">
            <v>125</v>
          </cell>
          <cell r="X44">
            <v>186</v>
          </cell>
          <cell r="Y44">
            <v>311</v>
          </cell>
          <cell r="Z44">
            <v>70</v>
          </cell>
        </row>
        <row r="45">
          <cell r="D45" t="str">
            <v>UTA</v>
          </cell>
          <cell r="E45">
            <v>29</v>
          </cell>
          <cell r="F45">
            <v>95</v>
          </cell>
          <cell r="G45">
            <v>71</v>
          </cell>
          <cell r="H45">
            <v>82</v>
          </cell>
          <cell r="J45">
            <v>1</v>
          </cell>
          <cell r="K45">
            <v>21</v>
          </cell>
          <cell r="L45">
            <v>20</v>
          </cell>
          <cell r="W45">
            <v>121</v>
          </cell>
          <cell r="X45">
            <v>198</v>
          </cell>
          <cell r="Y45">
            <v>319</v>
          </cell>
          <cell r="Z45">
            <v>124</v>
          </cell>
        </row>
        <row r="46">
          <cell r="D46" t="str">
            <v>UAP</v>
          </cell>
          <cell r="E46">
            <v>25</v>
          </cell>
          <cell r="F46">
            <v>37</v>
          </cell>
          <cell r="G46">
            <v>47</v>
          </cell>
          <cell r="H46">
            <v>77</v>
          </cell>
          <cell r="K46">
            <v>36</v>
          </cell>
          <cell r="L46">
            <v>51</v>
          </cell>
          <cell r="W46">
            <v>108</v>
          </cell>
          <cell r="X46">
            <v>165</v>
          </cell>
          <cell r="Y46">
            <v>273</v>
          </cell>
          <cell r="Z46">
            <v>62</v>
          </cell>
        </row>
        <row r="47">
          <cell r="D47" t="str">
            <v>UMC</v>
          </cell>
          <cell r="E47">
            <v>30</v>
          </cell>
          <cell r="F47">
            <v>30</v>
          </cell>
          <cell r="G47">
            <v>59</v>
          </cell>
          <cell r="H47">
            <v>59</v>
          </cell>
          <cell r="K47">
            <v>19</v>
          </cell>
          <cell r="L47">
            <v>32</v>
          </cell>
          <cell r="M47">
            <v>2</v>
          </cell>
          <cell r="N47">
            <v>9</v>
          </cell>
          <cell r="W47">
            <v>110</v>
          </cell>
          <cell r="X47">
            <v>130</v>
          </cell>
          <cell r="Y47">
            <v>240</v>
          </cell>
          <cell r="Z47">
            <v>60</v>
          </cell>
        </row>
        <row r="48">
          <cell r="D48" t="str">
            <v>UPA</v>
          </cell>
          <cell r="E48">
            <v>44</v>
          </cell>
          <cell r="F48">
            <v>66</v>
          </cell>
          <cell r="G48">
            <v>68</v>
          </cell>
          <cell r="H48">
            <v>78</v>
          </cell>
          <cell r="K48">
            <v>22</v>
          </cell>
          <cell r="L48">
            <v>33</v>
          </cell>
          <cell r="M48">
            <v>2</v>
          </cell>
          <cell r="N48">
            <v>1</v>
          </cell>
          <cell r="W48">
            <v>136</v>
          </cell>
          <cell r="X48">
            <v>178</v>
          </cell>
          <cell r="Y48">
            <v>314</v>
          </cell>
          <cell r="Z48">
            <v>110</v>
          </cell>
        </row>
        <row r="49">
          <cell r="D49" t="str">
            <v>ULA</v>
          </cell>
          <cell r="E49">
            <v>23</v>
          </cell>
          <cell r="F49">
            <v>66</v>
          </cell>
          <cell r="G49">
            <v>58</v>
          </cell>
          <cell r="H49">
            <v>74</v>
          </cell>
          <cell r="K49">
            <v>34</v>
          </cell>
          <cell r="L49">
            <v>35</v>
          </cell>
          <cell r="M49">
            <v>3</v>
          </cell>
          <cell r="P49">
            <v>1</v>
          </cell>
          <cell r="W49">
            <v>118</v>
          </cell>
          <cell r="X49">
            <v>176</v>
          </cell>
          <cell r="Y49">
            <v>294</v>
          </cell>
          <cell r="Z49">
            <v>89</v>
          </cell>
        </row>
        <row r="50">
          <cell r="D50" t="str">
            <v>UTM</v>
          </cell>
          <cell r="E50">
            <v>16</v>
          </cell>
          <cell r="F50">
            <v>31</v>
          </cell>
          <cell r="G50">
            <v>28</v>
          </cell>
          <cell r="H50">
            <v>66</v>
          </cell>
          <cell r="K50">
            <v>19</v>
          </cell>
          <cell r="L50">
            <v>34</v>
          </cell>
          <cell r="N50">
            <v>1</v>
          </cell>
          <cell r="W50">
            <v>63</v>
          </cell>
          <cell r="X50">
            <v>132</v>
          </cell>
          <cell r="Y50">
            <v>195</v>
          </cell>
          <cell r="Z50">
            <v>47</v>
          </cell>
        </row>
        <row r="51">
          <cell r="D51" t="str">
            <v>PUC</v>
          </cell>
          <cell r="E51">
            <v>286</v>
          </cell>
          <cell r="F51">
            <v>617</v>
          </cell>
          <cell r="G51">
            <v>125</v>
          </cell>
          <cell r="H51">
            <v>122</v>
          </cell>
          <cell r="I51">
            <v>98</v>
          </cell>
          <cell r="J51">
            <v>221</v>
          </cell>
          <cell r="K51">
            <v>34</v>
          </cell>
          <cell r="L51">
            <v>28</v>
          </cell>
          <cell r="M51">
            <v>17</v>
          </cell>
          <cell r="N51">
            <v>13</v>
          </cell>
          <cell r="W51">
            <v>560</v>
          </cell>
          <cell r="X51">
            <v>1001</v>
          </cell>
          <cell r="Y51">
            <v>1561</v>
          </cell>
          <cell r="Z51">
            <v>903</v>
          </cell>
        </row>
        <row r="52">
          <cell r="D52" t="str">
            <v>UCO</v>
          </cell>
          <cell r="E52">
            <v>221</v>
          </cell>
          <cell r="F52">
            <v>472</v>
          </cell>
          <cell r="G52">
            <v>155</v>
          </cell>
          <cell r="H52">
            <v>152</v>
          </cell>
          <cell r="J52">
            <v>2</v>
          </cell>
          <cell r="K52">
            <v>40</v>
          </cell>
          <cell r="L52">
            <v>76</v>
          </cell>
          <cell r="M52">
            <v>5</v>
          </cell>
          <cell r="N52">
            <v>4</v>
          </cell>
          <cell r="W52">
            <v>421</v>
          </cell>
          <cell r="X52">
            <v>706</v>
          </cell>
          <cell r="Y52">
            <v>1127</v>
          </cell>
          <cell r="Z52">
            <v>693</v>
          </cell>
        </row>
        <row r="53">
          <cell r="D53" t="str">
            <v>FSM</v>
          </cell>
          <cell r="E53">
            <v>37</v>
          </cell>
          <cell r="F53">
            <v>193</v>
          </cell>
          <cell r="G53">
            <v>18</v>
          </cell>
          <cell r="H53">
            <v>83</v>
          </cell>
          <cell r="K53">
            <v>15</v>
          </cell>
          <cell r="L53">
            <v>87</v>
          </cell>
          <cell r="N53">
            <v>9</v>
          </cell>
          <cell r="O53">
            <v>1</v>
          </cell>
          <cell r="P53">
            <v>1</v>
          </cell>
          <cell r="W53">
            <v>71</v>
          </cell>
          <cell r="X53">
            <v>373</v>
          </cell>
          <cell r="Y53">
            <v>444</v>
          </cell>
          <cell r="Z53">
            <v>230</v>
          </cell>
        </row>
        <row r="54">
          <cell r="D54" t="str">
            <v>UCV</v>
          </cell>
          <cell r="E54">
            <v>109</v>
          </cell>
          <cell r="F54">
            <v>253</v>
          </cell>
          <cell r="G54">
            <v>45</v>
          </cell>
          <cell r="H54">
            <v>46</v>
          </cell>
          <cell r="K54">
            <v>16</v>
          </cell>
          <cell r="L54">
            <v>31</v>
          </cell>
          <cell r="M54">
            <v>1</v>
          </cell>
          <cell r="N54">
            <v>3</v>
          </cell>
          <cell r="W54">
            <v>171</v>
          </cell>
          <cell r="X54">
            <v>333</v>
          </cell>
          <cell r="Y54">
            <v>504</v>
          </cell>
          <cell r="Z54">
            <v>362</v>
          </cell>
        </row>
        <row r="55">
          <cell r="D55" t="str">
            <v>AUS</v>
          </cell>
          <cell r="E55">
            <v>102</v>
          </cell>
          <cell r="F55">
            <v>254</v>
          </cell>
          <cell r="G55">
            <v>93</v>
          </cell>
          <cell r="H55">
            <v>114</v>
          </cell>
          <cell r="I55">
            <v>3</v>
          </cell>
          <cell r="J55">
            <v>8</v>
          </cell>
          <cell r="K55">
            <v>77</v>
          </cell>
          <cell r="L55">
            <v>64</v>
          </cell>
          <cell r="M55">
            <v>1</v>
          </cell>
          <cell r="N55">
            <v>5</v>
          </cell>
          <cell r="W55">
            <v>276</v>
          </cell>
          <cell r="X55">
            <v>445</v>
          </cell>
          <cell r="Y55">
            <v>721</v>
          </cell>
          <cell r="Z55">
            <v>356</v>
          </cell>
        </row>
        <row r="56">
          <cell r="D56" t="str">
            <v>UCN</v>
          </cell>
          <cell r="E56">
            <v>52</v>
          </cell>
          <cell r="F56">
            <v>154</v>
          </cell>
          <cell r="G56">
            <v>51</v>
          </cell>
          <cell r="H56">
            <v>77</v>
          </cell>
          <cell r="J56">
            <v>3</v>
          </cell>
          <cell r="K56">
            <v>30</v>
          </cell>
          <cell r="L56">
            <v>48</v>
          </cell>
          <cell r="M56">
            <v>8</v>
          </cell>
          <cell r="N56">
            <v>11</v>
          </cell>
          <cell r="W56">
            <v>141</v>
          </cell>
          <cell r="X56">
            <v>293</v>
          </cell>
          <cell r="Y56">
            <v>434</v>
          </cell>
          <cell r="Z56">
            <v>206</v>
          </cell>
        </row>
        <row r="57">
          <cell r="D57" t="str">
            <v>UCM</v>
          </cell>
          <cell r="E57">
            <v>46</v>
          </cell>
          <cell r="F57">
            <v>82</v>
          </cell>
          <cell r="G57">
            <v>54</v>
          </cell>
          <cell r="H57">
            <v>69</v>
          </cell>
          <cell r="I57">
            <v>1</v>
          </cell>
          <cell r="J57">
            <v>1</v>
          </cell>
          <cell r="K57">
            <v>28</v>
          </cell>
          <cell r="L57">
            <v>12</v>
          </cell>
          <cell r="M57">
            <v>2</v>
          </cell>
          <cell r="N57">
            <v>2</v>
          </cell>
          <cell r="W57">
            <v>131</v>
          </cell>
          <cell r="X57">
            <v>166</v>
          </cell>
          <cell r="Y57">
            <v>297</v>
          </cell>
          <cell r="Z57">
            <v>128</v>
          </cell>
        </row>
        <row r="58">
          <cell r="D58" t="str">
            <v>USC</v>
          </cell>
          <cell r="E58">
            <v>33</v>
          </cell>
          <cell r="F58">
            <v>89</v>
          </cell>
          <cell r="G58">
            <v>54</v>
          </cell>
          <cell r="H58">
            <v>54</v>
          </cell>
          <cell r="J58">
            <v>4</v>
          </cell>
          <cell r="K58">
            <v>19</v>
          </cell>
          <cell r="L58">
            <v>21</v>
          </cell>
          <cell r="M58">
            <v>1</v>
          </cell>
          <cell r="N58">
            <v>7</v>
          </cell>
          <cell r="P58">
            <v>1</v>
          </cell>
          <cell r="T58">
            <v>1</v>
          </cell>
          <cell r="W58">
            <v>107</v>
          </cell>
          <cell r="X58">
            <v>177</v>
          </cell>
          <cell r="Y58">
            <v>284</v>
          </cell>
          <cell r="Z58">
            <v>122</v>
          </cell>
        </row>
        <row r="59">
          <cell r="D59" t="str">
            <v>UCT</v>
          </cell>
          <cell r="E59">
            <v>51</v>
          </cell>
          <cell r="F59">
            <v>91</v>
          </cell>
          <cell r="G59">
            <v>67</v>
          </cell>
          <cell r="H59">
            <v>68</v>
          </cell>
          <cell r="K59">
            <v>19</v>
          </cell>
          <cell r="L59">
            <v>20</v>
          </cell>
          <cell r="M59">
            <v>7</v>
          </cell>
          <cell r="N59">
            <v>8</v>
          </cell>
          <cell r="P59">
            <v>1</v>
          </cell>
          <cell r="W59">
            <v>144</v>
          </cell>
          <cell r="X59">
            <v>188</v>
          </cell>
          <cell r="Y59">
            <v>332</v>
          </cell>
          <cell r="Z59">
            <v>142</v>
          </cell>
        </row>
        <row r="60">
          <cell r="E60">
            <v>2</v>
          </cell>
          <cell r="G60">
            <v>2</v>
          </cell>
          <cell r="H60">
            <v>1</v>
          </cell>
          <cell r="K60">
            <v>1</v>
          </cell>
          <cell r="W60">
            <v>5</v>
          </cell>
          <cell r="X60">
            <v>1</v>
          </cell>
          <cell r="Y60">
            <v>6</v>
          </cell>
          <cell r="Z60">
            <v>2</v>
          </cell>
        </row>
        <row r="61">
          <cell r="D61" t="str">
            <v>URO</v>
          </cell>
          <cell r="E61">
            <v>6</v>
          </cell>
          <cell r="F61">
            <v>16</v>
          </cell>
          <cell r="G61">
            <v>3</v>
          </cell>
          <cell r="H61">
            <v>1</v>
          </cell>
          <cell r="K61">
            <v>1</v>
          </cell>
          <cell r="W61">
            <v>10</v>
          </cell>
          <cell r="X61">
            <v>17</v>
          </cell>
          <cell r="Y61">
            <v>27</v>
          </cell>
          <cell r="Z61">
            <v>22</v>
          </cell>
        </row>
        <row r="62">
          <cell r="D62" t="str">
            <v>URY</v>
          </cell>
          <cell r="E62">
            <v>2</v>
          </cell>
          <cell r="F62">
            <v>5</v>
          </cell>
          <cell r="G62">
            <v>3</v>
          </cell>
          <cell r="I62">
            <v>1</v>
          </cell>
          <cell r="K62">
            <v>1</v>
          </cell>
          <cell r="L62">
            <v>1</v>
          </cell>
          <cell r="M62">
            <v>1</v>
          </cell>
          <cell r="W62">
            <v>8</v>
          </cell>
          <cell r="X62">
            <v>6</v>
          </cell>
          <cell r="Y62">
            <v>14</v>
          </cell>
          <cell r="Z62">
            <v>7</v>
          </cell>
        </row>
      </sheetData>
      <sheetData sheetId="6">
        <row r="32">
          <cell r="D32" t="str">
            <v>UCH</v>
          </cell>
          <cell r="E32">
            <v>340</v>
          </cell>
          <cell r="F32">
            <v>736</v>
          </cell>
          <cell r="G32">
            <v>121</v>
          </cell>
          <cell r="H32">
            <v>113</v>
          </cell>
          <cell r="I32">
            <v>10</v>
          </cell>
          <cell r="J32">
            <v>17</v>
          </cell>
          <cell r="K32">
            <v>82</v>
          </cell>
          <cell r="L32">
            <v>132</v>
          </cell>
          <cell r="M32">
            <v>12</v>
          </cell>
          <cell r="N32">
            <v>16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565</v>
          </cell>
          <cell r="X32">
            <v>1014</v>
          </cell>
          <cell r="Y32">
            <v>1579</v>
          </cell>
          <cell r="Z32">
            <v>1076</v>
          </cell>
        </row>
        <row r="33">
          <cell r="D33" t="str">
            <v>USA</v>
          </cell>
          <cell r="E33">
            <v>112</v>
          </cell>
          <cell r="F33">
            <v>314</v>
          </cell>
          <cell r="G33">
            <v>34</v>
          </cell>
          <cell r="H33">
            <v>94</v>
          </cell>
          <cell r="I33">
            <v>12</v>
          </cell>
          <cell r="J33">
            <v>7</v>
          </cell>
          <cell r="K33">
            <v>19</v>
          </cell>
          <cell r="L33">
            <v>55</v>
          </cell>
          <cell r="M33">
            <v>4</v>
          </cell>
          <cell r="N33">
            <v>2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181</v>
          </cell>
          <cell r="X33">
            <v>472</v>
          </cell>
          <cell r="Y33">
            <v>653</v>
          </cell>
          <cell r="Z33">
            <v>426</v>
          </cell>
        </row>
        <row r="34">
          <cell r="D34" t="str">
            <v>UVA</v>
          </cell>
          <cell r="E34">
            <v>90</v>
          </cell>
          <cell r="F34">
            <v>148</v>
          </cell>
          <cell r="G34">
            <v>112</v>
          </cell>
          <cell r="H34">
            <v>120</v>
          </cell>
          <cell r="I34">
            <v>2</v>
          </cell>
          <cell r="J34">
            <v>4</v>
          </cell>
          <cell r="K34">
            <v>27</v>
          </cell>
          <cell r="L34">
            <v>58</v>
          </cell>
          <cell r="M34">
            <v>1</v>
          </cell>
          <cell r="N34">
            <v>2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232</v>
          </cell>
          <cell r="X34">
            <v>332</v>
          </cell>
          <cell r="Y34">
            <v>564</v>
          </cell>
          <cell r="Z34">
            <v>238</v>
          </cell>
        </row>
        <row r="35">
          <cell r="D35" t="str">
            <v>ANT</v>
          </cell>
          <cell r="E35">
            <v>42</v>
          </cell>
          <cell r="F35">
            <v>105</v>
          </cell>
          <cell r="G35">
            <v>54</v>
          </cell>
          <cell r="H35">
            <v>66</v>
          </cell>
          <cell r="I35">
            <v>1</v>
          </cell>
          <cell r="J35">
            <v>4</v>
          </cell>
          <cell r="K35">
            <v>25</v>
          </cell>
          <cell r="L35">
            <v>36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122</v>
          </cell>
          <cell r="X35">
            <v>211</v>
          </cell>
          <cell r="Y35">
            <v>333</v>
          </cell>
          <cell r="Z35">
            <v>147</v>
          </cell>
        </row>
        <row r="36">
          <cell r="D36" t="str">
            <v>ULS</v>
          </cell>
          <cell r="E36">
            <v>28</v>
          </cell>
          <cell r="F36">
            <v>77</v>
          </cell>
          <cell r="G36">
            <v>18</v>
          </cell>
          <cell r="H36">
            <v>32</v>
          </cell>
          <cell r="I36">
            <v>0</v>
          </cell>
          <cell r="J36">
            <v>1</v>
          </cell>
          <cell r="K36">
            <v>11</v>
          </cell>
          <cell r="L36">
            <v>40</v>
          </cell>
          <cell r="M36">
            <v>1</v>
          </cell>
          <cell r="N36">
            <v>4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</v>
          </cell>
          <cell r="U36">
            <v>0</v>
          </cell>
          <cell r="V36">
            <v>0</v>
          </cell>
          <cell r="W36">
            <v>58</v>
          </cell>
          <cell r="X36">
            <v>155</v>
          </cell>
          <cell r="Y36">
            <v>213</v>
          </cell>
          <cell r="Z36">
            <v>105</v>
          </cell>
        </row>
        <row r="37">
          <cell r="D37" t="str">
            <v>UBB</v>
          </cell>
          <cell r="E37">
            <v>51</v>
          </cell>
          <cell r="F37">
            <v>190</v>
          </cell>
          <cell r="G37">
            <v>82</v>
          </cell>
          <cell r="H37">
            <v>93</v>
          </cell>
          <cell r="I37">
            <v>0</v>
          </cell>
          <cell r="J37">
            <v>0</v>
          </cell>
          <cell r="K37">
            <v>6</v>
          </cell>
          <cell r="L37">
            <v>35</v>
          </cell>
          <cell r="M37">
            <v>0</v>
          </cell>
          <cell r="N37">
            <v>2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139</v>
          </cell>
          <cell r="X37">
            <v>320</v>
          </cell>
          <cell r="Y37">
            <v>459</v>
          </cell>
          <cell r="Z37">
            <v>241</v>
          </cell>
        </row>
        <row r="38">
          <cell r="D38" t="str">
            <v>FRO</v>
          </cell>
          <cell r="E38">
            <v>68</v>
          </cell>
          <cell r="F38">
            <v>124</v>
          </cell>
          <cell r="G38">
            <v>43</v>
          </cell>
          <cell r="H38">
            <v>33</v>
          </cell>
          <cell r="I38">
            <v>0</v>
          </cell>
          <cell r="J38">
            <v>2</v>
          </cell>
          <cell r="K38">
            <v>19</v>
          </cell>
          <cell r="L38">
            <v>32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130</v>
          </cell>
          <cell r="X38">
            <v>191</v>
          </cell>
          <cell r="Y38">
            <v>321</v>
          </cell>
          <cell r="Z38">
            <v>192</v>
          </cell>
        </row>
        <row r="39">
          <cell r="D39" t="str">
            <v>MAG</v>
          </cell>
          <cell r="E39">
            <v>26</v>
          </cell>
          <cell r="F39">
            <v>48</v>
          </cell>
          <cell r="G39">
            <v>33</v>
          </cell>
          <cell r="H39">
            <v>31</v>
          </cell>
          <cell r="I39">
            <v>0</v>
          </cell>
          <cell r="J39">
            <v>0</v>
          </cell>
          <cell r="K39">
            <v>26</v>
          </cell>
          <cell r="L39">
            <v>32</v>
          </cell>
          <cell r="M39">
            <v>2</v>
          </cell>
          <cell r="N39">
            <v>1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87</v>
          </cell>
          <cell r="X39">
            <v>113</v>
          </cell>
          <cell r="Y39">
            <v>200</v>
          </cell>
          <cell r="Z39">
            <v>74</v>
          </cell>
        </row>
        <row r="40">
          <cell r="D40" t="str">
            <v>TAL</v>
          </cell>
          <cell r="E40">
            <v>46</v>
          </cell>
          <cell r="F40">
            <v>197</v>
          </cell>
          <cell r="G40">
            <v>79</v>
          </cell>
          <cell r="H40">
            <v>83</v>
          </cell>
          <cell r="I40">
            <v>1</v>
          </cell>
          <cell r="J40">
            <v>1</v>
          </cell>
          <cell r="K40">
            <v>6</v>
          </cell>
          <cell r="L40">
            <v>6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132</v>
          </cell>
          <cell r="X40">
            <v>287</v>
          </cell>
          <cell r="Y40">
            <v>419</v>
          </cell>
          <cell r="Z40">
            <v>243</v>
          </cell>
        </row>
        <row r="41">
          <cell r="D41" t="str">
            <v>ATA</v>
          </cell>
          <cell r="E41">
            <v>15</v>
          </cell>
          <cell r="F41">
            <v>59</v>
          </cell>
          <cell r="G41">
            <v>34</v>
          </cell>
          <cell r="H41">
            <v>44</v>
          </cell>
          <cell r="I41">
            <v>0</v>
          </cell>
          <cell r="J41">
            <v>0</v>
          </cell>
          <cell r="K41">
            <v>72</v>
          </cell>
          <cell r="L41">
            <v>84</v>
          </cell>
          <cell r="M41">
            <v>10</v>
          </cell>
          <cell r="N41">
            <v>6</v>
          </cell>
          <cell r="O41">
            <v>1</v>
          </cell>
          <cell r="P41">
            <v>3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132</v>
          </cell>
          <cell r="X41">
            <v>196</v>
          </cell>
          <cell r="Y41">
            <v>328</v>
          </cell>
          <cell r="Z41">
            <v>74</v>
          </cell>
        </row>
        <row r="42">
          <cell r="D42" t="str">
            <v>UTA</v>
          </cell>
          <cell r="E42">
            <v>29</v>
          </cell>
          <cell r="F42">
            <v>99</v>
          </cell>
          <cell r="G42">
            <v>75</v>
          </cell>
          <cell r="H42">
            <v>80</v>
          </cell>
          <cell r="I42">
            <v>0</v>
          </cell>
          <cell r="J42">
            <v>2</v>
          </cell>
          <cell r="K42">
            <v>17</v>
          </cell>
          <cell r="L42">
            <v>17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121</v>
          </cell>
          <cell r="X42">
            <v>198</v>
          </cell>
          <cell r="Y42">
            <v>319</v>
          </cell>
          <cell r="Z42">
            <v>128</v>
          </cell>
        </row>
        <row r="43">
          <cell r="D43" t="str">
            <v>UAP</v>
          </cell>
          <cell r="E43">
            <v>27</v>
          </cell>
          <cell r="F43">
            <v>43</v>
          </cell>
          <cell r="G43">
            <v>53</v>
          </cell>
          <cell r="H43">
            <v>88</v>
          </cell>
          <cell r="I43">
            <v>0</v>
          </cell>
          <cell r="J43">
            <v>0</v>
          </cell>
          <cell r="K43">
            <v>46</v>
          </cell>
          <cell r="L43">
            <v>54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126</v>
          </cell>
          <cell r="X43">
            <v>185</v>
          </cell>
          <cell r="Y43">
            <v>311</v>
          </cell>
          <cell r="Z43">
            <v>70</v>
          </cell>
        </row>
        <row r="44">
          <cell r="D44" t="str">
            <v>UMC</v>
          </cell>
          <cell r="E44">
            <v>31</v>
          </cell>
          <cell r="F44">
            <v>36</v>
          </cell>
          <cell r="G44">
            <v>57</v>
          </cell>
          <cell r="H44">
            <v>54</v>
          </cell>
          <cell r="I44">
            <v>0</v>
          </cell>
          <cell r="J44">
            <v>0</v>
          </cell>
          <cell r="K44">
            <v>15</v>
          </cell>
          <cell r="L44">
            <v>25</v>
          </cell>
          <cell r="M44">
            <v>2</v>
          </cell>
          <cell r="N44">
            <v>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105</v>
          </cell>
          <cell r="X44">
            <v>124</v>
          </cell>
          <cell r="Y44">
            <v>229</v>
          </cell>
          <cell r="Z44">
            <v>67</v>
          </cell>
        </row>
        <row r="45">
          <cell r="D45" t="str">
            <v>UPA</v>
          </cell>
          <cell r="E45">
            <v>46</v>
          </cell>
          <cell r="F45">
            <v>59</v>
          </cell>
          <cell r="G45">
            <v>60</v>
          </cell>
          <cell r="H45">
            <v>76</v>
          </cell>
          <cell r="I45">
            <v>7</v>
          </cell>
          <cell r="J45">
            <v>0</v>
          </cell>
          <cell r="K45">
            <v>11</v>
          </cell>
          <cell r="L45">
            <v>30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124</v>
          </cell>
          <cell r="X45">
            <v>165</v>
          </cell>
          <cell r="Y45">
            <v>289</v>
          </cell>
          <cell r="Z45">
            <v>105</v>
          </cell>
        </row>
        <row r="46">
          <cell r="D46" t="str">
            <v>ULA</v>
          </cell>
          <cell r="E46">
            <v>31</v>
          </cell>
          <cell r="F46">
            <v>73</v>
          </cell>
          <cell r="G46">
            <v>77</v>
          </cell>
          <cell r="H46">
            <v>77</v>
          </cell>
          <cell r="I46">
            <v>0</v>
          </cell>
          <cell r="J46">
            <v>0</v>
          </cell>
          <cell r="K46">
            <v>25</v>
          </cell>
          <cell r="L46">
            <v>37</v>
          </cell>
          <cell r="M46">
            <v>4</v>
          </cell>
          <cell r="N46">
            <v>0</v>
          </cell>
          <cell r="O46">
            <v>0</v>
          </cell>
          <cell r="P46">
            <v>1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137</v>
          </cell>
          <cell r="X46">
            <v>188</v>
          </cell>
          <cell r="Y46">
            <v>325</v>
          </cell>
          <cell r="Z46">
            <v>104</v>
          </cell>
        </row>
        <row r="47">
          <cell r="D47" t="str">
            <v>UTM</v>
          </cell>
          <cell r="E47">
            <v>17</v>
          </cell>
          <cell r="F47">
            <v>33</v>
          </cell>
          <cell r="G47">
            <v>29</v>
          </cell>
          <cell r="H47">
            <v>67</v>
          </cell>
          <cell r="I47">
            <v>0</v>
          </cell>
          <cell r="J47">
            <v>0</v>
          </cell>
          <cell r="K47">
            <v>18</v>
          </cell>
          <cell r="L47">
            <v>32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64</v>
          </cell>
          <cell r="X47">
            <v>133</v>
          </cell>
          <cell r="Y47">
            <v>197</v>
          </cell>
          <cell r="Z47">
            <v>50</v>
          </cell>
        </row>
        <row r="48">
          <cell r="D48" t="str">
            <v>PUC</v>
          </cell>
          <cell r="E48">
            <v>291</v>
          </cell>
          <cell r="F48">
            <v>640</v>
          </cell>
          <cell r="G48">
            <v>129</v>
          </cell>
          <cell r="H48">
            <v>119</v>
          </cell>
          <cell r="I48">
            <v>90</v>
          </cell>
          <cell r="J48">
            <v>210</v>
          </cell>
          <cell r="K48">
            <v>35</v>
          </cell>
          <cell r="L48">
            <v>28</v>
          </cell>
          <cell r="M48">
            <v>16</v>
          </cell>
          <cell r="N48">
            <v>14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561</v>
          </cell>
          <cell r="X48">
            <v>1011</v>
          </cell>
          <cell r="Y48">
            <v>1572</v>
          </cell>
          <cell r="Z48">
            <v>931</v>
          </cell>
        </row>
        <row r="49">
          <cell r="D49" t="str">
            <v>UCO</v>
          </cell>
          <cell r="E49">
            <v>234</v>
          </cell>
          <cell r="F49">
            <v>487</v>
          </cell>
          <cell r="G49">
            <v>161</v>
          </cell>
          <cell r="H49">
            <v>150</v>
          </cell>
          <cell r="I49">
            <v>0</v>
          </cell>
          <cell r="J49">
            <v>4</v>
          </cell>
          <cell r="K49">
            <v>35</v>
          </cell>
          <cell r="L49">
            <v>74</v>
          </cell>
          <cell r="M49">
            <v>4</v>
          </cell>
          <cell r="N49">
            <v>5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</v>
          </cell>
          <cell r="X49">
            <v>720</v>
          </cell>
          <cell r="Y49">
            <v>1154</v>
          </cell>
          <cell r="Z49">
            <v>721</v>
          </cell>
        </row>
        <row r="50">
          <cell r="D50" t="str">
            <v>FSM</v>
          </cell>
          <cell r="E50">
            <v>40</v>
          </cell>
          <cell r="F50">
            <v>208</v>
          </cell>
          <cell r="G50">
            <v>21</v>
          </cell>
          <cell r="H50">
            <v>91</v>
          </cell>
          <cell r="I50">
            <v>0</v>
          </cell>
          <cell r="J50">
            <v>0</v>
          </cell>
          <cell r="K50">
            <v>15</v>
          </cell>
          <cell r="L50">
            <v>89</v>
          </cell>
          <cell r="M50">
            <v>0</v>
          </cell>
          <cell r="N50">
            <v>8</v>
          </cell>
          <cell r="O50">
            <v>1</v>
          </cell>
          <cell r="P50">
            <v>3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77</v>
          </cell>
          <cell r="X50">
            <v>399</v>
          </cell>
          <cell r="Y50">
            <v>476</v>
          </cell>
          <cell r="Z50">
            <v>248</v>
          </cell>
        </row>
        <row r="51">
          <cell r="D51" t="str">
            <v>UCV</v>
          </cell>
          <cell r="E51">
            <v>126</v>
          </cell>
          <cell r="F51">
            <v>275</v>
          </cell>
          <cell r="G51">
            <v>37</v>
          </cell>
          <cell r="H51">
            <v>46</v>
          </cell>
          <cell r="I51">
            <v>0</v>
          </cell>
          <cell r="J51">
            <v>0</v>
          </cell>
          <cell r="K51">
            <v>11</v>
          </cell>
          <cell r="L51">
            <v>23</v>
          </cell>
          <cell r="M51">
            <v>1</v>
          </cell>
          <cell r="N51">
            <v>3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175</v>
          </cell>
          <cell r="X51">
            <v>347</v>
          </cell>
          <cell r="Y51">
            <v>522</v>
          </cell>
          <cell r="Z51">
            <v>401</v>
          </cell>
        </row>
        <row r="52">
          <cell r="D52" t="str">
            <v>AUS</v>
          </cell>
          <cell r="E52">
            <v>121</v>
          </cell>
          <cell r="F52">
            <v>274</v>
          </cell>
          <cell r="G52">
            <v>95</v>
          </cell>
          <cell r="H52">
            <v>116</v>
          </cell>
          <cell r="I52">
            <v>3</v>
          </cell>
          <cell r="J52">
            <v>7</v>
          </cell>
          <cell r="K52">
            <v>73</v>
          </cell>
          <cell r="L52">
            <v>51</v>
          </cell>
          <cell r="M52">
            <v>3</v>
          </cell>
          <cell r="N52">
            <v>5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295</v>
          </cell>
          <cell r="X52">
            <v>453</v>
          </cell>
          <cell r="Y52">
            <v>748</v>
          </cell>
          <cell r="Z52">
            <v>395</v>
          </cell>
        </row>
        <row r="53">
          <cell r="D53" t="str">
            <v>UCN</v>
          </cell>
          <cell r="E53">
            <v>53</v>
          </cell>
          <cell r="F53">
            <v>160</v>
          </cell>
          <cell r="G53">
            <v>59</v>
          </cell>
          <cell r="H53">
            <v>78</v>
          </cell>
          <cell r="I53">
            <v>0</v>
          </cell>
          <cell r="J53">
            <v>3</v>
          </cell>
          <cell r="K53">
            <v>33</v>
          </cell>
          <cell r="L53">
            <v>48</v>
          </cell>
          <cell r="M53">
            <v>8</v>
          </cell>
          <cell r="N53">
            <v>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153</v>
          </cell>
          <cell r="X53">
            <v>297</v>
          </cell>
          <cell r="Y53">
            <v>450</v>
          </cell>
          <cell r="Z53">
            <v>213</v>
          </cell>
        </row>
        <row r="54">
          <cell r="D54" t="str">
            <v>UCM</v>
          </cell>
          <cell r="E54">
            <v>50</v>
          </cell>
          <cell r="F54">
            <v>90</v>
          </cell>
          <cell r="G54">
            <v>62</v>
          </cell>
          <cell r="H54">
            <v>61</v>
          </cell>
          <cell r="I54">
            <v>0</v>
          </cell>
          <cell r="J54">
            <v>1</v>
          </cell>
          <cell r="K54">
            <v>18</v>
          </cell>
          <cell r="L54">
            <v>13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130</v>
          </cell>
          <cell r="X54">
            <v>165</v>
          </cell>
          <cell r="Y54">
            <v>295</v>
          </cell>
          <cell r="Z54">
            <v>140</v>
          </cell>
        </row>
        <row r="55">
          <cell r="D55" t="str">
            <v>USC</v>
          </cell>
          <cell r="E55">
            <v>40</v>
          </cell>
          <cell r="F55">
            <v>97</v>
          </cell>
          <cell r="G55">
            <v>53</v>
          </cell>
          <cell r="H55">
            <v>57</v>
          </cell>
          <cell r="I55">
            <v>0</v>
          </cell>
          <cell r="J55">
            <v>3</v>
          </cell>
          <cell r="K55">
            <v>23</v>
          </cell>
          <cell r="L55">
            <v>18</v>
          </cell>
          <cell r="M55">
            <v>1</v>
          </cell>
          <cell r="N55">
            <v>6</v>
          </cell>
          <cell r="O55">
            <v>0</v>
          </cell>
          <cell r="P55">
            <v>1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  <cell r="U55">
            <v>0</v>
          </cell>
          <cell r="V55">
            <v>0</v>
          </cell>
          <cell r="W55">
            <v>117</v>
          </cell>
          <cell r="X55">
            <v>183</v>
          </cell>
          <cell r="Y55">
            <v>300</v>
          </cell>
          <cell r="Z55">
            <v>137</v>
          </cell>
        </row>
        <row r="56">
          <cell r="D56" t="str">
            <v>UCT</v>
          </cell>
          <cell r="E56">
            <v>51</v>
          </cell>
          <cell r="F56">
            <v>103</v>
          </cell>
          <cell r="G56">
            <v>62</v>
          </cell>
          <cell r="H56">
            <v>64</v>
          </cell>
          <cell r="I56">
            <v>0</v>
          </cell>
          <cell r="J56">
            <v>0</v>
          </cell>
          <cell r="K56">
            <v>16</v>
          </cell>
          <cell r="L56">
            <v>20</v>
          </cell>
          <cell r="M56">
            <v>6</v>
          </cell>
          <cell r="N56">
            <v>12</v>
          </cell>
          <cell r="O56">
            <v>0</v>
          </cell>
          <cell r="P56">
            <v>1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135</v>
          </cell>
          <cell r="X56">
            <v>200</v>
          </cell>
          <cell r="Y56">
            <v>335</v>
          </cell>
          <cell r="Z56">
            <v>154</v>
          </cell>
        </row>
        <row r="57">
          <cell r="E57">
            <v>1</v>
          </cell>
          <cell r="F57">
            <v>0</v>
          </cell>
          <cell r="G57">
            <v>1</v>
          </cell>
          <cell r="H57">
            <v>1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3</v>
          </cell>
          <cell r="X57">
            <v>1</v>
          </cell>
          <cell r="Y57">
            <v>4</v>
          </cell>
          <cell r="Z57">
            <v>1</v>
          </cell>
        </row>
        <row r="58">
          <cell r="E58">
            <v>17</v>
          </cell>
          <cell r="F58">
            <v>25</v>
          </cell>
          <cell r="G58">
            <v>3</v>
          </cell>
          <cell r="H58">
            <v>0</v>
          </cell>
          <cell r="I58">
            <v>1</v>
          </cell>
          <cell r="J58">
            <v>1</v>
          </cell>
          <cell r="K58">
            <v>3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24</v>
          </cell>
          <cell r="X58">
            <v>27</v>
          </cell>
          <cell r="Y58">
            <v>51</v>
          </cell>
          <cell r="Z58">
            <v>42</v>
          </cell>
        </row>
        <row r="59">
          <cell r="E59">
            <v>5</v>
          </cell>
          <cell r="F59">
            <v>12</v>
          </cell>
          <cell r="G59">
            <v>1</v>
          </cell>
          <cell r="H59">
            <v>2</v>
          </cell>
          <cell r="I59">
            <v>1</v>
          </cell>
          <cell r="J59">
            <v>0</v>
          </cell>
          <cell r="K59">
            <v>0</v>
          </cell>
          <cell r="L59">
            <v>1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7</v>
          </cell>
          <cell r="X59">
            <v>15</v>
          </cell>
          <cell r="Y59">
            <v>22</v>
          </cell>
          <cell r="Z59">
            <v>17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elo.Chile"/>
      <sheetName val="WOS"/>
      <sheetName val="SCOPUS"/>
    </sheetNames>
    <sheetDataSet>
      <sheetData sheetId="0"/>
      <sheetData sheetId="1"/>
      <sheetData sheetId="2">
        <row r="7">
          <cell r="B7" t="str">
            <v>UCH</v>
          </cell>
          <cell r="C7">
            <v>1980</v>
          </cell>
          <cell r="D7">
            <v>26055</v>
          </cell>
          <cell r="E7">
            <v>2359</v>
          </cell>
          <cell r="F7">
            <v>24426</v>
          </cell>
          <cell r="G7">
            <v>2526</v>
          </cell>
          <cell r="H7">
            <v>18386</v>
          </cell>
          <cell r="I7">
            <v>2712</v>
          </cell>
          <cell r="J7">
            <v>13194</v>
          </cell>
          <cell r="K7">
            <v>2693</v>
          </cell>
        </row>
        <row r="8">
          <cell r="B8" t="str">
            <v>PUC</v>
          </cell>
          <cell r="C8">
            <v>1756</v>
          </cell>
          <cell r="D8">
            <v>27398</v>
          </cell>
          <cell r="E8">
            <v>2053</v>
          </cell>
          <cell r="F8">
            <v>24460</v>
          </cell>
          <cell r="G8">
            <v>2086</v>
          </cell>
          <cell r="H8">
            <v>19502</v>
          </cell>
          <cell r="I8">
            <v>2387</v>
          </cell>
          <cell r="J8">
            <v>17228</v>
          </cell>
          <cell r="K8">
            <v>2338</v>
          </cell>
        </row>
        <row r="9">
          <cell r="B9" t="str">
            <v>UCO</v>
          </cell>
          <cell r="C9">
            <v>918</v>
          </cell>
          <cell r="D9">
            <v>11576</v>
          </cell>
          <cell r="E9">
            <v>990</v>
          </cell>
          <cell r="F9">
            <v>8831</v>
          </cell>
          <cell r="G9">
            <v>1010</v>
          </cell>
          <cell r="H9">
            <v>6564</v>
          </cell>
          <cell r="I9">
            <v>1137</v>
          </cell>
          <cell r="J9">
            <v>4409</v>
          </cell>
          <cell r="K9">
            <v>1101</v>
          </cell>
        </row>
        <row r="10">
          <cell r="B10" t="str">
            <v>USA</v>
          </cell>
          <cell r="C10">
            <v>462</v>
          </cell>
          <cell r="D10">
            <v>3797</v>
          </cell>
          <cell r="E10">
            <v>518</v>
          </cell>
          <cell r="F10">
            <v>3134</v>
          </cell>
          <cell r="G10">
            <v>516</v>
          </cell>
          <cell r="H10">
            <v>2746</v>
          </cell>
          <cell r="I10">
            <v>662</v>
          </cell>
          <cell r="J10">
            <v>2506</v>
          </cell>
          <cell r="K10">
            <v>688</v>
          </cell>
        </row>
        <row r="11">
          <cell r="B11" t="str">
            <v>PUC</v>
          </cell>
          <cell r="C11">
            <v>383</v>
          </cell>
          <cell r="D11">
            <v>3269</v>
          </cell>
          <cell r="E11">
            <v>466</v>
          </cell>
          <cell r="F11">
            <v>3706</v>
          </cell>
          <cell r="G11">
            <v>541</v>
          </cell>
          <cell r="H11">
            <v>2584</v>
          </cell>
          <cell r="I11">
            <v>658</v>
          </cell>
          <cell r="J11">
            <v>1953</v>
          </cell>
          <cell r="K11">
            <v>608</v>
          </cell>
        </row>
        <row r="12">
          <cell r="B12" t="str">
            <v>FSM</v>
          </cell>
          <cell r="C12">
            <v>447</v>
          </cell>
          <cell r="D12">
            <v>9138</v>
          </cell>
          <cell r="E12">
            <v>478</v>
          </cell>
          <cell r="F12">
            <v>7044</v>
          </cell>
          <cell r="G12">
            <v>550</v>
          </cell>
          <cell r="H12">
            <v>7021</v>
          </cell>
          <cell r="I12">
            <v>620</v>
          </cell>
          <cell r="J12">
            <v>4978</v>
          </cell>
          <cell r="K12">
            <v>569</v>
          </cell>
        </row>
        <row r="13">
          <cell r="B13" t="str">
            <v>AUS</v>
          </cell>
          <cell r="C13">
            <v>449</v>
          </cell>
          <cell r="D13">
            <v>4874</v>
          </cell>
          <cell r="E13">
            <v>465</v>
          </cell>
          <cell r="F13">
            <v>4228</v>
          </cell>
          <cell r="G13">
            <v>489</v>
          </cell>
          <cell r="H13">
            <v>2740</v>
          </cell>
          <cell r="I13">
            <v>543</v>
          </cell>
          <cell r="J13">
            <v>3156</v>
          </cell>
          <cell r="K13">
            <v>548</v>
          </cell>
        </row>
        <row r="14">
          <cell r="B14" t="str">
            <v>FRO</v>
          </cell>
          <cell r="C14">
            <v>306</v>
          </cell>
          <cell r="D14">
            <v>3489</v>
          </cell>
          <cell r="E14">
            <v>381</v>
          </cell>
          <cell r="F14">
            <v>4099</v>
          </cell>
          <cell r="G14">
            <v>445</v>
          </cell>
          <cell r="H14">
            <v>2686</v>
          </cell>
          <cell r="I14">
            <v>469</v>
          </cell>
          <cell r="J14">
            <v>2029</v>
          </cell>
          <cell r="K14">
            <v>507</v>
          </cell>
        </row>
        <row r="15">
          <cell r="B15" t="str">
            <v>UVA</v>
          </cell>
          <cell r="C15">
            <v>288</v>
          </cell>
          <cell r="D15">
            <v>3075</v>
          </cell>
          <cell r="E15">
            <v>341</v>
          </cell>
          <cell r="F15">
            <v>2925</v>
          </cell>
          <cell r="G15">
            <v>385</v>
          </cell>
          <cell r="H15">
            <v>2552</v>
          </cell>
          <cell r="I15">
            <v>412</v>
          </cell>
          <cell r="J15">
            <v>2042</v>
          </cell>
          <cell r="K15">
            <v>433</v>
          </cell>
        </row>
        <row r="16">
          <cell r="B16" t="str">
            <v>TAL</v>
          </cell>
          <cell r="C16">
            <v>298</v>
          </cell>
          <cell r="D16">
            <v>2599</v>
          </cell>
          <cell r="E16">
            <v>319</v>
          </cell>
          <cell r="F16">
            <v>2120</v>
          </cell>
          <cell r="G16">
            <v>375</v>
          </cell>
          <cell r="H16">
            <v>1950</v>
          </cell>
          <cell r="I16">
            <v>401</v>
          </cell>
          <cell r="J16">
            <v>1317</v>
          </cell>
          <cell r="K16">
            <v>414</v>
          </cell>
        </row>
        <row r="17">
          <cell r="B17" t="str">
            <v>UCN</v>
          </cell>
          <cell r="C17">
            <v>266</v>
          </cell>
          <cell r="D17">
            <v>2376</v>
          </cell>
          <cell r="E17">
            <v>308</v>
          </cell>
          <cell r="F17">
            <v>2393</v>
          </cell>
          <cell r="G17">
            <v>338</v>
          </cell>
          <cell r="H17">
            <v>1591</v>
          </cell>
          <cell r="I17">
            <v>326</v>
          </cell>
          <cell r="J17">
            <v>940</v>
          </cell>
          <cell r="K17">
            <v>350</v>
          </cell>
        </row>
        <row r="18">
          <cell r="B18" t="str">
            <v>UBB</v>
          </cell>
          <cell r="C18">
            <v>150</v>
          </cell>
          <cell r="D18">
            <v>1027</v>
          </cell>
          <cell r="E18">
            <v>174</v>
          </cell>
          <cell r="F18">
            <v>1014</v>
          </cell>
          <cell r="G18">
            <v>186</v>
          </cell>
          <cell r="H18">
            <v>643</v>
          </cell>
          <cell r="I18">
            <v>242</v>
          </cell>
          <cell r="J18">
            <v>583</v>
          </cell>
          <cell r="K18">
            <v>253</v>
          </cell>
        </row>
        <row r="19">
          <cell r="B19" t="str">
            <v>UTA</v>
          </cell>
          <cell r="C19">
            <v>168</v>
          </cell>
          <cell r="D19">
            <v>1208</v>
          </cell>
          <cell r="E19">
            <v>203</v>
          </cell>
          <cell r="F19">
            <v>1397</v>
          </cell>
          <cell r="G19">
            <v>202</v>
          </cell>
          <cell r="H19">
            <v>955</v>
          </cell>
          <cell r="I19">
            <v>213</v>
          </cell>
          <cell r="J19">
            <v>620</v>
          </cell>
          <cell r="K19">
            <v>233</v>
          </cell>
        </row>
        <row r="20">
          <cell r="B20" t="str">
            <v>ANT</v>
          </cell>
          <cell r="C20">
            <v>115</v>
          </cell>
          <cell r="D20">
            <v>1179</v>
          </cell>
          <cell r="E20">
            <v>138</v>
          </cell>
          <cell r="F20">
            <v>1140</v>
          </cell>
          <cell r="G20">
            <v>159</v>
          </cell>
          <cell r="H20">
            <v>1223</v>
          </cell>
          <cell r="I20">
            <v>203</v>
          </cell>
          <cell r="J20">
            <v>1060</v>
          </cell>
          <cell r="K20">
            <v>207</v>
          </cell>
        </row>
        <row r="21">
          <cell r="B21" t="str">
            <v>ULS</v>
          </cell>
          <cell r="C21">
            <v>102</v>
          </cell>
          <cell r="D21">
            <v>994</v>
          </cell>
          <cell r="E21">
            <v>111</v>
          </cell>
          <cell r="F21">
            <v>1001</v>
          </cell>
          <cell r="G21">
            <v>113</v>
          </cell>
          <cell r="H21">
            <v>668</v>
          </cell>
          <cell r="I21">
            <v>137</v>
          </cell>
          <cell r="J21">
            <v>643</v>
          </cell>
          <cell r="K21">
            <v>173</v>
          </cell>
        </row>
        <row r="22">
          <cell r="B22" t="str">
            <v>UCT</v>
          </cell>
          <cell r="C22">
            <v>92</v>
          </cell>
          <cell r="D22">
            <v>438</v>
          </cell>
          <cell r="E22">
            <v>98</v>
          </cell>
          <cell r="F22">
            <v>407</v>
          </cell>
          <cell r="G22">
            <v>120</v>
          </cell>
          <cell r="H22">
            <v>543</v>
          </cell>
          <cell r="I22">
            <v>130</v>
          </cell>
          <cell r="J22">
            <v>273</v>
          </cell>
          <cell r="K22">
            <v>160</v>
          </cell>
        </row>
        <row r="23">
          <cell r="B23" t="str">
            <v>MAG</v>
          </cell>
          <cell r="C23">
            <v>34</v>
          </cell>
          <cell r="D23">
            <v>168</v>
          </cell>
          <cell r="E23">
            <v>62</v>
          </cell>
          <cell r="F23">
            <v>435</v>
          </cell>
          <cell r="G23">
            <v>87</v>
          </cell>
          <cell r="H23">
            <v>580</v>
          </cell>
          <cell r="I23">
            <v>122</v>
          </cell>
          <cell r="J23">
            <v>685</v>
          </cell>
          <cell r="K23">
            <v>104</v>
          </cell>
        </row>
        <row r="24">
          <cell r="B24" t="str">
            <v>UPA</v>
          </cell>
          <cell r="C24">
            <v>34</v>
          </cell>
          <cell r="D24">
            <v>144</v>
          </cell>
          <cell r="E24">
            <v>67</v>
          </cell>
          <cell r="F24">
            <v>235</v>
          </cell>
          <cell r="G24">
            <v>115</v>
          </cell>
          <cell r="H24">
            <v>386</v>
          </cell>
          <cell r="I24">
            <v>119</v>
          </cell>
          <cell r="J24">
            <v>171</v>
          </cell>
          <cell r="K24">
            <v>86</v>
          </cell>
        </row>
        <row r="25">
          <cell r="B25" t="str">
            <v>ULA</v>
          </cell>
          <cell r="C25">
            <v>56</v>
          </cell>
          <cell r="D25">
            <v>483</v>
          </cell>
          <cell r="E25">
            <v>68</v>
          </cell>
          <cell r="F25">
            <v>446</v>
          </cell>
          <cell r="G25">
            <v>92</v>
          </cell>
          <cell r="H25">
            <v>392</v>
          </cell>
          <cell r="I25">
            <v>108</v>
          </cell>
          <cell r="J25">
            <v>338</v>
          </cell>
          <cell r="K25">
            <v>121</v>
          </cell>
        </row>
        <row r="26">
          <cell r="B26" t="str">
            <v>USC</v>
          </cell>
          <cell r="C26">
            <v>61</v>
          </cell>
          <cell r="D26">
            <v>282</v>
          </cell>
          <cell r="E26">
            <v>72</v>
          </cell>
          <cell r="F26">
            <v>376</v>
          </cell>
          <cell r="G26">
            <v>85</v>
          </cell>
          <cell r="H26">
            <v>257</v>
          </cell>
          <cell r="I26">
            <v>102</v>
          </cell>
          <cell r="J26">
            <v>326</v>
          </cell>
          <cell r="K26">
            <v>144</v>
          </cell>
        </row>
        <row r="27">
          <cell r="B27" t="str">
            <v>UCM</v>
          </cell>
          <cell r="C27">
            <v>69</v>
          </cell>
          <cell r="D27">
            <v>624</v>
          </cell>
          <cell r="E27">
            <v>73</v>
          </cell>
          <cell r="F27">
            <v>509</v>
          </cell>
          <cell r="G27">
            <v>74</v>
          </cell>
          <cell r="H27">
            <v>236</v>
          </cell>
          <cell r="I27">
            <v>92</v>
          </cell>
          <cell r="J27">
            <v>179</v>
          </cell>
          <cell r="K27">
            <v>138</v>
          </cell>
        </row>
        <row r="28">
          <cell r="B28" t="str">
            <v>UAP</v>
          </cell>
          <cell r="C28">
            <v>51</v>
          </cell>
          <cell r="D28">
            <v>583</v>
          </cell>
          <cell r="E28">
            <v>63</v>
          </cell>
          <cell r="F28">
            <v>259</v>
          </cell>
          <cell r="G28">
            <v>60</v>
          </cell>
          <cell r="H28">
            <v>298</v>
          </cell>
          <cell r="I28">
            <v>82</v>
          </cell>
          <cell r="J28">
            <v>210</v>
          </cell>
          <cell r="K28">
            <v>65</v>
          </cell>
        </row>
        <row r="29">
          <cell r="B29" t="str">
            <v>ATA</v>
          </cell>
          <cell r="C29">
            <v>20</v>
          </cell>
          <cell r="D29">
            <v>118</v>
          </cell>
          <cell r="E29">
            <v>29</v>
          </cell>
          <cell r="F29">
            <v>161</v>
          </cell>
          <cell r="G29">
            <v>31</v>
          </cell>
          <cell r="H29">
            <v>162</v>
          </cell>
          <cell r="I29">
            <v>54</v>
          </cell>
          <cell r="J29">
            <v>209</v>
          </cell>
          <cell r="K29">
            <v>93</v>
          </cell>
        </row>
        <row r="30">
          <cell r="B30" t="str">
            <v>UMC</v>
          </cell>
          <cell r="C30">
            <v>24</v>
          </cell>
          <cell r="D30">
            <v>215</v>
          </cell>
          <cell r="E30">
            <v>24</v>
          </cell>
          <cell r="F30">
            <v>104</v>
          </cell>
          <cell r="G30">
            <v>41</v>
          </cell>
          <cell r="H30">
            <v>180</v>
          </cell>
          <cell r="I30">
            <v>41</v>
          </cell>
          <cell r="J30">
            <v>47</v>
          </cell>
          <cell r="K30">
            <v>35</v>
          </cell>
        </row>
        <row r="31">
          <cell r="B31" t="str">
            <v>UTM</v>
          </cell>
          <cell r="C31">
            <v>17</v>
          </cell>
          <cell r="D31">
            <v>364</v>
          </cell>
          <cell r="E31">
            <v>11</v>
          </cell>
          <cell r="F31">
            <v>45</v>
          </cell>
          <cell r="G31">
            <v>20</v>
          </cell>
          <cell r="H31">
            <v>57</v>
          </cell>
          <cell r="I31">
            <v>37</v>
          </cell>
          <cell r="J31">
            <v>61</v>
          </cell>
          <cell r="K31">
            <v>60</v>
          </cell>
        </row>
        <row r="32">
          <cell r="B32" t="str">
            <v>URO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2</v>
          </cell>
          <cell r="K32">
            <v>7</v>
          </cell>
        </row>
        <row r="33">
          <cell r="B33" t="str">
            <v>URY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os AIUE 2019"/>
      <sheetName val="Montos AIUE 2019 Anticipo"/>
      <sheetName val="Categorías"/>
      <sheetName val="Valores"/>
      <sheetName val="Indicadores"/>
      <sheetName val="Publicaciones"/>
      <sheetName val="Acreditación"/>
      <sheetName val="Doctorado JC "/>
      <sheetName val="Programas Doct. Acreditados "/>
      <sheetName val="Académicos JC "/>
      <sheetName val="Matrícula Regular Pr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UCH</v>
          </cell>
          <cell r="C3">
            <v>34</v>
          </cell>
          <cell r="D3">
            <v>3</v>
          </cell>
          <cell r="E3">
            <v>37</v>
          </cell>
        </row>
        <row r="4">
          <cell r="B4" t="str">
            <v>USA</v>
          </cell>
          <cell r="C4">
            <v>11</v>
          </cell>
          <cell r="D4">
            <v>1</v>
          </cell>
          <cell r="E4">
            <v>12</v>
          </cell>
        </row>
        <row r="5">
          <cell r="B5" t="str">
            <v>ANT</v>
          </cell>
          <cell r="C5">
            <v>3</v>
          </cell>
          <cell r="D5">
            <v>0</v>
          </cell>
          <cell r="E5">
            <v>3</v>
          </cell>
        </row>
        <row r="6">
          <cell r="B6" t="str">
            <v>FRO</v>
          </cell>
          <cell r="C6">
            <v>9</v>
          </cell>
          <cell r="D6">
            <v>0</v>
          </cell>
          <cell r="E6">
            <v>9</v>
          </cell>
        </row>
        <row r="7">
          <cell r="B7" t="str">
            <v>TAL</v>
          </cell>
          <cell r="C7">
            <v>7</v>
          </cell>
          <cell r="D7">
            <v>0</v>
          </cell>
          <cell r="E7">
            <v>7</v>
          </cell>
        </row>
        <row r="8">
          <cell r="B8" t="str">
            <v>UTA</v>
          </cell>
          <cell r="C8">
            <v>0</v>
          </cell>
          <cell r="D8">
            <v>0</v>
          </cell>
          <cell r="E8">
            <v>0</v>
          </cell>
        </row>
        <row r="9">
          <cell r="B9" t="str">
            <v>UVA</v>
          </cell>
          <cell r="C9">
            <v>6</v>
          </cell>
          <cell r="D9">
            <v>0</v>
          </cell>
          <cell r="E9">
            <v>6</v>
          </cell>
        </row>
        <row r="10">
          <cell r="B10" t="str">
            <v>UBB</v>
          </cell>
          <cell r="C10">
            <v>2</v>
          </cell>
          <cell r="D10">
            <v>0</v>
          </cell>
          <cell r="E10">
            <v>2</v>
          </cell>
        </row>
        <row r="11">
          <cell r="B11" t="str">
            <v>ULS</v>
          </cell>
          <cell r="C11">
            <v>3</v>
          </cell>
          <cell r="D11">
            <v>1</v>
          </cell>
          <cell r="E11">
            <v>4</v>
          </cell>
        </row>
        <row r="12">
          <cell r="B12" t="str">
            <v>UPA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UAP</v>
          </cell>
          <cell r="C13">
            <v>0</v>
          </cell>
          <cell r="D13">
            <v>0</v>
          </cell>
          <cell r="E13">
            <v>0</v>
          </cell>
        </row>
        <row r="14">
          <cell r="B14" t="str">
            <v>ATA</v>
          </cell>
          <cell r="C14">
            <v>0</v>
          </cell>
          <cell r="D14">
            <v>0</v>
          </cell>
          <cell r="E14">
            <v>0</v>
          </cell>
        </row>
        <row r="15">
          <cell r="B15" t="str">
            <v>ULA</v>
          </cell>
          <cell r="C15">
            <v>1</v>
          </cell>
          <cell r="D15">
            <v>0</v>
          </cell>
          <cell r="E15">
            <v>1</v>
          </cell>
        </row>
        <row r="16">
          <cell r="B16" t="str">
            <v>MAG</v>
          </cell>
          <cell r="C16">
            <v>1</v>
          </cell>
          <cell r="D16">
            <v>0</v>
          </cell>
          <cell r="E16">
            <v>1</v>
          </cell>
        </row>
        <row r="17">
          <cell r="B17" t="str">
            <v>UMC</v>
          </cell>
          <cell r="C17">
            <v>0</v>
          </cell>
          <cell r="D17">
            <v>0</v>
          </cell>
          <cell r="E17">
            <v>0</v>
          </cell>
        </row>
        <row r="18">
          <cell r="B18" t="str">
            <v>UTM</v>
          </cell>
          <cell r="C18">
            <v>0</v>
          </cell>
          <cell r="D18">
            <v>0</v>
          </cell>
          <cell r="E18">
            <v>0</v>
          </cell>
        </row>
        <row r="19">
          <cell r="B19" t="str">
            <v>URO</v>
          </cell>
          <cell r="C19">
            <v>0</v>
          </cell>
          <cell r="D19">
            <v>0</v>
          </cell>
          <cell r="E19">
            <v>0</v>
          </cell>
        </row>
        <row r="20">
          <cell r="B20" t="str">
            <v>URY</v>
          </cell>
          <cell r="C20">
            <v>0</v>
          </cell>
          <cell r="D20">
            <v>0</v>
          </cell>
          <cell r="E20">
            <v>0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 1º año"/>
      <sheetName val="RET 1º año quintil"/>
      <sheetName val="RET DE 3º AÑO "/>
      <sheetName val="RET 3º año quintil"/>
      <sheetName val="Sobreduración"/>
      <sheetName val="Indicador Acad JC con Phd Sexo"/>
    </sheetNames>
    <sheetDataSet>
      <sheetData sheetId="0"/>
      <sheetData sheetId="1">
        <row r="11">
          <cell r="C11" t="str">
            <v>PUC</v>
          </cell>
          <cell r="D11" t="str">
            <v>CRUCH-RPRIVADA</v>
          </cell>
          <cell r="E11">
            <v>0.84737363726461845</v>
          </cell>
          <cell r="F11">
            <v>0.86169386169386164</v>
          </cell>
          <cell r="G11">
            <v>0.88946975354742341</v>
          </cell>
          <cell r="H11">
            <v>0.87060702875399365</v>
          </cell>
          <cell r="I11">
            <v>0.85327164573694647</v>
          </cell>
          <cell r="J11">
            <v>0.8896697118763176</v>
          </cell>
          <cell r="K11">
            <v>1009</v>
          </cell>
          <cell r="L11">
            <v>1287</v>
          </cell>
          <cell r="M11">
            <v>1339</v>
          </cell>
          <cell r="N11">
            <v>1252</v>
          </cell>
          <cell r="O11">
            <v>1513</v>
          </cell>
          <cell r="P11">
            <v>1423</v>
          </cell>
          <cell r="Q11">
            <v>855</v>
          </cell>
          <cell r="R11">
            <v>1109</v>
          </cell>
          <cell r="S11">
            <v>1191</v>
          </cell>
          <cell r="T11">
            <v>1090</v>
          </cell>
          <cell r="U11">
            <v>1291</v>
          </cell>
          <cell r="V11">
            <v>1266</v>
          </cell>
        </row>
        <row r="12">
          <cell r="C12" t="str">
            <v>UCV</v>
          </cell>
          <cell r="D12" t="str">
            <v>CRUCH-RPRIVADA</v>
          </cell>
          <cell r="E12">
            <v>0.7543648404575557</v>
          </cell>
          <cell r="F12">
            <v>0.770096463022508</v>
          </cell>
          <cell r="G12">
            <v>0.79477408818726181</v>
          </cell>
          <cell r="H12">
            <v>0.7972251867662753</v>
          </cell>
          <cell r="I12">
            <v>0.81291989664082687</v>
          </cell>
          <cell r="J12">
            <v>0.82257244534824603</v>
          </cell>
          <cell r="K12">
            <v>1661</v>
          </cell>
          <cell r="L12">
            <v>1866</v>
          </cell>
          <cell r="M12">
            <v>1837</v>
          </cell>
          <cell r="N12">
            <v>1874</v>
          </cell>
          <cell r="O12">
            <v>1935</v>
          </cell>
          <cell r="P12">
            <v>1967</v>
          </cell>
          <cell r="Q12">
            <v>1253</v>
          </cell>
          <cell r="R12">
            <v>1437</v>
          </cell>
          <cell r="S12">
            <v>1460</v>
          </cell>
          <cell r="T12">
            <v>1494</v>
          </cell>
          <cell r="U12">
            <v>1573</v>
          </cell>
          <cell r="V12">
            <v>1618</v>
          </cell>
        </row>
        <row r="13">
          <cell r="C13" t="str">
            <v>UAP</v>
          </cell>
          <cell r="D13" t="str">
            <v>CRUCH-ESTATAL</v>
          </cell>
          <cell r="E13">
            <v>0.76819923371647514</v>
          </cell>
          <cell r="F13">
            <v>0.70471014492753625</v>
          </cell>
          <cell r="G13">
            <v>0.76560121765601219</v>
          </cell>
          <cell r="H13">
            <v>0.7330016583747927</v>
          </cell>
          <cell r="I13">
            <v>0.80030959752321984</v>
          </cell>
          <cell r="J13">
            <v>0.82080924855491333</v>
          </cell>
          <cell r="K13">
            <v>522</v>
          </cell>
          <cell r="L13">
            <v>552</v>
          </cell>
          <cell r="M13">
            <v>657</v>
          </cell>
          <cell r="N13">
            <v>603</v>
          </cell>
          <cell r="O13">
            <v>646</v>
          </cell>
          <cell r="P13">
            <v>692</v>
          </cell>
          <cell r="Q13">
            <v>401</v>
          </cell>
          <cell r="R13">
            <v>389</v>
          </cell>
          <cell r="S13">
            <v>503</v>
          </cell>
          <cell r="T13">
            <v>442</v>
          </cell>
          <cell r="U13">
            <v>517</v>
          </cell>
          <cell r="V13">
            <v>568</v>
          </cell>
        </row>
        <row r="14">
          <cell r="C14" t="str">
            <v>AUS</v>
          </cell>
          <cell r="D14" t="str">
            <v>CRUCH-RPRIVADA</v>
          </cell>
          <cell r="E14">
            <v>0.83512786002691786</v>
          </cell>
          <cell r="F14">
            <v>0.83391812865497073</v>
          </cell>
          <cell r="G14">
            <v>0.82293423271500843</v>
          </cell>
          <cell r="H14">
            <v>0.81638262781748216</v>
          </cell>
          <cell r="I14">
            <v>0.8426423200859291</v>
          </cell>
          <cell r="J14">
            <v>0.86760858189429613</v>
          </cell>
          <cell r="K14">
            <v>1486</v>
          </cell>
          <cell r="L14">
            <v>1710</v>
          </cell>
          <cell r="M14">
            <v>1779</v>
          </cell>
          <cell r="N14">
            <v>1819</v>
          </cell>
          <cell r="O14">
            <v>1862</v>
          </cell>
          <cell r="P14">
            <v>1911</v>
          </cell>
          <cell r="Q14">
            <v>1241</v>
          </cell>
          <cell r="R14">
            <v>1426</v>
          </cell>
          <cell r="S14">
            <v>1464</v>
          </cell>
          <cell r="T14">
            <v>1485</v>
          </cell>
          <cell r="U14">
            <v>1569</v>
          </cell>
          <cell r="V14">
            <v>1658</v>
          </cell>
        </row>
        <row r="15">
          <cell r="C15" t="str">
            <v>USC</v>
          </cell>
          <cell r="D15" t="str">
            <v>CRUCH-RPRIVADA</v>
          </cell>
          <cell r="E15">
            <v>0.84861407249466947</v>
          </cell>
          <cell r="F15">
            <v>0.83166666666666667</v>
          </cell>
          <cell r="G15">
            <v>0.85244755244755244</v>
          </cell>
          <cell r="H15">
            <v>0.83082437275985666</v>
          </cell>
          <cell r="I15">
            <v>0.87304820095044122</v>
          </cell>
          <cell r="J15">
            <v>0.88819007686932216</v>
          </cell>
          <cell r="K15">
            <v>1407</v>
          </cell>
          <cell r="L15">
            <v>1200</v>
          </cell>
          <cell r="M15">
            <v>1430</v>
          </cell>
          <cell r="N15">
            <v>1395</v>
          </cell>
          <cell r="O15">
            <v>1473</v>
          </cell>
          <cell r="P15">
            <v>1431</v>
          </cell>
          <cell r="Q15">
            <v>1194</v>
          </cell>
          <cell r="R15">
            <v>998</v>
          </cell>
          <cell r="S15">
            <v>1219</v>
          </cell>
          <cell r="T15">
            <v>1159</v>
          </cell>
          <cell r="U15">
            <v>1286</v>
          </cell>
          <cell r="V15">
            <v>1271</v>
          </cell>
        </row>
        <row r="16">
          <cell r="C16" t="str">
            <v>UCT</v>
          </cell>
          <cell r="D16" t="str">
            <v>CRUCH-RPRIVADA</v>
          </cell>
          <cell r="E16">
            <v>0.79509493670886078</v>
          </cell>
          <cell r="F16">
            <v>0.82770503101309445</v>
          </cell>
          <cell r="G16">
            <v>0.8500365764447696</v>
          </cell>
          <cell r="H16">
            <v>0.82963446475195823</v>
          </cell>
          <cell r="I16">
            <v>0.80346106304079112</v>
          </cell>
          <cell r="J16">
            <v>0.84224598930481287</v>
          </cell>
          <cell r="K16">
            <v>1264</v>
          </cell>
          <cell r="L16">
            <v>1451</v>
          </cell>
          <cell r="M16">
            <v>1367</v>
          </cell>
          <cell r="N16">
            <v>1532</v>
          </cell>
          <cell r="O16">
            <v>1618</v>
          </cell>
          <cell r="P16">
            <v>1496</v>
          </cell>
          <cell r="Q16">
            <v>1005</v>
          </cell>
          <cell r="R16">
            <v>1201</v>
          </cell>
          <cell r="S16">
            <v>1162</v>
          </cell>
          <cell r="T16">
            <v>1271</v>
          </cell>
          <cell r="U16">
            <v>1300</v>
          </cell>
          <cell r="V16">
            <v>1260</v>
          </cell>
        </row>
        <row r="17">
          <cell r="C17" t="str">
            <v>UCM</v>
          </cell>
          <cell r="D17" t="str">
            <v>CRUCH-RPRIVADA</v>
          </cell>
          <cell r="E17">
            <v>0.91029561671763504</v>
          </cell>
          <cell r="F17">
            <v>0.87061994609164417</v>
          </cell>
          <cell r="G17">
            <v>0.84972170686456405</v>
          </cell>
          <cell r="H17">
            <v>0.8728270814272644</v>
          </cell>
          <cell r="I17">
            <v>0.87611275964391688</v>
          </cell>
          <cell r="J17">
            <v>0.85542168674698793</v>
          </cell>
          <cell r="K17">
            <v>981</v>
          </cell>
          <cell r="L17">
            <v>1113</v>
          </cell>
          <cell r="M17">
            <v>1078</v>
          </cell>
          <cell r="N17">
            <v>1093</v>
          </cell>
          <cell r="O17">
            <v>1348</v>
          </cell>
          <cell r="P17">
            <v>1494</v>
          </cell>
          <cell r="Q17">
            <v>893</v>
          </cell>
          <cell r="R17">
            <v>969</v>
          </cell>
          <cell r="S17">
            <v>916</v>
          </cell>
          <cell r="T17">
            <v>954</v>
          </cell>
          <cell r="U17">
            <v>1181</v>
          </cell>
          <cell r="V17">
            <v>1278</v>
          </cell>
        </row>
        <row r="18">
          <cell r="C18" t="str">
            <v>UCN</v>
          </cell>
          <cell r="D18" t="str">
            <v>CRUCH-RPRIVADA</v>
          </cell>
          <cell r="E18">
            <v>0.78096479791395046</v>
          </cell>
          <cell r="F18">
            <v>0.80990783410138245</v>
          </cell>
          <cell r="G18">
            <v>0.79782608695652169</v>
          </cell>
          <cell r="H18">
            <v>0.8114663726571113</v>
          </cell>
          <cell r="I18">
            <v>0.82690498588899342</v>
          </cell>
          <cell r="J18">
            <v>0.82056074766355136</v>
          </cell>
          <cell r="K18">
            <v>767</v>
          </cell>
          <cell r="L18">
            <v>868</v>
          </cell>
          <cell r="M18">
            <v>920</v>
          </cell>
          <cell r="N18">
            <v>907</v>
          </cell>
          <cell r="O18">
            <v>1063</v>
          </cell>
          <cell r="P18">
            <v>1070</v>
          </cell>
          <cell r="Q18">
            <v>599</v>
          </cell>
          <cell r="R18">
            <v>703</v>
          </cell>
          <cell r="S18">
            <v>734</v>
          </cell>
          <cell r="T18">
            <v>736</v>
          </cell>
          <cell r="U18">
            <v>879</v>
          </cell>
          <cell r="V18">
            <v>878</v>
          </cell>
        </row>
        <row r="19">
          <cell r="C19" t="str">
            <v>ANT</v>
          </cell>
          <cell r="D19" t="str">
            <v>CRUCH-ESTATAL</v>
          </cell>
          <cell r="E19">
            <v>0.86290322580645162</v>
          </cell>
          <cell r="F19">
            <v>0.7960088691796009</v>
          </cell>
          <cell r="G19">
            <v>0.82886597938144335</v>
          </cell>
          <cell r="H19">
            <v>0.81127982646420826</v>
          </cell>
          <cell r="I19">
            <v>0.84375</v>
          </cell>
          <cell r="J19">
            <v>0.85398981324278433</v>
          </cell>
          <cell r="K19">
            <v>372</v>
          </cell>
          <cell r="L19">
            <v>451</v>
          </cell>
          <cell r="M19">
            <v>485</v>
          </cell>
          <cell r="N19">
            <v>461</v>
          </cell>
          <cell r="O19">
            <v>608</v>
          </cell>
          <cell r="P19">
            <v>589</v>
          </cell>
          <cell r="Q19">
            <v>321</v>
          </cell>
          <cell r="R19">
            <v>359</v>
          </cell>
          <cell r="S19">
            <v>402</v>
          </cell>
          <cell r="T19">
            <v>374</v>
          </cell>
          <cell r="U19">
            <v>513</v>
          </cell>
          <cell r="V19">
            <v>503</v>
          </cell>
        </row>
        <row r="20">
          <cell r="C20" t="str">
            <v>ATA</v>
          </cell>
          <cell r="D20" t="str">
            <v>CRUCH-ESTATAL</v>
          </cell>
          <cell r="E20">
            <v>0.78092783505154639</v>
          </cell>
          <cell r="F20">
            <v>0.80110497237569056</v>
          </cell>
          <cell r="G20">
            <v>0.702755905511811</v>
          </cell>
          <cell r="H20">
            <v>0.71803852889667252</v>
          </cell>
          <cell r="I20">
            <v>0.78624813153961137</v>
          </cell>
          <cell r="J20">
            <v>0.80487804878048785</v>
          </cell>
          <cell r="K20">
            <v>388</v>
          </cell>
          <cell r="L20">
            <v>543</v>
          </cell>
          <cell r="M20">
            <v>508</v>
          </cell>
          <cell r="N20">
            <v>571</v>
          </cell>
          <cell r="O20">
            <v>669</v>
          </cell>
          <cell r="P20">
            <v>697</v>
          </cell>
          <cell r="Q20">
            <v>303</v>
          </cell>
          <cell r="R20">
            <v>435</v>
          </cell>
          <cell r="S20">
            <v>357</v>
          </cell>
          <cell r="T20">
            <v>410</v>
          </cell>
          <cell r="U20">
            <v>526</v>
          </cell>
          <cell r="V20">
            <v>561</v>
          </cell>
        </row>
        <row r="21">
          <cell r="C21" t="str">
            <v>URY</v>
          </cell>
          <cell r="D21" t="str">
            <v>CRUCH-ESTATAL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0.828125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64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53</v>
          </cell>
        </row>
        <row r="22">
          <cell r="C22" t="str">
            <v>UCH</v>
          </cell>
          <cell r="D22" t="str">
            <v>CRUCH-ESTATAL</v>
          </cell>
          <cell r="E22">
            <v>0.8477944740668929</v>
          </cell>
          <cell r="F22">
            <v>0.81612627986348119</v>
          </cell>
          <cell r="G22">
            <v>0.83359253499222397</v>
          </cell>
          <cell r="H22">
            <v>0.8236598890942699</v>
          </cell>
          <cell r="I22">
            <v>0.85810095305330036</v>
          </cell>
          <cell r="J22">
            <v>0.88025210084033612</v>
          </cell>
          <cell r="K22">
            <v>2063</v>
          </cell>
          <cell r="L22">
            <v>2344</v>
          </cell>
          <cell r="M22">
            <v>2572</v>
          </cell>
          <cell r="N22">
            <v>2705</v>
          </cell>
          <cell r="O22">
            <v>2833</v>
          </cell>
          <cell r="P22">
            <v>2856</v>
          </cell>
          <cell r="Q22">
            <v>1749</v>
          </cell>
          <cell r="R22">
            <v>1913</v>
          </cell>
          <cell r="S22">
            <v>2144</v>
          </cell>
          <cell r="T22">
            <v>2228</v>
          </cell>
          <cell r="U22">
            <v>2431</v>
          </cell>
          <cell r="V22">
            <v>2514</v>
          </cell>
        </row>
        <row r="23">
          <cell r="C23" t="str">
            <v>UCO</v>
          </cell>
          <cell r="D23" t="str">
            <v>CRUCH-RPRIVADA</v>
          </cell>
          <cell r="E23">
            <v>0.80712530712530717</v>
          </cell>
          <cell r="F23">
            <v>0.80964912280701751</v>
          </cell>
          <cell r="G23">
            <v>0.80102347983142685</v>
          </cell>
          <cell r="H23">
            <v>0.79373288713112256</v>
          </cell>
          <cell r="I23">
            <v>0.81746987951807226</v>
          </cell>
          <cell r="J23">
            <v>0.81030228254164094</v>
          </cell>
          <cell r="K23">
            <v>3256</v>
          </cell>
          <cell r="L23">
            <v>3420</v>
          </cell>
          <cell r="M23">
            <v>3322</v>
          </cell>
          <cell r="N23">
            <v>3287</v>
          </cell>
          <cell r="O23">
            <v>3320</v>
          </cell>
          <cell r="P23">
            <v>3242</v>
          </cell>
          <cell r="Q23">
            <v>2628</v>
          </cell>
          <cell r="R23">
            <v>2769</v>
          </cell>
          <cell r="S23">
            <v>2661</v>
          </cell>
          <cell r="T23">
            <v>2609</v>
          </cell>
          <cell r="U23">
            <v>2714</v>
          </cell>
          <cell r="V23">
            <v>2627</v>
          </cell>
        </row>
        <row r="24">
          <cell r="C24" t="str">
            <v>FRO</v>
          </cell>
          <cell r="D24" t="str">
            <v>CRUCH-ESTATAL</v>
          </cell>
          <cell r="E24">
            <v>0.84544049459041726</v>
          </cell>
          <cell r="F24">
            <v>0.84931506849315064</v>
          </cell>
          <cell r="G24">
            <v>0.84225553176302637</v>
          </cell>
          <cell r="H24">
            <v>0.83884297520661155</v>
          </cell>
          <cell r="I24">
            <v>0.82744565217391308</v>
          </cell>
          <cell r="J24">
            <v>0.84593639575971735</v>
          </cell>
          <cell r="K24">
            <v>1294</v>
          </cell>
          <cell r="L24">
            <v>1314</v>
          </cell>
          <cell r="M24">
            <v>1401</v>
          </cell>
          <cell r="N24">
            <v>1452</v>
          </cell>
          <cell r="O24">
            <v>1472</v>
          </cell>
          <cell r="P24">
            <v>1415</v>
          </cell>
          <cell r="Q24">
            <v>1094</v>
          </cell>
          <cell r="R24">
            <v>1116</v>
          </cell>
          <cell r="S24">
            <v>1180</v>
          </cell>
          <cell r="T24">
            <v>1218</v>
          </cell>
          <cell r="U24">
            <v>1218</v>
          </cell>
          <cell r="V24">
            <v>1197</v>
          </cell>
        </row>
        <row r="25">
          <cell r="C25" t="str">
            <v>ULS</v>
          </cell>
          <cell r="D25" t="str">
            <v>CRUCH-ESTATAL</v>
          </cell>
          <cell r="E25">
            <v>0.82712215320910976</v>
          </cell>
          <cell r="F25">
            <v>0.78452497551420175</v>
          </cell>
          <cell r="G25">
            <v>0.80019398642095052</v>
          </cell>
          <cell r="H25">
            <v>0.78190476190476188</v>
          </cell>
          <cell r="I25">
            <v>0.81910397295012682</v>
          </cell>
          <cell r="J25">
            <v>0.84409052808046936</v>
          </cell>
          <cell r="K25">
            <v>966</v>
          </cell>
          <cell r="L25">
            <v>1021</v>
          </cell>
          <cell r="M25">
            <v>1031</v>
          </cell>
          <cell r="N25">
            <v>1050</v>
          </cell>
          <cell r="O25">
            <v>1183</v>
          </cell>
          <cell r="P25">
            <v>1193</v>
          </cell>
          <cell r="Q25">
            <v>799</v>
          </cell>
          <cell r="R25">
            <v>801</v>
          </cell>
          <cell r="S25">
            <v>825</v>
          </cell>
          <cell r="T25">
            <v>821</v>
          </cell>
          <cell r="U25">
            <v>969</v>
          </cell>
          <cell r="V25">
            <v>1007</v>
          </cell>
        </row>
        <row r="26">
          <cell r="C26" t="str">
            <v>ULA</v>
          </cell>
          <cell r="D26" t="str">
            <v>CRUCH-ESTATAL</v>
          </cell>
          <cell r="E26">
            <v>0.86</v>
          </cell>
          <cell r="F26">
            <v>0.79830508474576267</v>
          </cell>
          <cell r="G26">
            <v>0.81944444444444442</v>
          </cell>
          <cell r="H26">
            <v>0.84582132564841495</v>
          </cell>
          <cell r="I26">
            <v>0.81883194278903459</v>
          </cell>
          <cell r="J26">
            <v>0.81658536585365848</v>
          </cell>
          <cell r="K26">
            <v>500</v>
          </cell>
          <cell r="L26">
            <v>590</v>
          </cell>
          <cell r="M26">
            <v>720</v>
          </cell>
          <cell r="N26">
            <v>694</v>
          </cell>
          <cell r="O26">
            <v>839</v>
          </cell>
          <cell r="P26">
            <v>1025</v>
          </cell>
          <cell r="Q26">
            <v>430</v>
          </cell>
          <cell r="R26">
            <v>471</v>
          </cell>
          <cell r="S26">
            <v>590</v>
          </cell>
          <cell r="T26">
            <v>587</v>
          </cell>
          <cell r="U26">
            <v>687</v>
          </cell>
          <cell r="V26">
            <v>837</v>
          </cell>
        </row>
        <row r="27">
          <cell r="C27" t="str">
            <v>MAG</v>
          </cell>
          <cell r="D27" t="str">
            <v>CRUCH-ESTATAL</v>
          </cell>
          <cell r="E27">
            <v>0.80310880829015541</v>
          </cell>
          <cell r="F27">
            <v>0.83164983164983164</v>
          </cell>
          <cell r="G27">
            <v>0.84722222222222221</v>
          </cell>
          <cell r="H27">
            <v>0.83384615384615379</v>
          </cell>
          <cell r="I27">
            <v>0.77853881278538817</v>
          </cell>
          <cell r="J27">
            <v>0.86396181384248205</v>
          </cell>
          <cell r="K27">
            <v>193</v>
          </cell>
          <cell r="L27">
            <v>297</v>
          </cell>
          <cell r="M27">
            <v>288</v>
          </cell>
          <cell r="N27">
            <v>325</v>
          </cell>
          <cell r="O27">
            <v>438</v>
          </cell>
          <cell r="P27">
            <v>419</v>
          </cell>
          <cell r="Q27">
            <v>155</v>
          </cell>
          <cell r="R27">
            <v>247</v>
          </cell>
          <cell r="S27">
            <v>244</v>
          </cell>
          <cell r="T27">
            <v>271</v>
          </cell>
          <cell r="U27">
            <v>341</v>
          </cell>
          <cell r="V27">
            <v>362</v>
          </cell>
        </row>
        <row r="28">
          <cell r="C28" t="str">
            <v>URO</v>
          </cell>
          <cell r="D28" t="str">
            <v>CRUCH-ESTATAL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0.94163424124513617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257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242</v>
          </cell>
        </row>
        <row r="29">
          <cell r="C29" t="str">
            <v>UPA</v>
          </cell>
          <cell r="D29" t="str">
            <v>CRUCH-ESTATAL</v>
          </cell>
          <cell r="E29">
            <v>0.81666666666666665</v>
          </cell>
          <cell r="F29">
            <v>0.74930362116991645</v>
          </cell>
          <cell r="G29">
            <v>0.77798682972718725</v>
          </cell>
          <cell r="H29">
            <v>0.7624398073836276</v>
          </cell>
          <cell r="I29">
            <v>0.79273504273504269</v>
          </cell>
          <cell r="J29">
            <v>0.82525083612040129</v>
          </cell>
          <cell r="K29">
            <v>1080</v>
          </cell>
          <cell r="L29">
            <v>1077</v>
          </cell>
          <cell r="M29">
            <v>1063</v>
          </cell>
          <cell r="N29">
            <v>1246</v>
          </cell>
          <cell r="O29">
            <v>1404</v>
          </cell>
          <cell r="P29">
            <v>1196</v>
          </cell>
          <cell r="Q29">
            <v>882</v>
          </cell>
          <cell r="R29">
            <v>807</v>
          </cell>
          <cell r="S29">
            <v>827</v>
          </cell>
          <cell r="T29">
            <v>950</v>
          </cell>
          <cell r="U29">
            <v>1113</v>
          </cell>
          <cell r="V29">
            <v>987</v>
          </cell>
        </row>
        <row r="30">
          <cell r="C30" t="str">
            <v>USA</v>
          </cell>
          <cell r="D30" t="str">
            <v>CRUCH-ESTATAL</v>
          </cell>
          <cell r="E30">
            <v>0.83052391799544423</v>
          </cell>
          <cell r="F30">
            <v>0.79829140958709066</v>
          </cell>
          <cell r="G30">
            <v>0.79805534779356768</v>
          </cell>
          <cell r="H30">
            <v>0.76733038348082594</v>
          </cell>
          <cell r="I30">
            <v>0.78453947368421051</v>
          </cell>
          <cell r="J30">
            <v>0.76468238114262888</v>
          </cell>
          <cell r="K30">
            <v>2195</v>
          </cell>
          <cell r="L30">
            <v>2107</v>
          </cell>
          <cell r="M30">
            <v>2674</v>
          </cell>
          <cell r="N30">
            <v>2712</v>
          </cell>
          <cell r="O30">
            <v>2432</v>
          </cell>
          <cell r="P30">
            <v>2503</v>
          </cell>
          <cell r="Q30">
            <v>1823</v>
          </cell>
          <cell r="R30">
            <v>1682</v>
          </cell>
          <cell r="S30">
            <v>2134</v>
          </cell>
          <cell r="T30">
            <v>2081</v>
          </cell>
          <cell r="U30">
            <v>1908</v>
          </cell>
          <cell r="V30">
            <v>1914</v>
          </cell>
        </row>
        <row r="31">
          <cell r="C31" t="str">
            <v>TAL</v>
          </cell>
          <cell r="D31" t="str">
            <v>CRUCH-ESTATAL</v>
          </cell>
          <cell r="E31">
            <v>0.86761229314420807</v>
          </cell>
          <cell r="F31">
            <v>0.87367104440275167</v>
          </cell>
          <cell r="G31">
            <v>0.85970381917381133</v>
          </cell>
          <cell r="H31">
            <v>0.85419847328244269</v>
          </cell>
          <cell r="I31">
            <v>0.84345281638624725</v>
          </cell>
          <cell r="J31">
            <v>0.84394681595521348</v>
          </cell>
          <cell r="K31">
            <v>1269</v>
          </cell>
          <cell r="L31">
            <v>1599</v>
          </cell>
          <cell r="M31">
            <v>1283</v>
          </cell>
          <cell r="N31">
            <v>1310</v>
          </cell>
          <cell r="O31">
            <v>1367</v>
          </cell>
          <cell r="P31">
            <v>1429</v>
          </cell>
          <cell r="Q31">
            <v>1101</v>
          </cell>
          <cell r="R31">
            <v>1397</v>
          </cell>
          <cell r="S31">
            <v>1103</v>
          </cell>
          <cell r="T31">
            <v>1119</v>
          </cell>
          <cell r="U31">
            <v>1153</v>
          </cell>
          <cell r="V31">
            <v>1206</v>
          </cell>
        </row>
        <row r="32">
          <cell r="C32" t="str">
            <v>UTA</v>
          </cell>
          <cell r="D32" t="str">
            <v>CRUCH-ESTATAL</v>
          </cell>
          <cell r="E32">
            <v>0.82424242424242422</v>
          </cell>
          <cell r="F32">
            <v>0.82681017612524466</v>
          </cell>
          <cell r="G32">
            <v>0.81674208144796379</v>
          </cell>
          <cell r="H32">
            <v>0.7957198443579766</v>
          </cell>
          <cell r="I32">
            <v>0.86286201022146503</v>
          </cell>
          <cell r="J32">
            <v>0.84773310521813516</v>
          </cell>
          <cell r="K32">
            <v>990</v>
          </cell>
          <cell r="L32">
            <v>1022</v>
          </cell>
          <cell r="M32">
            <v>884</v>
          </cell>
          <cell r="N32">
            <v>1028</v>
          </cell>
          <cell r="O32">
            <v>1174</v>
          </cell>
          <cell r="P32">
            <v>1169</v>
          </cell>
          <cell r="Q32">
            <v>816</v>
          </cell>
          <cell r="R32">
            <v>845</v>
          </cell>
          <cell r="S32">
            <v>722</v>
          </cell>
          <cell r="T32">
            <v>818</v>
          </cell>
          <cell r="U32">
            <v>1013</v>
          </cell>
          <cell r="V32">
            <v>991</v>
          </cell>
        </row>
        <row r="33">
          <cell r="C33" t="str">
            <v>UVA</v>
          </cell>
          <cell r="D33" t="str">
            <v>CRUCH-ESTATAL</v>
          </cell>
          <cell r="E33">
            <v>0.83260553129548764</v>
          </cell>
          <cell r="F33">
            <v>0.77944214876033058</v>
          </cell>
          <cell r="G33">
            <v>0.80758807588075876</v>
          </cell>
          <cell r="H33">
            <v>0.82109842305600866</v>
          </cell>
          <cell r="I33">
            <v>0.83104041272570939</v>
          </cell>
          <cell r="J33">
            <v>0.82894168466522677</v>
          </cell>
          <cell r="K33">
            <v>2061</v>
          </cell>
          <cell r="L33">
            <v>1936</v>
          </cell>
          <cell r="M33">
            <v>1845</v>
          </cell>
          <cell r="N33">
            <v>1839</v>
          </cell>
          <cell r="O33">
            <v>2326</v>
          </cell>
          <cell r="P33">
            <v>2315</v>
          </cell>
          <cell r="Q33">
            <v>1716</v>
          </cell>
          <cell r="R33">
            <v>1509</v>
          </cell>
          <cell r="S33">
            <v>1490</v>
          </cell>
          <cell r="T33">
            <v>1510</v>
          </cell>
          <cell r="U33">
            <v>1933</v>
          </cell>
          <cell r="V33">
            <v>1919</v>
          </cell>
        </row>
        <row r="34">
          <cell r="C34" t="str">
            <v>UBB</v>
          </cell>
          <cell r="D34" t="str">
            <v>CRUCH-ESTATAL</v>
          </cell>
          <cell r="E34">
            <v>0.89221556886227549</v>
          </cell>
          <cell r="F34">
            <v>0.8666666666666667</v>
          </cell>
          <cell r="G34">
            <v>0.84814398200224972</v>
          </cell>
          <cell r="H34">
            <v>0.83269961977186313</v>
          </cell>
          <cell r="I34">
            <v>0.86920529801324509</v>
          </cell>
          <cell r="J34">
            <v>0.85048231511254024</v>
          </cell>
          <cell r="K34">
            <v>1670</v>
          </cell>
          <cell r="L34">
            <v>1875</v>
          </cell>
          <cell r="M34">
            <v>1778</v>
          </cell>
          <cell r="N34">
            <v>1841</v>
          </cell>
          <cell r="O34">
            <v>1812</v>
          </cell>
          <cell r="P34">
            <v>1866</v>
          </cell>
          <cell r="Q34">
            <v>1490</v>
          </cell>
          <cell r="R34">
            <v>1625</v>
          </cell>
          <cell r="S34">
            <v>1508</v>
          </cell>
          <cell r="T34">
            <v>1533</v>
          </cell>
          <cell r="U34">
            <v>1575</v>
          </cell>
          <cell r="V34">
            <v>1587</v>
          </cell>
        </row>
        <row r="35">
          <cell r="C35" t="str">
            <v>UMC</v>
          </cell>
          <cell r="D35" t="str">
            <v>CRUCH-ESTATAL</v>
          </cell>
          <cell r="E35">
            <v>0.81832298136645965</v>
          </cell>
          <cell r="F35">
            <v>0.79972565157750342</v>
          </cell>
          <cell r="G35">
            <v>0.82492581602373882</v>
          </cell>
          <cell r="H35">
            <v>0.80437580437580436</v>
          </cell>
          <cell r="I35">
            <v>0.8323943661971831</v>
          </cell>
          <cell r="J35">
            <v>0.86486486486486491</v>
          </cell>
          <cell r="K35">
            <v>644</v>
          </cell>
          <cell r="L35">
            <v>729</v>
          </cell>
          <cell r="M35">
            <v>674</v>
          </cell>
          <cell r="N35">
            <v>777</v>
          </cell>
          <cell r="O35">
            <v>710</v>
          </cell>
          <cell r="P35">
            <v>703</v>
          </cell>
          <cell r="Q35">
            <v>527</v>
          </cell>
          <cell r="R35">
            <v>583</v>
          </cell>
          <cell r="S35">
            <v>556</v>
          </cell>
          <cell r="T35">
            <v>625</v>
          </cell>
          <cell r="U35">
            <v>591</v>
          </cell>
          <cell r="V35">
            <v>608</v>
          </cell>
        </row>
        <row r="36">
          <cell r="C36" t="str">
            <v>FSM</v>
          </cell>
          <cell r="D36" t="str">
            <v>CRUCH-RPRIVADA</v>
          </cell>
          <cell r="E36">
            <v>0.8291814946619217</v>
          </cell>
          <cell r="F36">
            <v>0.82728272827282723</v>
          </cell>
          <cell r="G36">
            <v>0.78609062170706001</v>
          </cell>
          <cell r="H36">
            <v>0.81428571428571428</v>
          </cell>
          <cell r="I36">
            <v>0.7754716981132076</v>
          </cell>
          <cell r="J36">
            <v>0.81741573033707871</v>
          </cell>
          <cell r="K36">
            <v>843</v>
          </cell>
          <cell r="L36">
            <v>909</v>
          </cell>
          <cell r="M36">
            <v>949</v>
          </cell>
          <cell r="N36">
            <v>910</v>
          </cell>
          <cell r="O36">
            <v>1060</v>
          </cell>
          <cell r="P36">
            <v>1068</v>
          </cell>
          <cell r="Q36">
            <v>699</v>
          </cell>
          <cell r="R36">
            <v>752</v>
          </cell>
          <cell r="S36">
            <v>746</v>
          </cell>
          <cell r="T36">
            <v>741</v>
          </cell>
          <cell r="U36">
            <v>822</v>
          </cell>
          <cell r="V36">
            <v>873</v>
          </cell>
        </row>
        <row r="37">
          <cell r="C37" t="str">
            <v>UTM</v>
          </cell>
          <cell r="D37" t="str">
            <v>CRUCH-ESTATAL</v>
          </cell>
          <cell r="E37">
            <v>0.73878627968337729</v>
          </cell>
          <cell r="F37">
            <v>0.75419847328244272</v>
          </cell>
          <cell r="G37">
            <v>0.80700500357398142</v>
          </cell>
          <cell r="H37">
            <v>0.81132075471698117</v>
          </cell>
          <cell r="I37">
            <v>0.76187683284457475</v>
          </cell>
          <cell r="J37">
            <v>0.82642487046632129</v>
          </cell>
          <cell r="K37">
            <v>1137</v>
          </cell>
          <cell r="L37">
            <v>1310</v>
          </cell>
          <cell r="M37">
            <v>1399</v>
          </cell>
          <cell r="N37">
            <v>1537</v>
          </cell>
          <cell r="O37">
            <v>1705</v>
          </cell>
          <cell r="P37">
            <v>1544</v>
          </cell>
          <cell r="Q37">
            <v>840</v>
          </cell>
          <cell r="R37">
            <v>988</v>
          </cell>
          <cell r="S37">
            <v>1129</v>
          </cell>
          <cell r="T37">
            <v>1247</v>
          </cell>
          <cell r="U37">
            <v>1299</v>
          </cell>
          <cell r="V37">
            <v>1276</v>
          </cell>
        </row>
      </sheetData>
      <sheetData sheetId="2">
        <row r="10">
          <cell r="C10" t="str">
            <v>PUC</v>
          </cell>
          <cell r="D10" t="str">
            <v>CRUCH-PRIVADA</v>
          </cell>
          <cell r="E10">
            <v>0.77154356060606055</v>
          </cell>
          <cell r="F10">
            <v>0.76631330977620726</v>
          </cell>
          <cell r="G10">
            <v>0.74095895977245019</v>
          </cell>
          <cell r="H10">
            <v>0.75014403687343956</v>
          </cell>
          <cell r="I10">
            <v>0.75529457065845207</v>
          </cell>
          <cell r="J10">
            <v>0.75730550284629983</v>
          </cell>
          <cell r="K10">
            <v>4224</v>
          </cell>
          <cell r="L10">
            <v>4245</v>
          </cell>
          <cell r="M10">
            <v>4922</v>
          </cell>
          <cell r="N10">
            <v>5207</v>
          </cell>
          <cell r="O10">
            <v>5194</v>
          </cell>
          <cell r="P10">
            <v>5270</v>
          </cell>
          <cell r="Q10">
            <v>3259</v>
          </cell>
          <cell r="R10">
            <v>3253</v>
          </cell>
          <cell r="S10">
            <v>3647</v>
          </cell>
          <cell r="T10">
            <v>3906</v>
          </cell>
          <cell r="U10">
            <v>3923</v>
          </cell>
          <cell r="V10">
            <v>3991</v>
          </cell>
        </row>
        <row r="11">
          <cell r="C11" t="str">
            <v>UCV</v>
          </cell>
          <cell r="D11" t="str">
            <v>CRUCH-PRIVADA</v>
          </cell>
          <cell r="E11">
            <v>0.59691998660863743</v>
          </cell>
          <cell r="F11">
            <v>0.5578813828100222</v>
          </cell>
          <cell r="G11">
            <v>0.57996661101836389</v>
          </cell>
          <cell r="H11">
            <v>0.57053682896379521</v>
          </cell>
          <cell r="I11">
            <v>0.60974086793630966</v>
          </cell>
          <cell r="J11">
            <v>0.65</v>
          </cell>
          <cell r="K11">
            <v>2987</v>
          </cell>
          <cell r="L11">
            <v>3153</v>
          </cell>
          <cell r="M11">
            <v>2995</v>
          </cell>
          <cell r="N11">
            <v>3204</v>
          </cell>
          <cell r="O11">
            <v>3203</v>
          </cell>
          <cell r="P11">
            <v>3180</v>
          </cell>
          <cell r="Q11">
            <v>1783</v>
          </cell>
          <cell r="R11">
            <v>1759</v>
          </cell>
          <cell r="S11">
            <v>1737</v>
          </cell>
          <cell r="T11">
            <v>1828</v>
          </cell>
          <cell r="U11">
            <v>1953</v>
          </cell>
          <cell r="V11">
            <v>2067</v>
          </cell>
        </row>
        <row r="12">
          <cell r="C12" t="str">
            <v>UAP</v>
          </cell>
          <cell r="D12" t="str">
            <v>CRUCH-ESTATAL</v>
          </cell>
          <cell r="E12">
            <v>0.52417061611374405</v>
          </cell>
          <cell r="F12">
            <v>0.48810656517602286</v>
          </cell>
          <cell r="G12">
            <v>0.5701402805611222</v>
          </cell>
          <cell r="H12">
            <v>0.5826446280991735</v>
          </cell>
          <cell r="I12">
            <v>0.62112403100775193</v>
          </cell>
          <cell r="J12">
            <v>0.57729729729729728</v>
          </cell>
          <cell r="K12">
            <v>1055</v>
          </cell>
          <cell r="L12">
            <v>1051</v>
          </cell>
          <cell r="M12">
            <v>998</v>
          </cell>
          <cell r="N12">
            <v>968</v>
          </cell>
          <cell r="O12">
            <v>1032</v>
          </cell>
          <cell r="P12">
            <v>925</v>
          </cell>
          <cell r="Q12">
            <v>553</v>
          </cell>
          <cell r="R12">
            <v>513</v>
          </cell>
          <cell r="S12">
            <v>569</v>
          </cell>
          <cell r="T12">
            <v>564</v>
          </cell>
          <cell r="U12">
            <v>641</v>
          </cell>
          <cell r="V12">
            <v>534</v>
          </cell>
        </row>
        <row r="13">
          <cell r="C13" t="str">
            <v>AUS</v>
          </cell>
          <cell r="D13" t="str">
            <v>CRUCH-PRIVADA</v>
          </cell>
          <cell r="E13">
            <v>0.63734076433121023</v>
          </cell>
          <cell r="F13">
            <v>0.63039253789350957</v>
          </cell>
          <cell r="G13">
            <v>0.62969211303247574</v>
          </cell>
          <cell r="H13">
            <v>0.66172656539459063</v>
          </cell>
          <cell r="I13">
            <v>0.67527272727272725</v>
          </cell>
          <cell r="J13">
            <v>0.67984869325997244</v>
          </cell>
          <cell r="K13">
            <v>2512</v>
          </cell>
          <cell r="L13">
            <v>2573</v>
          </cell>
          <cell r="M13">
            <v>2371</v>
          </cell>
          <cell r="N13">
            <v>2699</v>
          </cell>
          <cell r="O13">
            <v>2750</v>
          </cell>
          <cell r="P13">
            <v>2908</v>
          </cell>
          <cell r="Q13">
            <v>1601</v>
          </cell>
          <cell r="R13">
            <v>1622</v>
          </cell>
          <cell r="S13">
            <v>1493</v>
          </cell>
          <cell r="T13">
            <v>1786</v>
          </cell>
          <cell r="U13">
            <v>1857</v>
          </cell>
          <cell r="V13">
            <v>1977</v>
          </cell>
        </row>
        <row r="14">
          <cell r="C14" t="str">
            <v>USC</v>
          </cell>
          <cell r="D14" t="str">
            <v>CRUCH-PRIVADA</v>
          </cell>
          <cell r="E14">
            <v>0.72203579418344521</v>
          </cell>
          <cell r="F14">
            <v>0.68609125893347989</v>
          </cell>
          <cell r="G14">
            <v>0.68763326226012789</v>
          </cell>
          <cell r="H14">
            <v>0.70404777704047772</v>
          </cell>
          <cell r="I14">
            <v>0.70962099125364431</v>
          </cell>
          <cell r="J14">
            <v>0.72696629213483144</v>
          </cell>
          <cell r="K14">
            <v>1788</v>
          </cell>
          <cell r="L14">
            <v>1819</v>
          </cell>
          <cell r="M14">
            <v>1876</v>
          </cell>
          <cell r="N14">
            <v>1507</v>
          </cell>
          <cell r="O14">
            <v>1715</v>
          </cell>
          <cell r="P14">
            <v>1780</v>
          </cell>
          <cell r="Q14">
            <v>1291</v>
          </cell>
          <cell r="R14">
            <v>1248</v>
          </cell>
          <cell r="S14">
            <v>1290</v>
          </cell>
          <cell r="T14">
            <v>1061</v>
          </cell>
          <cell r="U14">
            <v>1217</v>
          </cell>
          <cell r="V14">
            <v>1294</v>
          </cell>
        </row>
        <row r="15">
          <cell r="C15" t="str">
            <v>UCT</v>
          </cell>
          <cell r="D15" t="str">
            <v>CRUCH-PRIVADA</v>
          </cell>
          <cell r="E15">
            <v>0.56772334293948123</v>
          </cell>
          <cell r="F15">
            <v>0.58519900497512434</v>
          </cell>
          <cell r="G15">
            <v>0.63934426229508201</v>
          </cell>
          <cell r="H15">
            <v>0.65571975916803504</v>
          </cell>
          <cell r="I15">
            <v>0.67000589275191513</v>
          </cell>
          <cell r="J15">
            <v>0.66531322505800461</v>
          </cell>
          <cell r="K15">
            <v>1735</v>
          </cell>
          <cell r="L15">
            <v>1608</v>
          </cell>
          <cell r="M15">
            <v>1647</v>
          </cell>
          <cell r="N15">
            <v>1827</v>
          </cell>
          <cell r="O15">
            <v>1697</v>
          </cell>
          <cell r="P15">
            <v>1724</v>
          </cell>
          <cell r="Q15">
            <v>985</v>
          </cell>
          <cell r="R15">
            <v>941</v>
          </cell>
          <cell r="S15">
            <v>1053</v>
          </cell>
          <cell r="T15">
            <v>1198</v>
          </cell>
          <cell r="U15">
            <v>1137</v>
          </cell>
          <cell r="V15">
            <v>1147</v>
          </cell>
        </row>
        <row r="16">
          <cell r="C16" t="str">
            <v>UCM</v>
          </cell>
          <cell r="D16" t="str">
            <v>CRUCH-PRIVADA</v>
          </cell>
          <cell r="E16">
            <v>0.80956678700361007</v>
          </cell>
          <cell r="F16">
            <v>0.75880971025841815</v>
          </cell>
          <cell r="G16">
            <v>0.77064220183486243</v>
          </cell>
          <cell r="H16">
            <v>0.73314993122420913</v>
          </cell>
          <cell r="I16">
            <v>0.72841328413284134</v>
          </cell>
          <cell r="J16">
            <v>0.77353149327671622</v>
          </cell>
          <cell r="K16">
            <v>1108</v>
          </cell>
          <cell r="L16">
            <v>1277</v>
          </cell>
          <cell r="M16">
            <v>1308</v>
          </cell>
          <cell r="N16">
            <v>1454</v>
          </cell>
          <cell r="O16">
            <v>1355</v>
          </cell>
          <cell r="P16">
            <v>1413</v>
          </cell>
          <cell r="Q16">
            <v>897</v>
          </cell>
          <cell r="R16">
            <v>969</v>
          </cell>
          <cell r="S16">
            <v>1008</v>
          </cell>
          <cell r="T16">
            <v>1066</v>
          </cell>
          <cell r="U16">
            <v>987</v>
          </cell>
          <cell r="V16">
            <v>1093</v>
          </cell>
        </row>
        <row r="17">
          <cell r="C17" t="str">
            <v>UCN</v>
          </cell>
          <cell r="D17" t="str">
            <v>CRUCH-PRIVADA</v>
          </cell>
          <cell r="E17">
            <v>0.64413722478238611</v>
          </cell>
          <cell r="F17">
            <v>0.58383727322704781</v>
          </cell>
          <cell r="G17">
            <v>0.64928366762177647</v>
          </cell>
          <cell r="H17">
            <v>0.65508298755186722</v>
          </cell>
          <cell r="I17">
            <v>0.65231259968102073</v>
          </cell>
          <cell r="J17">
            <v>0.56695741405849154</v>
          </cell>
          <cell r="K17">
            <v>1953</v>
          </cell>
          <cell r="L17">
            <v>1819</v>
          </cell>
          <cell r="M17">
            <v>1745</v>
          </cell>
          <cell r="N17">
            <v>1928</v>
          </cell>
          <cell r="O17">
            <v>1881</v>
          </cell>
          <cell r="P17">
            <v>1949</v>
          </cell>
          <cell r="Q17">
            <v>1258</v>
          </cell>
          <cell r="R17">
            <v>1062</v>
          </cell>
          <cell r="S17">
            <v>1133</v>
          </cell>
          <cell r="T17">
            <v>1263</v>
          </cell>
          <cell r="U17">
            <v>1227</v>
          </cell>
          <cell r="V17">
            <v>1105</v>
          </cell>
        </row>
        <row r="18">
          <cell r="C18" t="str">
            <v>ANT</v>
          </cell>
          <cell r="D18" t="str">
            <v>CRUCH-ESTATAL</v>
          </cell>
          <cell r="E18">
            <v>0.65701559020044542</v>
          </cell>
          <cell r="F18">
            <v>0.66585067319461444</v>
          </cell>
          <cell r="G18">
            <v>0.68436873747494986</v>
          </cell>
          <cell r="H18">
            <v>0.61865189289012001</v>
          </cell>
          <cell r="I18">
            <v>0.66579177602799655</v>
          </cell>
          <cell r="J18">
            <v>0.65164644714038134</v>
          </cell>
          <cell r="K18">
            <v>898</v>
          </cell>
          <cell r="L18">
            <v>817</v>
          </cell>
          <cell r="M18">
            <v>998</v>
          </cell>
          <cell r="N18">
            <v>1083</v>
          </cell>
          <cell r="O18">
            <v>1143</v>
          </cell>
          <cell r="P18">
            <v>1154</v>
          </cell>
          <cell r="Q18">
            <v>590</v>
          </cell>
          <cell r="R18">
            <v>544</v>
          </cell>
          <cell r="S18">
            <v>683</v>
          </cell>
          <cell r="T18">
            <v>670</v>
          </cell>
          <cell r="U18">
            <v>761</v>
          </cell>
          <cell r="V18">
            <v>752</v>
          </cell>
        </row>
        <row r="19">
          <cell r="C19" t="str">
            <v>ATA</v>
          </cell>
          <cell r="D19" t="str">
            <v>CRUCH-ESTATAL</v>
          </cell>
          <cell r="E19">
            <v>0.50513950073421443</v>
          </cell>
          <cell r="F19">
            <v>0.51892744479495267</v>
          </cell>
          <cell r="G19">
            <v>0.44314868804664725</v>
          </cell>
          <cell r="H19">
            <v>0.52705410821643284</v>
          </cell>
          <cell r="I19">
            <v>0.53543307086614178</v>
          </cell>
          <cell r="J19">
            <v>0.5810276679841897</v>
          </cell>
          <cell r="K19">
            <v>681</v>
          </cell>
          <cell r="L19">
            <v>634</v>
          </cell>
          <cell r="M19">
            <v>686</v>
          </cell>
          <cell r="N19">
            <v>998</v>
          </cell>
          <cell r="O19">
            <v>1016</v>
          </cell>
          <cell r="P19">
            <v>1012</v>
          </cell>
          <cell r="Q19">
            <v>344</v>
          </cell>
          <cell r="R19">
            <v>329</v>
          </cell>
          <cell r="S19">
            <v>304</v>
          </cell>
          <cell r="T19">
            <v>526</v>
          </cell>
          <cell r="U19">
            <v>544</v>
          </cell>
          <cell r="V19">
            <v>588</v>
          </cell>
        </row>
        <row r="20">
          <cell r="C20" t="str">
            <v>URY</v>
          </cell>
          <cell r="D20" t="str">
            <v>CRUCH-ESTATAL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 t="str">
            <v>UCH</v>
          </cell>
          <cell r="D21" t="str">
            <v>CRUCH-ESTATAL</v>
          </cell>
          <cell r="E21">
            <v>0.68979980934223073</v>
          </cell>
          <cell r="F21">
            <v>0.70239198961616911</v>
          </cell>
          <cell r="G21">
            <v>0.71343045300339258</v>
          </cell>
          <cell r="H21">
            <v>0.72421652421652427</v>
          </cell>
          <cell r="I21">
            <v>0.73257061136932422</v>
          </cell>
          <cell r="J21">
            <v>0.71918743598497781</v>
          </cell>
          <cell r="K21">
            <v>5245</v>
          </cell>
          <cell r="L21">
            <v>5393</v>
          </cell>
          <cell r="M21">
            <v>5011</v>
          </cell>
          <cell r="N21">
            <v>5265</v>
          </cell>
          <cell r="O21">
            <v>5594</v>
          </cell>
          <cell r="P21">
            <v>5858</v>
          </cell>
          <cell r="Q21">
            <v>3618</v>
          </cell>
          <cell r="R21">
            <v>3788</v>
          </cell>
          <cell r="S21">
            <v>3575</v>
          </cell>
          <cell r="T21">
            <v>3813</v>
          </cell>
          <cell r="U21">
            <v>4098</v>
          </cell>
          <cell r="V21">
            <v>4213</v>
          </cell>
        </row>
        <row r="22">
          <cell r="C22" t="str">
            <v>UCO</v>
          </cell>
          <cell r="D22" t="str">
            <v>CRUCH-PRIVADA</v>
          </cell>
          <cell r="E22">
            <v>0.65969345484672748</v>
          </cell>
          <cell r="F22">
            <v>0.65565736202855318</v>
          </cell>
          <cell r="G22">
            <v>0.65961497778718003</v>
          </cell>
          <cell r="H22">
            <v>0.67094188376753505</v>
          </cell>
          <cell r="I22">
            <v>0.65908124202467033</v>
          </cell>
          <cell r="J22">
            <v>0.66556632968846707</v>
          </cell>
          <cell r="K22">
            <v>4828</v>
          </cell>
          <cell r="L22">
            <v>4693</v>
          </cell>
          <cell r="M22">
            <v>4727</v>
          </cell>
          <cell r="N22">
            <v>4990</v>
          </cell>
          <cell r="O22">
            <v>4702</v>
          </cell>
          <cell r="P22">
            <v>4847</v>
          </cell>
          <cell r="Q22">
            <v>3185</v>
          </cell>
          <cell r="R22">
            <v>3077</v>
          </cell>
          <cell r="S22">
            <v>3118</v>
          </cell>
          <cell r="T22">
            <v>3348</v>
          </cell>
          <cell r="U22">
            <v>3099</v>
          </cell>
          <cell r="V22">
            <v>3226</v>
          </cell>
        </row>
        <row r="23">
          <cell r="C23" t="str">
            <v>FRO</v>
          </cell>
          <cell r="D23" t="str">
            <v>CRUCH-ESTATAL</v>
          </cell>
          <cell r="E23">
            <v>0.66843220338983056</v>
          </cell>
          <cell r="F23">
            <v>0.64093959731543626</v>
          </cell>
          <cell r="G23">
            <v>0.66393022062596208</v>
          </cell>
          <cell r="H23">
            <v>0.63789581205311541</v>
          </cell>
          <cell r="I23">
            <v>0.63506355932203384</v>
          </cell>
          <cell r="J23">
            <v>0.63591756624141316</v>
          </cell>
          <cell r="K23">
            <v>1888</v>
          </cell>
          <cell r="L23">
            <v>1788</v>
          </cell>
          <cell r="M23">
            <v>1949</v>
          </cell>
          <cell r="N23">
            <v>1958</v>
          </cell>
          <cell r="O23">
            <v>1888</v>
          </cell>
          <cell r="P23">
            <v>2038</v>
          </cell>
          <cell r="Q23">
            <v>1262</v>
          </cell>
          <cell r="R23">
            <v>1146</v>
          </cell>
          <cell r="S23">
            <v>1294</v>
          </cell>
          <cell r="T23">
            <v>1249</v>
          </cell>
          <cell r="U23">
            <v>1199</v>
          </cell>
          <cell r="V23">
            <v>1296</v>
          </cell>
        </row>
        <row r="24">
          <cell r="C24" t="str">
            <v>ULS</v>
          </cell>
          <cell r="D24" t="str">
            <v>CRUCH-ESTATAL</v>
          </cell>
          <cell r="E24">
            <v>0.61448140900195691</v>
          </cell>
          <cell r="F24">
            <v>0.58439811701412236</v>
          </cell>
          <cell r="G24">
            <v>0.61419354838709672</v>
          </cell>
          <cell r="H24">
            <v>0.59616573902288184</v>
          </cell>
          <cell r="I24">
            <v>0.60672703751617074</v>
          </cell>
          <cell r="J24">
            <v>0.59270704573547595</v>
          </cell>
          <cell r="K24">
            <v>1533</v>
          </cell>
          <cell r="L24">
            <v>1487</v>
          </cell>
          <cell r="M24">
            <v>1550</v>
          </cell>
          <cell r="N24">
            <v>1617</v>
          </cell>
          <cell r="O24">
            <v>1546</v>
          </cell>
          <cell r="P24">
            <v>1618</v>
          </cell>
          <cell r="Q24">
            <v>942</v>
          </cell>
          <cell r="R24">
            <v>869</v>
          </cell>
          <cell r="S24">
            <v>952</v>
          </cell>
          <cell r="T24">
            <v>964</v>
          </cell>
          <cell r="U24">
            <v>938</v>
          </cell>
          <cell r="V24">
            <v>959</v>
          </cell>
        </row>
        <row r="25">
          <cell r="C25" t="str">
            <v>ULA</v>
          </cell>
          <cell r="D25" t="str">
            <v>CRUCH-ESTATAL</v>
          </cell>
          <cell r="E25">
            <v>0.62425149700598803</v>
          </cell>
          <cell r="F25">
            <v>0.61742424242424243</v>
          </cell>
          <cell r="G25">
            <v>0.66614664586583461</v>
          </cell>
          <cell r="H25">
            <v>0.60699865410497977</v>
          </cell>
          <cell r="I25">
            <v>0.62669683257918551</v>
          </cell>
          <cell r="J25">
            <v>0.64565992865636146</v>
          </cell>
          <cell r="K25">
            <v>668</v>
          </cell>
          <cell r="L25">
            <v>792</v>
          </cell>
          <cell r="M25">
            <v>641</v>
          </cell>
          <cell r="N25">
            <v>743</v>
          </cell>
          <cell r="O25">
            <v>884</v>
          </cell>
          <cell r="P25">
            <v>841</v>
          </cell>
          <cell r="Q25">
            <v>417</v>
          </cell>
          <cell r="R25">
            <v>489</v>
          </cell>
          <cell r="S25">
            <v>427</v>
          </cell>
          <cell r="T25">
            <v>451</v>
          </cell>
          <cell r="U25">
            <v>554</v>
          </cell>
          <cell r="V25">
            <v>543</v>
          </cell>
        </row>
        <row r="26">
          <cell r="C26" t="str">
            <v>MAG</v>
          </cell>
          <cell r="D26" t="str">
            <v>CRUCH-ESTATAL</v>
          </cell>
          <cell r="E26">
            <v>0.60493827160493829</v>
          </cell>
          <cell r="F26">
            <v>0.63779527559055116</v>
          </cell>
          <cell r="G26">
            <v>0.63452914798206284</v>
          </cell>
          <cell r="H26">
            <v>0.59834710743801656</v>
          </cell>
          <cell r="I26">
            <v>0.67799642218246869</v>
          </cell>
          <cell r="J26">
            <v>0.6107784431137725</v>
          </cell>
          <cell r="K26">
            <v>648</v>
          </cell>
          <cell r="L26">
            <v>508</v>
          </cell>
          <cell r="M26">
            <v>446</v>
          </cell>
          <cell r="N26">
            <v>605</v>
          </cell>
          <cell r="O26">
            <v>559</v>
          </cell>
          <cell r="P26">
            <v>668</v>
          </cell>
          <cell r="Q26">
            <v>392</v>
          </cell>
          <cell r="R26">
            <v>324</v>
          </cell>
          <cell r="S26">
            <v>283</v>
          </cell>
          <cell r="T26">
            <v>362</v>
          </cell>
          <cell r="U26">
            <v>379</v>
          </cell>
          <cell r="V26">
            <v>408</v>
          </cell>
        </row>
        <row r="27">
          <cell r="C27" t="str">
            <v>URO</v>
          </cell>
          <cell r="D27" t="str">
            <v>CRUCH-ESTATAL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UPA</v>
          </cell>
          <cell r="D28" t="str">
            <v>CRUCH-ESTATAL</v>
          </cell>
          <cell r="E28">
            <v>0.64087193460490466</v>
          </cell>
          <cell r="F28">
            <v>0.59954751131221717</v>
          </cell>
          <cell r="G28">
            <v>0.59619306594153632</v>
          </cell>
          <cell r="H28">
            <v>0.55097765363128492</v>
          </cell>
          <cell r="I28">
            <v>0.59623430962343094</v>
          </cell>
          <cell r="J28">
            <v>0.64819136522753795</v>
          </cell>
          <cell r="K28">
            <v>1835</v>
          </cell>
          <cell r="L28">
            <v>1768</v>
          </cell>
          <cell r="M28">
            <v>1471</v>
          </cell>
          <cell r="N28">
            <v>1432</v>
          </cell>
          <cell r="O28">
            <v>1434</v>
          </cell>
          <cell r="P28">
            <v>1714</v>
          </cell>
          <cell r="Q28">
            <v>1176</v>
          </cell>
          <cell r="R28">
            <v>1060</v>
          </cell>
          <cell r="S28">
            <v>877</v>
          </cell>
          <cell r="T28">
            <v>789</v>
          </cell>
          <cell r="U28">
            <v>855</v>
          </cell>
          <cell r="V28">
            <v>1111</v>
          </cell>
        </row>
        <row r="29">
          <cell r="C29" t="str">
            <v>USA</v>
          </cell>
          <cell r="D29" t="str">
            <v>CRUCH-ESTATAL</v>
          </cell>
          <cell r="E29">
            <v>0.68065573770491805</v>
          </cell>
          <cell r="F29">
            <v>0.55658682634730539</v>
          </cell>
          <cell r="G29">
            <v>0.62788823213326173</v>
          </cell>
          <cell r="H29">
            <v>0.61633663366336633</v>
          </cell>
          <cell r="I29">
            <v>0.5958289334741288</v>
          </cell>
          <cell r="J29">
            <v>0.58877786318216752</v>
          </cell>
          <cell r="K29">
            <v>3050</v>
          </cell>
          <cell r="L29">
            <v>3340</v>
          </cell>
          <cell r="M29">
            <v>3722</v>
          </cell>
          <cell r="N29">
            <v>3232</v>
          </cell>
          <cell r="O29">
            <v>3788</v>
          </cell>
          <cell r="P29">
            <v>3903</v>
          </cell>
          <cell r="Q29">
            <v>2076</v>
          </cell>
          <cell r="R29">
            <v>1859</v>
          </cell>
          <cell r="S29">
            <v>2337</v>
          </cell>
          <cell r="T29">
            <v>1992</v>
          </cell>
          <cell r="U29">
            <v>2257</v>
          </cell>
          <cell r="V29">
            <v>2298</v>
          </cell>
        </row>
        <row r="30">
          <cell r="C30" t="str">
            <v>TAL</v>
          </cell>
          <cell r="D30" t="str">
            <v>CRUCH-ESTATAL</v>
          </cell>
          <cell r="E30">
            <v>0.7556596409055425</v>
          </cell>
          <cell r="F30">
            <v>0.70656370656370659</v>
          </cell>
          <cell r="G30">
            <v>0.70518602029312294</v>
          </cell>
          <cell r="H30">
            <v>0.71880733944954134</v>
          </cell>
          <cell r="I30">
            <v>0.7183908045977011</v>
          </cell>
          <cell r="J30">
            <v>0.74460043196544279</v>
          </cell>
          <cell r="K30">
            <v>1281</v>
          </cell>
          <cell r="L30">
            <v>1295</v>
          </cell>
          <cell r="M30">
            <v>1774</v>
          </cell>
          <cell r="N30">
            <v>2180</v>
          </cell>
          <cell r="O30">
            <v>1740</v>
          </cell>
          <cell r="P30">
            <v>1852</v>
          </cell>
          <cell r="Q30">
            <v>968</v>
          </cell>
          <cell r="R30">
            <v>915</v>
          </cell>
          <cell r="S30">
            <v>1251</v>
          </cell>
          <cell r="T30">
            <v>1567</v>
          </cell>
          <cell r="U30">
            <v>1250</v>
          </cell>
          <cell r="V30">
            <v>1379</v>
          </cell>
        </row>
        <row r="31">
          <cell r="C31" t="str">
            <v>UTA</v>
          </cell>
          <cell r="D31" t="str">
            <v>CRUCH-ESTATAL</v>
          </cell>
          <cell r="E31">
            <v>0.59766963673749141</v>
          </cell>
          <cell r="F31">
            <v>0.63847203274215547</v>
          </cell>
          <cell r="G31">
            <v>0.70169491525423733</v>
          </cell>
          <cell r="H31">
            <v>0.63040629095674972</v>
          </cell>
          <cell r="I31">
            <v>0.62819519752130126</v>
          </cell>
          <cell r="J31">
            <v>0.61081081081081079</v>
          </cell>
          <cell r="K31">
            <v>1459</v>
          </cell>
          <cell r="L31">
            <v>1466</v>
          </cell>
          <cell r="M31">
            <v>1475</v>
          </cell>
          <cell r="N31">
            <v>1526</v>
          </cell>
          <cell r="O31">
            <v>1291</v>
          </cell>
          <cell r="P31">
            <v>1480</v>
          </cell>
          <cell r="Q31">
            <v>872</v>
          </cell>
          <cell r="R31">
            <v>936</v>
          </cell>
          <cell r="S31">
            <v>1035</v>
          </cell>
          <cell r="T31">
            <v>962</v>
          </cell>
          <cell r="U31">
            <v>811</v>
          </cell>
          <cell r="V31">
            <v>904</v>
          </cell>
        </row>
        <row r="32">
          <cell r="C32" t="str">
            <v>UVA</v>
          </cell>
          <cell r="D32" t="str">
            <v>CRUCH-ESTATAL</v>
          </cell>
          <cell r="E32">
            <v>0.6637140145523569</v>
          </cell>
          <cell r="F32">
            <v>0.64890073284477012</v>
          </cell>
          <cell r="G32">
            <v>0.64079147640791478</v>
          </cell>
          <cell r="H32">
            <v>0.62412761714855436</v>
          </cell>
          <cell r="I32">
            <v>0.65015806111696528</v>
          </cell>
          <cell r="J32">
            <v>0.67136304062909569</v>
          </cell>
          <cell r="K32">
            <v>3161</v>
          </cell>
          <cell r="L32">
            <v>3002</v>
          </cell>
          <cell r="M32">
            <v>3285</v>
          </cell>
          <cell r="N32">
            <v>3009</v>
          </cell>
          <cell r="O32">
            <v>2847</v>
          </cell>
          <cell r="P32">
            <v>3052</v>
          </cell>
          <cell r="Q32">
            <v>2098</v>
          </cell>
          <cell r="R32">
            <v>1948</v>
          </cell>
          <cell r="S32">
            <v>2105</v>
          </cell>
          <cell r="T32">
            <v>1878</v>
          </cell>
          <cell r="U32">
            <v>1851</v>
          </cell>
          <cell r="V32">
            <v>2049</v>
          </cell>
        </row>
        <row r="33">
          <cell r="C33" t="str">
            <v>UBB</v>
          </cell>
          <cell r="D33" t="str">
            <v>CRUCH-ESTATAL</v>
          </cell>
          <cell r="E33">
            <v>0.76222826086956519</v>
          </cell>
          <cell r="F33">
            <v>0.72163038443723948</v>
          </cell>
          <cell r="G33">
            <v>0.7530805687203791</v>
          </cell>
          <cell r="H33">
            <v>0.73044631020768891</v>
          </cell>
          <cell r="I33">
            <v>0.70874704491725771</v>
          </cell>
          <cell r="J33">
            <v>0.70805812417437253</v>
          </cell>
          <cell r="K33">
            <v>2208</v>
          </cell>
          <cell r="L33">
            <v>2159</v>
          </cell>
          <cell r="M33">
            <v>2110</v>
          </cell>
          <cell r="N33">
            <v>2263</v>
          </cell>
          <cell r="O33">
            <v>2115</v>
          </cell>
          <cell r="P33">
            <v>2271</v>
          </cell>
          <cell r="Q33">
            <v>1683</v>
          </cell>
          <cell r="R33">
            <v>1558</v>
          </cell>
          <cell r="S33">
            <v>1589</v>
          </cell>
          <cell r="T33">
            <v>1653</v>
          </cell>
          <cell r="U33">
            <v>1499</v>
          </cell>
          <cell r="V33">
            <v>1608</v>
          </cell>
        </row>
        <row r="34">
          <cell r="C34" t="str">
            <v>UMC</v>
          </cell>
          <cell r="D34" t="str">
            <v>CRUCH-ESTATAL</v>
          </cell>
          <cell r="E34">
            <v>0.64579256360078274</v>
          </cell>
          <cell r="F34">
            <v>0.65895953757225434</v>
          </cell>
          <cell r="G34">
            <v>0.63561924257932445</v>
          </cell>
          <cell r="H34">
            <v>0.60351201478743066</v>
          </cell>
          <cell r="I34">
            <v>0.64176245210727967</v>
          </cell>
          <cell r="J34">
            <v>0.55785837651122627</v>
          </cell>
          <cell r="K34">
            <v>1022</v>
          </cell>
          <cell r="L34">
            <v>1038</v>
          </cell>
          <cell r="M34">
            <v>977</v>
          </cell>
          <cell r="N34">
            <v>1082</v>
          </cell>
          <cell r="O34">
            <v>1044</v>
          </cell>
          <cell r="P34">
            <v>1158</v>
          </cell>
          <cell r="Q34">
            <v>660</v>
          </cell>
          <cell r="R34">
            <v>684</v>
          </cell>
          <cell r="S34">
            <v>621</v>
          </cell>
          <cell r="T34">
            <v>653</v>
          </cell>
          <cell r="U34">
            <v>670</v>
          </cell>
          <cell r="V34">
            <v>646</v>
          </cell>
        </row>
        <row r="35">
          <cell r="C35" t="str">
            <v>FSM</v>
          </cell>
          <cell r="D35" t="str">
            <v>CRUCH-PRIVADA</v>
          </cell>
          <cell r="E35">
            <v>0.66422594142259417</v>
          </cell>
          <cell r="F35">
            <v>0.60167966406718654</v>
          </cell>
          <cell r="G35">
            <v>0.59113034072471604</v>
          </cell>
          <cell r="H35">
            <v>0.61661166116611665</v>
          </cell>
          <cell r="I35">
            <v>0.55633047210300424</v>
          </cell>
          <cell r="J35">
            <v>0.61858454889249059</v>
          </cell>
          <cell r="K35">
            <v>1912</v>
          </cell>
          <cell r="L35">
            <v>1667</v>
          </cell>
          <cell r="M35">
            <v>1849</v>
          </cell>
          <cell r="N35">
            <v>1818</v>
          </cell>
          <cell r="O35">
            <v>1864</v>
          </cell>
          <cell r="P35">
            <v>1851</v>
          </cell>
          <cell r="Q35">
            <v>1270</v>
          </cell>
          <cell r="R35">
            <v>1003</v>
          </cell>
          <cell r="S35">
            <v>1093</v>
          </cell>
          <cell r="T35">
            <v>1121</v>
          </cell>
          <cell r="U35">
            <v>1037</v>
          </cell>
          <cell r="V35">
            <v>1145</v>
          </cell>
        </row>
        <row r="36">
          <cell r="C36" t="str">
            <v>UTM</v>
          </cell>
          <cell r="D36" t="str">
            <v>CRUCH-ESTATAL</v>
          </cell>
          <cell r="E36">
            <v>0.52720207253886009</v>
          </cell>
          <cell r="F36">
            <v>0.51516886090440761</v>
          </cell>
          <cell r="G36">
            <v>0.49744897959183676</v>
          </cell>
          <cell r="H36">
            <v>0.51688609044075562</v>
          </cell>
          <cell r="I36">
            <v>0.5579631635969664</v>
          </cell>
          <cell r="J36">
            <v>0.55143832276938076</v>
          </cell>
          <cell r="K36">
            <v>1544</v>
          </cell>
          <cell r="L36">
            <v>1747</v>
          </cell>
          <cell r="M36">
            <v>1568</v>
          </cell>
          <cell r="N36">
            <v>1747</v>
          </cell>
          <cell r="O36">
            <v>1846</v>
          </cell>
          <cell r="P36">
            <v>2051</v>
          </cell>
          <cell r="Q36">
            <v>814</v>
          </cell>
          <cell r="R36">
            <v>900</v>
          </cell>
          <cell r="S36">
            <v>780</v>
          </cell>
          <cell r="T36">
            <v>903</v>
          </cell>
          <cell r="U36">
            <v>1030</v>
          </cell>
          <cell r="V36">
            <v>1131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zoomScale="90" zoomScaleNormal="90" workbookViewId="0">
      <selection activeCell="J41" sqref="J41"/>
    </sheetView>
  </sheetViews>
  <sheetFormatPr baseColWidth="10" defaultRowHeight="15" x14ac:dyDescent="0.2"/>
  <cols>
    <col min="1" max="1" width="4.1640625" customWidth="1"/>
    <col min="2" max="2" width="24.5" bestFit="1" customWidth="1"/>
    <col min="3" max="3" width="12.1640625" customWidth="1"/>
    <col min="4" max="4" width="15.1640625" customWidth="1"/>
    <col min="5" max="5" width="10.6640625" customWidth="1"/>
    <col min="7" max="7" width="14.33203125" customWidth="1"/>
    <col min="8" max="8" width="12.1640625" customWidth="1"/>
    <col min="10" max="10" width="12.83203125" bestFit="1" customWidth="1"/>
    <col min="11" max="11" width="17.33203125" customWidth="1"/>
    <col min="12" max="12" width="12.83203125" customWidth="1"/>
    <col min="14" max="14" width="17.5" customWidth="1"/>
    <col min="15" max="15" width="12.1640625" bestFit="1" customWidth="1"/>
    <col min="17" max="17" width="6.6640625" customWidth="1"/>
    <col min="18" max="18" width="13.5" bestFit="1" customWidth="1"/>
    <col min="19" max="19" width="11.83203125" bestFit="1" customWidth="1"/>
  </cols>
  <sheetData>
    <row r="1" spans="1:14" x14ac:dyDescent="0.2">
      <c r="A1" s="49" t="s">
        <v>133</v>
      </c>
    </row>
    <row r="2" spans="1:14" x14ac:dyDescent="0.2">
      <c r="A2" s="161" t="s">
        <v>205</v>
      </c>
    </row>
    <row r="3" spans="1:14" x14ac:dyDescent="0.2">
      <c r="A3" s="161" t="s">
        <v>206</v>
      </c>
    </row>
    <row r="5" spans="1:14" x14ac:dyDescent="0.2">
      <c r="B5" s="55" t="s">
        <v>0</v>
      </c>
      <c r="C5" s="55" t="s">
        <v>40</v>
      </c>
      <c r="D5" s="3"/>
    </row>
    <row r="6" spans="1:14" x14ac:dyDescent="0.2">
      <c r="B6" s="44" t="s">
        <v>41</v>
      </c>
      <c r="C6" s="9">
        <v>12912904</v>
      </c>
      <c r="D6" s="4"/>
      <c r="E6" s="176"/>
    </row>
    <row r="7" spans="1:14" x14ac:dyDescent="0.2">
      <c r="B7" s="44" t="s">
        <v>42</v>
      </c>
      <c r="C7" s="9">
        <v>5847212</v>
      </c>
      <c r="D7" s="4"/>
      <c r="E7" s="176"/>
    </row>
    <row r="8" spans="1:14" x14ac:dyDescent="0.2">
      <c r="B8" s="45" t="s">
        <v>47</v>
      </c>
      <c r="C8" s="46">
        <f>SUM(C6:C7)</f>
        <v>18760116</v>
      </c>
      <c r="D8" s="4"/>
      <c r="E8" s="176"/>
    </row>
    <row r="9" spans="1:14" x14ac:dyDescent="0.2">
      <c r="B9" s="44" t="s">
        <v>44</v>
      </c>
      <c r="C9" s="9">
        <v>1500000</v>
      </c>
      <c r="D9" s="4"/>
    </row>
    <row r="10" spans="1:14" x14ac:dyDescent="0.2">
      <c r="B10" s="44" t="s">
        <v>137</v>
      </c>
      <c r="C10" s="9">
        <v>550000</v>
      </c>
      <c r="D10" s="4"/>
    </row>
    <row r="11" spans="1:14" x14ac:dyDescent="0.2">
      <c r="B11" s="47" t="s">
        <v>138</v>
      </c>
      <c r="C11" s="48">
        <f>C8-C9-C10</f>
        <v>16710116</v>
      </c>
      <c r="D11" s="4"/>
    </row>
    <row r="12" spans="1:14" x14ac:dyDescent="0.2">
      <c r="B12" s="47" t="s">
        <v>45</v>
      </c>
      <c r="C12" s="48">
        <v>1230000</v>
      </c>
      <c r="D12" s="4"/>
    </row>
    <row r="13" spans="1:14" x14ac:dyDescent="0.2">
      <c r="B13" s="168"/>
      <c r="C13" s="169"/>
      <c r="D13" s="4"/>
    </row>
    <row r="14" spans="1:14" x14ac:dyDescent="0.2">
      <c r="B14" s="168"/>
      <c r="C14" s="169"/>
      <c r="D14" s="173" t="s">
        <v>170</v>
      </c>
      <c r="E14" s="163"/>
      <c r="F14" s="164"/>
      <c r="G14" s="164"/>
      <c r="H14" s="164"/>
      <c r="I14" s="164" t="s">
        <v>169</v>
      </c>
      <c r="J14" s="164"/>
      <c r="K14" s="164"/>
      <c r="L14" s="164"/>
      <c r="M14" s="164"/>
      <c r="N14" s="165"/>
    </row>
    <row r="15" spans="1:14" x14ac:dyDescent="0.2">
      <c r="B15" s="168"/>
      <c r="C15" s="169"/>
      <c r="E15" s="62" t="s">
        <v>171</v>
      </c>
      <c r="F15" s="62" t="s">
        <v>172</v>
      </c>
      <c r="G15" s="62" t="s">
        <v>173</v>
      </c>
      <c r="H15" s="62" t="s">
        <v>174</v>
      </c>
      <c r="I15" s="62" t="s">
        <v>175</v>
      </c>
      <c r="J15" s="62" t="s">
        <v>176</v>
      </c>
      <c r="K15" t="s">
        <v>177</v>
      </c>
      <c r="L15" s="161" t="s">
        <v>178</v>
      </c>
    </row>
    <row r="16" spans="1:14" x14ac:dyDescent="0.2">
      <c r="B16" s="168"/>
      <c r="C16" s="169"/>
      <c r="D16" s="4"/>
    </row>
    <row r="17" spans="1:17" x14ac:dyDescent="0.2">
      <c r="F17" s="198" t="s">
        <v>134</v>
      </c>
      <c r="G17" s="198"/>
      <c r="H17" s="198"/>
      <c r="I17" s="198"/>
      <c r="J17" s="198"/>
      <c r="K17" s="53" t="s">
        <v>56</v>
      </c>
    </row>
    <row r="18" spans="1:17" x14ac:dyDescent="0.2">
      <c r="F18" s="54">
        <v>0.5</v>
      </c>
      <c r="G18" s="54">
        <v>0.25</v>
      </c>
      <c r="H18" s="54">
        <v>0.08</v>
      </c>
      <c r="I18" s="54">
        <v>0.12</v>
      </c>
      <c r="J18" s="54">
        <f>100%-SUM(F18:I18)</f>
        <v>5.0000000000000044E-2</v>
      </c>
      <c r="K18" s="54">
        <f>SUM(F18:J18)</f>
        <v>1</v>
      </c>
    </row>
    <row r="19" spans="1:17" x14ac:dyDescent="0.2">
      <c r="F19" s="52">
        <f>F18*$C$11</f>
        <v>8355058</v>
      </c>
      <c r="G19" s="52">
        <f t="shared" ref="G19:I19" si="0">G18*$C$11</f>
        <v>4177529</v>
      </c>
      <c r="H19" s="52">
        <f t="shared" si="0"/>
        <v>1336809.28</v>
      </c>
      <c r="I19" s="52">
        <f t="shared" si="0"/>
        <v>2005213.92</v>
      </c>
      <c r="J19" s="190">
        <f>$C$11-SUM(F19:I19)</f>
        <v>835505.80000000075</v>
      </c>
      <c r="K19" s="52">
        <f>SUM(F19:J19)</f>
        <v>16710116</v>
      </c>
    </row>
    <row r="20" spans="1:17" ht="42" x14ac:dyDescent="0.2">
      <c r="A20" s="50" t="s">
        <v>1</v>
      </c>
      <c r="B20" s="51" t="s">
        <v>3</v>
      </c>
      <c r="C20" s="51" t="s">
        <v>2</v>
      </c>
      <c r="D20" s="50" t="s">
        <v>44</v>
      </c>
      <c r="E20" s="50" t="s">
        <v>43</v>
      </c>
      <c r="F20" s="50" t="s">
        <v>46</v>
      </c>
      <c r="G20" s="50" t="s">
        <v>48</v>
      </c>
      <c r="H20" s="50" t="s">
        <v>51</v>
      </c>
      <c r="I20" s="50" t="s">
        <v>50</v>
      </c>
      <c r="J20" s="50" t="s">
        <v>49</v>
      </c>
      <c r="K20" s="50" t="s">
        <v>87</v>
      </c>
      <c r="L20" s="50" t="s">
        <v>90</v>
      </c>
      <c r="M20" s="50" t="s">
        <v>129</v>
      </c>
      <c r="N20" s="50" t="s">
        <v>130</v>
      </c>
      <c r="O20" s="50" t="s">
        <v>139</v>
      </c>
      <c r="P20" s="50" t="s">
        <v>131</v>
      </c>
      <c r="Q20" s="174"/>
    </row>
    <row r="21" spans="1:17" x14ac:dyDescent="0.2">
      <c r="A21" s="6">
        <v>1</v>
      </c>
      <c r="B21" s="2" t="s">
        <v>5</v>
      </c>
      <c r="C21" s="13" t="s">
        <v>4</v>
      </c>
      <c r="D21" s="56">
        <v>0</v>
      </c>
      <c r="E21" s="56">
        <f>IFERROR(VLOOKUP(C21,'1) Zonas Extremas'!$B$3:$E$5,4,0),0)</f>
        <v>0</v>
      </c>
      <c r="F21" s="191">
        <f>$F$19/COUNTA($C$21:$C$36)</f>
        <v>522191.125</v>
      </c>
      <c r="G21" s="56">
        <f>IFERROR(VLOOKUP(C21,'3) Compensación'!$C$3:$O$18,13,0),0)*$G$19</f>
        <v>272771.51945595595</v>
      </c>
      <c r="H21" s="56">
        <f>IFERROR(VLOOKUP(C21,'4) Investigación Avanzada'!$C$3:$N$19,12,0),0)*$H$19</f>
        <v>38050.570046473949</v>
      </c>
      <c r="I21" s="56">
        <f>IFERROR(VLOOKUP(C21,'5) Efectividad Académica'!$C$4:$AT$19,44,0),0)*$I$19</f>
        <v>273072.71668511763</v>
      </c>
      <c r="J21" s="56">
        <f>IFERROR(VLOOKUP(C21,'6) Género'!$C$3:$R$18,16,0),0)*$J$19</f>
        <v>36839.516361151895</v>
      </c>
      <c r="K21" s="57">
        <f>SUM(E21:J21)</f>
        <v>1142925.4475486993</v>
      </c>
      <c r="L21" s="58">
        <f>IF(K21&gt;=$C$12,$C$12,K21)</f>
        <v>1142925.4475486993</v>
      </c>
      <c r="M21" s="22">
        <f>K21-L21</f>
        <v>0</v>
      </c>
      <c r="N21" s="194">
        <f t="shared" ref="N21:N36" si="1">IF(L21=$C$12,L21,L21+($M$39/(COUNTIF($D$21:$D$38,"=0")-$M$40)))</f>
        <v>1192702.8292373596</v>
      </c>
      <c r="O21" s="60">
        <f>ROUND(N21,0)</f>
        <v>1192703</v>
      </c>
      <c r="P21" s="178">
        <f>O21/$O$39</f>
        <v>6.357652585943499E-2</v>
      </c>
      <c r="Q21" s="193" t="str">
        <f>+C21</f>
        <v>ATA</v>
      </c>
    </row>
    <row r="22" spans="1:17" x14ac:dyDescent="0.2">
      <c r="A22" s="6">
        <v>2</v>
      </c>
      <c r="B22" s="2" t="s">
        <v>7</v>
      </c>
      <c r="C22" s="13" t="s">
        <v>6</v>
      </c>
      <c r="D22" s="56">
        <v>0</v>
      </c>
      <c r="E22" s="56">
        <f>IFERROR(VLOOKUP(C22,'1) Zonas Extremas'!$B$3:$E$5,4,0),0)</f>
        <v>0</v>
      </c>
      <c r="F22" s="191">
        <f t="shared" ref="F22:F36" si="2">$F$19/COUNTA($C$21:$C$36)</f>
        <v>522191.125</v>
      </c>
      <c r="G22" s="56">
        <f>IFERROR(VLOOKUP(C22,'3) Compensación'!$C$3:$O$18,13,0),0)*$G$19</f>
        <v>46408.447123999336</v>
      </c>
      <c r="H22" s="56">
        <f>IFERROR(VLOOKUP(C22,'4) Investigación Avanzada'!$C$3:$N$19,12,0),0)*$H$19</f>
        <v>291359.98772909999</v>
      </c>
      <c r="I22" s="56">
        <f>IFERROR(VLOOKUP(C22,'5) Efectividad Académica'!$C$4:$AT$19,44,0),0)*$I$19</f>
        <v>128388.70487466519</v>
      </c>
      <c r="J22" s="56">
        <f>IFERROR(VLOOKUP(C22,'6) Género'!$C$3:$R$18,16,0),0)*$J$19</f>
        <v>117294.7350350855</v>
      </c>
      <c r="K22" s="57">
        <f t="shared" ref="K22:K36" si="3">SUM(E22:J22)</f>
        <v>1105642.9997628501</v>
      </c>
      <c r="L22" s="58">
        <f t="shared" ref="L22:L36" si="4">IF(K22&gt;=$C$12,$C$12,K22)</f>
        <v>1105642.9997628501</v>
      </c>
      <c r="M22" s="22">
        <f t="shared" ref="M22:M38" si="5">K22-L22</f>
        <v>0</v>
      </c>
      <c r="N22" s="194">
        <f t="shared" si="1"/>
        <v>1155420.3814515104</v>
      </c>
      <c r="O22" s="60">
        <f t="shared" ref="O22:O38" si="6">ROUND(N22,0)</f>
        <v>1155420</v>
      </c>
      <c r="P22" s="178">
        <f t="shared" ref="P22:P38" si="7">O22/$O$39</f>
        <v>6.1589171410240749E-2</v>
      </c>
      <c r="Q22" s="193" t="str">
        <f t="shared" ref="Q22:Q38" si="8">+C22</f>
        <v>UCH</v>
      </c>
    </row>
    <row r="23" spans="1:17" x14ac:dyDescent="0.2">
      <c r="A23" s="6">
        <v>3</v>
      </c>
      <c r="B23" s="2" t="s">
        <v>9</v>
      </c>
      <c r="C23" s="13" t="s">
        <v>8</v>
      </c>
      <c r="D23" s="56">
        <v>0</v>
      </c>
      <c r="E23" s="56">
        <f>IFERROR(VLOOKUP(C23,'1) Zonas Extremas'!$B$3:$E$5,4,0),0)</f>
        <v>241393.49651943683</v>
      </c>
      <c r="F23" s="191">
        <f t="shared" si="2"/>
        <v>522191.125</v>
      </c>
      <c r="G23" s="56">
        <f>IFERROR(VLOOKUP(C23,'3) Compensación'!$C$3:$O$18,13,0),0)*$G$19</f>
        <v>51986.21447036988</v>
      </c>
      <c r="H23" s="56">
        <f>IFERROR(VLOOKUP(C23,'4) Investigación Avanzada'!$C$3:$N$19,12,0),0)*$H$19</f>
        <v>61606.658987115748</v>
      </c>
      <c r="I23" s="56">
        <f>IFERROR(VLOOKUP(C23,'5) Efectividad Académica'!$C$4:$AT$19,44,0),0)*$I$19</f>
        <v>105864.42383244303</v>
      </c>
      <c r="J23" s="56">
        <f>IFERROR(VLOOKUP(C23,'6) Género'!$C$3:$R$18,16,0),0)*$J$19</f>
        <v>45534.331098411509</v>
      </c>
      <c r="K23" s="57">
        <f t="shared" si="3"/>
        <v>1028576.2499077769</v>
      </c>
      <c r="L23" s="58">
        <f t="shared" si="4"/>
        <v>1028576.2499077769</v>
      </c>
      <c r="M23" s="22">
        <f t="shared" si="5"/>
        <v>0</v>
      </c>
      <c r="N23" s="194">
        <f t="shared" si="1"/>
        <v>1078353.6315964372</v>
      </c>
      <c r="O23" s="60">
        <f t="shared" si="6"/>
        <v>1078354</v>
      </c>
      <c r="P23" s="178">
        <f t="shared" si="7"/>
        <v>5.7481201075728953E-2</v>
      </c>
      <c r="Q23" s="193" t="str">
        <f t="shared" si="8"/>
        <v>MAG</v>
      </c>
    </row>
    <row r="24" spans="1:17" x14ac:dyDescent="0.2">
      <c r="A24" s="6">
        <v>4</v>
      </c>
      <c r="B24" s="2" t="s">
        <v>11</v>
      </c>
      <c r="C24" s="13" t="s">
        <v>10</v>
      </c>
      <c r="D24" s="56">
        <v>0</v>
      </c>
      <c r="E24" s="56">
        <f>IFERROR(VLOOKUP(C24,'1) Zonas Extremas'!$B$3:$E$5,4,0),0)</f>
        <v>0</v>
      </c>
      <c r="F24" s="191">
        <f t="shared" si="2"/>
        <v>522191.125</v>
      </c>
      <c r="G24" s="56">
        <f>IFERROR(VLOOKUP(C24,'3) Compensación'!$C$3:$O$18,13,0),0)*$G$19</f>
        <v>731786.84528058092</v>
      </c>
      <c r="H24" s="56">
        <f>IFERROR(VLOOKUP(C24,'4) Investigación Avanzada'!$C$3:$N$19,12,0),0)*$H$19</f>
        <v>95328.398246482073</v>
      </c>
      <c r="I24" s="56">
        <f>IFERROR(VLOOKUP(C24,'5) Efectividad Académica'!$C$4:$AT$19,44,0),0)*$I$19</f>
        <v>128523.99191047349</v>
      </c>
      <c r="J24" s="56">
        <f>IFERROR(VLOOKUP(C24,'6) Género'!$C$3:$R$18,16,0),0)*$J$19</f>
        <v>69984.580189090586</v>
      </c>
      <c r="K24" s="57">
        <f t="shared" si="3"/>
        <v>1547814.9406266271</v>
      </c>
      <c r="L24" s="58">
        <f t="shared" si="4"/>
        <v>1230000</v>
      </c>
      <c r="M24" s="22">
        <f t="shared" si="5"/>
        <v>317814.94062662707</v>
      </c>
      <c r="N24" s="194">
        <f t="shared" si="1"/>
        <v>1230000</v>
      </c>
      <c r="O24" s="60">
        <f t="shared" si="6"/>
        <v>1230000</v>
      </c>
      <c r="P24" s="178">
        <f t="shared" si="7"/>
        <v>6.5564626572671508E-2</v>
      </c>
      <c r="Q24" s="193" t="str">
        <f t="shared" si="8"/>
        <v>UVA</v>
      </c>
    </row>
    <row r="25" spans="1:17" x14ac:dyDescent="0.2">
      <c r="A25" s="6">
        <v>5</v>
      </c>
      <c r="B25" s="2" t="s">
        <v>13</v>
      </c>
      <c r="C25" s="13" t="s">
        <v>12</v>
      </c>
      <c r="D25" s="56">
        <v>0</v>
      </c>
      <c r="E25" s="56">
        <f>IFERROR(VLOOKUP(C25,'1) Zonas Extremas'!$B$3:$E$5,4,0),0)</f>
        <v>143130.4173753456</v>
      </c>
      <c r="F25" s="191">
        <f t="shared" si="2"/>
        <v>522191.125</v>
      </c>
      <c r="G25" s="56">
        <f>IFERROR(VLOOKUP(C25,'3) Compensación'!$C$3:$O$18,13,0),0)*$G$19</f>
        <v>448891.01116483676</v>
      </c>
      <c r="H25" s="56">
        <f>IFERROR(VLOOKUP(C25,'4) Investigación Avanzada'!$C$3:$N$19,12,0),0)*$H$19</f>
        <v>33088.933064470992</v>
      </c>
      <c r="I25" s="56">
        <f>IFERROR(VLOOKUP(C25,'5) Efectividad Académica'!$C$4:$AT$19,44,0),0)*$I$19</f>
        <v>130586.70665447609</v>
      </c>
      <c r="J25" s="56">
        <f>IFERROR(VLOOKUP(C25,'6) Género'!$C$3:$R$18,16,0),0)*$J$19</f>
        <v>39197.487980272017</v>
      </c>
      <c r="K25" s="57">
        <f t="shared" si="3"/>
        <v>1317085.6812394012</v>
      </c>
      <c r="L25" s="58">
        <f t="shared" si="4"/>
        <v>1230000</v>
      </c>
      <c r="M25" s="22">
        <f t="shared" si="5"/>
        <v>87085.681239401223</v>
      </c>
      <c r="N25" s="194">
        <f t="shared" si="1"/>
        <v>1230000</v>
      </c>
      <c r="O25" s="60">
        <f t="shared" si="6"/>
        <v>1230000</v>
      </c>
      <c r="P25" s="178">
        <f t="shared" si="7"/>
        <v>6.5564626572671508E-2</v>
      </c>
      <c r="Q25" s="193" t="str">
        <f t="shared" si="8"/>
        <v>UAP</v>
      </c>
    </row>
    <row r="26" spans="1:17" x14ac:dyDescent="0.2">
      <c r="A26" s="6">
        <v>6</v>
      </c>
      <c r="B26" s="2" t="s">
        <v>15</v>
      </c>
      <c r="C26" s="13" t="s">
        <v>14</v>
      </c>
      <c r="D26" s="56">
        <v>0</v>
      </c>
      <c r="E26" s="56">
        <f>IFERROR(VLOOKUP(C26,'1) Zonas Extremas'!$B$3:$E$5,4,0),0)</f>
        <v>0</v>
      </c>
      <c r="F26" s="191">
        <f t="shared" si="2"/>
        <v>522191.125</v>
      </c>
      <c r="G26" s="56">
        <f>IFERROR(VLOOKUP(C26,'3) Compensación'!$C$3:$O$18,13,0),0)*$G$19</f>
        <v>326966.74185269303</v>
      </c>
      <c r="H26" s="56">
        <f>IFERROR(VLOOKUP(C26,'4) Investigación Avanzada'!$C$3:$N$19,12,0),0)*$H$19</f>
        <v>50174.262869625374</v>
      </c>
      <c r="I26" s="56">
        <f>IFERROR(VLOOKUP(C26,'5) Efectividad Académica'!$C$4:$AT$19,44,0),0)*$I$19</f>
        <v>87920.271755308262</v>
      </c>
      <c r="J26" s="56">
        <f>IFERROR(VLOOKUP(C26,'6) Género'!$C$3:$R$18,16,0),0)*$J$19</f>
        <v>59732.001120656329</v>
      </c>
      <c r="K26" s="57">
        <f t="shared" si="3"/>
        <v>1046984.402598283</v>
      </c>
      <c r="L26" s="58">
        <f t="shared" si="4"/>
        <v>1046984.402598283</v>
      </c>
      <c r="M26" s="22">
        <f t="shared" si="5"/>
        <v>0</v>
      </c>
      <c r="N26" s="194">
        <f t="shared" si="1"/>
        <v>1096761.7842869433</v>
      </c>
      <c r="O26" s="60">
        <f t="shared" si="6"/>
        <v>1096762</v>
      </c>
      <c r="P26" s="178">
        <f t="shared" si="7"/>
        <v>5.8462431682192159E-2</v>
      </c>
      <c r="Q26" s="193" t="str">
        <f t="shared" si="8"/>
        <v>ULA</v>
      </c>
    </row>
    <row r="27" spans="1:17" x14ac:dyDescent="0.2">
      <c r="A27" s="6">
        <v>7</v>
      </c>
      <c r="B27" s="2" t="s">
        <v>17</v>
      </c>
      <c r="C27" s="13" t="s">
        <v>16</v>
      </c>
      <c r="D27" s="56">
        <v>0</v>
      </c>
      <c r="E27" s="56">
        <f>IFERROR(VLOOKUP(C27,'1) Zonas Extremas'!$B$3:$E$5,4,0),0)</f>
        <v>0</v>
      </c>
      <c r="F27" s="191">
        <f t="shared" si="2"/>
        <v>522191.125</v>
      </c>
      <c r="G27" s="56">
        <f>IFERROR(VLOOKUP(C27,'3) Compensación'!$C$3:$O$18,13,0),0)*$G$19</f>
        <v>303680.69381035346</v>
      </c>
      <c r="H27" s="56">
        <f>IFERROR(VLOOKUP(C27,'4) Investigación Avanzada'!$C$3:$N$19,12,0),0)*$H$19</f>
        <v>37400.591589173273</v>
      </c>
      <c r="I27" s="56">
        <f>IFERROR(VLOOKUP(C27,'5) Efectividad Académica'!$C$4:$AT$19,44,0),0)*$I$19</f>
        <v>170018.12289382349</v>
      </c>
      <c r="J27" s="56">
        <f>IFERROR(VLOOKUP(C27,'6) Género'!$C$3:$R$18,16,0),0)*$J$19</f>
        <v>65064.100933731184</v>
      </c>
      <c r="K27" s="57">
        <f t="shared" si="3"/>
        <v>1098354.6342270817</v>
      </c>
      <c r="L27" s="58">
        <f t="shared" si="4"/>
        <v>1098354.6342270817</v>
      </c>
      <c r="M27" s="22">
        <f t="shared" si="5"/>
        <v>0</v>
      </c>
      <c r="N27" s="194">
        <f t="shared" si="1"/>
        <v>1148132.0159157419</v>
      </c>
      <c r="O27" s="60">
        <f t="shared" si="6"/>
        <v>1148132</v>
      </c>
      <c r="P27" s="178">
        <f t="shared" si="7"/>
        <v>6.1200687671654055E-2</v>
      </c>
      <c r="Q27" s="193" t="str">
        <f t="shared" si="8"/>
        <v>UPA</v>
      </c>
    </row>
    <row r="28" spans="1:17" x14ac:dyDescent="0.2">
      <c r="A28" s="6">
        <v>8</v>
      </c>
      <c r="B28" s="2" t="s">
        <v>19</v>
      </c>
      <c r="C28" s="13" t="s">
        <v>18</v>
      </c>
      <c r="D28" s="56">
        <v>0</v>
      </c>
      <c r="E28" s="56">
        <f>IFERROR(VLOOKUP(C28,'1) Zonas Extremas'!$B$3:$E$5,4,0),0)</f>
        <v>0</v>
      </c>
      <c r="F28" s="191">
        <f t="shared" si="2"/>
        <v>522191.125</v>
      </c>
      <c r="G28" s="56">
        <f>IFERROR(VLOOKUP(C28,'3) Compensación'!$C$3:$O$18,13,0),0)*$G$19</f>
        <v>190900.86105978632</v>
      </c>
      <c r="H28" s="56">
        <f>IFERROR(VLOOKUP(C28,'4) Investigación Avanzada'!$C$3:$N$19,12,0),0)*$H$19</f>
        <v>81235.870388125768</v>
      </c>
      <c r="I28" s="56">
        <f>IFERROR(VLOOKUP(C28,'5) Efectividad Académica'!$C$4:$AT$19,44,0),0)*$I$19</f>
        <v>114613.4620511144</v>
      </c>
      <c r="J28" s="56">
        <f>IFERROR(VLOOKUP(C28,'6) Género'!$C$3:$R$18,16,0),0)*$J$19</f>
        <v>53715.141489095127</v>
      </c>
      <c r="K28" s="57">
        <f t="shared" si="3"/>
        <v>962656.45998812164</v>
      </c>
      <c r="L28" s="58">
        <f t="shared" si="4"/>
        <v>962656.45998812164</v>
      </c>
      <c r="M28" s="22">
        <f t="shared" si="5"/>
        <v>0</v>
      </c>
      <c r="N28" s="194">
        <f t="shared" si="1"/>
        <v>1012433.8416767819</v>
      </c>
      <c r="O28" s="60">
        <f t="shared" si="6"/>
        <v>1012434</v>
      </c>
      <c r="P28" s="178">
        <f t="shared" si="7"/>
        <v>5.3967363528029361E-2</v>
      </c>
      <c r="Q28" s="193" t="str">
        <f t="shared" si="8"/>
        <v>ULS</v>
      </c>
    </row>
    <row r="29" spans="1:17" x14ac:dyDescent="0.2">
      <c r="A29" s="6">
        <v>9</v>
      </c>
      <c r="B29" s="2" t="s">
        <v>21</v>
      </c>
      <c r="C29" s="13" t="s">
        <v>20</v>
      </c>
      <c r="D29" s="56">
        <v>0</v>
      </c>
      <c r="E29" s="56">
        <f>IFERROR(VLOOKUP(C29,'1) Zonas Extremas'!$B$3:$E$5,4,0),0)</f>
        <v>0</v>
      </c>
      <c r="F29" s="191">
        <f t="shared" si="2"/>
        <v>522191.125</v>
      </c>
      <c r="G29" s="56">
        <f>IFERROR(VLOOKUP(C29,'3) Compensación'!$C$3:$O$18,13,0),0)*$G$19</f>
        <v>334544.73110198905</v>
      </c>
      <c r="H29" s="56">
        <f>IFERROR(VLOOKUP(C29,'4) Investigación Avanzada'!$C$3:$N$19,12,0),0)*$H$19</f>
        <v>38972.176718777184</v>
      </c>
      <c r="I29" s="56">
        <f>IFERROR(VLOOKUP(C29,'5) Efectividad Académica'!$C$4:$AT$19,44,0),0)*$I$19</f>
        <v>146873.86066100778</v>
      </c>
      <c r="J29" s="56">
        <f>IFERROR(VLOOKUP(C29,'6) Género'!$C$3:$R$18,16,0),0)*$J$19</f>
        <v>32845.721805232766</v>
      </c>
      <c r="K29" s="57">
        <f t="shared" si="3"/>
        <v>1075427.6152870068</v>
      </c>
      <c r="L29" s="58">
        <f t="shared" si="4"/>
        <v>1075427.6152870068</v>
      </c>
      <c r="M29" s="22">
        <f t="shared" si="5"/>
        <v>0</v>
      </c>
      <c r="N29" s="194">
        <f t="shared" si="1"/>
        <v>1125204.9969756671</v>
      </c>
      <c r="O29" s="60">
        <f t="shared" si="6"/>
        <v>1125205</v>
      </c>
      <c r="P29" s="178">
        <f t="shared" si="7"/>
        <v>5.997857369325435E-2</v>
      </c>
      <c r="Q29" s="193" t="str">
        <f t="shared" si="8"/>
        <v>UTM</v>
      </c>
    </row>
    <row r="30" spans="1:17" x14ac:dyDescent="0.2">
      <c r="A30" s="6">
        <v>10</v>
      </c>
      <c r="B30" s="2" t="s">
        <v>23</v>
      </c>
      <c r="C30" s="13" t="s">
        <v>22</v>
      </c>
      <c r="D30" s="56">
        <v>0</v>
      </c>
      <c r="E30" s="56">
        <f>IFERROR(VLOOKUP(C30,'1) Zonas Extremas'!$B$3:$E$5,4,0),0)</f>
        <v>0</v>
      </c>
      <c r="F30" s="191">
        <f t="shared" si="2"/>
        <v>522191.125</v>
      </c>
      <c r="G30" s="56">
        <f>IFERROR(VLOOKUP(C30,'3) Compensación'!$C$3:$O$18,13,0),0)*$G$19</f>
        <v>231300.87077711365</v>
      </c>
      <c r="H30" s="56">
        <f>IFERROR(VLOOKUP(C30,'4) Investigación Avanzada'!$C$3:$N$19,12,0),0)*$H$19</f>
        <v>72004.4203301737</v>
      </c>
      <c r="I30" s="56">
        <f>IFERROR(VLOOKUP(C30,'5) Efectividad Académica'!$C$4:$AT$19,44,0),0)*$I$19</f>
        <v>106355.36249051536</v>
      </c>
      <c r="J30" s="56">
        <f>IFERROR(VLOOKUP(C30,'6) Género'!$C$3:$R$18,16,0),0)*$J$19</f>
        <v>52443.952399781934</v>
      </c>
      <c r="K30" s="57">
        <f t="shared" si="3"/>
        <v>984295.73099758453</v>
      </c>
      <c r="L30" s="58">
        <f t="shared" si="4"/>
        <v>984295.73099758453</v>
      </c>
      <c r="M30" s="22">
        <f t="shared" si="5"/>
        <v>0</v>
      </c>
      <c r="N30" s="194">
        <f t="shared" si="1"/>
        <v>1034073.1126862448</v>
      </c>
      <c r="O30" s="60">
        <f t="shared" si="6"/>
        <v>1034073</v>
      </c>
      <c r="P30" s="178">
        <f t="shared" si="7"/>
        <v>5.5120821214538332E-2</v>
      </c>
      <c r="Q30" s="193" t="str">
        <f t="shared" si="8"/>
        <v>ANT</v>
      </c>
    </row>
    <row r="31" spans="1:17" x14ac:dyDescent="0.2">
      <c r="A31" s="6">
        <v>11</v>
      </c>
      <c r="B31" s="2" t="s">
        <v>25</v>
      </c>
      <c r="C31" s="13" t="s">
        <v>24</v>
      </c>
      <c r="D31" s="56">
        <v>0</v>
      </c>
      <c r="E31" s="56">
        <f>IFERROR(VLOOKUP(C31,'1) Zonas Extremas'!$B$3:$E$5,4,0),0)</f>
        <v>0</v>
      </c>
      <c r="F31" s="191">
        <f t="shared" si="2"/>
        <v>522191.125</v>
      </c>
      <c r="G31" s="56">
        <f>IFERROR(VLOOKUP(C31,'3) Compensación'!$C$3:$O$18,13,0),0)*$G$19</f>
        <v>678344.04668732907</v>
      </c>
      <c r="H31" s="56">
        <f>IFERROR(VLOOKUP(C31,'4) Investigación Avanzada'!$C$3:$N$19,12,0),0)*$H$19</f>
        <v>137552.79037757369</v>
      </c>
      <c r="I31" s="56">
        <f>IFERROR(VLOOKUP(C31,'5) Efectividad Académica'!$C$4:$AT$19,44,0),0)*$I$19</f>
        <v>83124.018835022856</v>
      </c>
      <c r="J31" s="56">
        <f>IFERROR(VLOOKUP(C31,'6) Género'!$C$3:$R$18,16,0),0)*$J$19</f>
        <v>50993.359186629874</v>
      </c>
      <c r="K31" s="57">
        <f t="shared" si="3"/>
        <v>1472205.3400865553</v>
      </c>
      <c r="L31" s="58">
        <f t="shared" si="4"/>
        <v>1230000</v>
      </c>
      <c r="M31" s="22">
        <f t="shared" si="5"/>
        <v>242205.34008655534</v>
      </c>
      <c r="N31" s="194">
        <f t="shared" si="1"/>
        <v>1230000</v>
      </c>
      <c r="O31" s="60">
        <f t="shared" si="6"/>
        <v>1230000</v>
      </c>
      <c r="P31" s="178">
        <f t="shared" si="7"/>
        <v>6.5564626572671508E-2</v>
      </c>
      <c r="Q31" s="193" t="str">
        <f t="shared" si="8"/>
        <v>USA</v>
      </c>
    </row>
    <row r="32" spans="1:17" x14ac:dyDescent="0.2">
      <c r="A32" s="6">
        <v>12</v>
      </c>
      <c r="B32" s="2" t="s">
        <v>27</v>
      </c>
      <c r="C32" s="13" t="s">
        <v>26</v>
      </c>
      <c r="D32" s="56">
        <v>0</v>
      </c>
      <c r="E32" s="56">
        <f>IFERROR(VLOOKUP(C32,'1) Zonas Extremas'!$B$3:$E$5,4,0),0)</f>
        <v>0</v>
      </c>
      <c r="F32" s="191">
        <f t="shared" si="2"/>
        <v>522191.125</v>
      </c>
      <c r="G32" s="56">
        <f>IFERROR(VLOOKUP(C32,'3) Compensación'!$C$3:$O$18,13,0),0)*$G$19</f>
        <v>88550.379580731751</v>
      </c>
      <c r="H32" s="56">
        <f>IFERROR(VLOOKUP(C32,'4) Investigación Avanzada'!$C$3:$N$19,12,0),0)*$H$19</f>
        <v>136039.18938508988</v>
      </c>
      <c r="I32" s="56">
        <f>IFERROR(VLOOKUP(C32,'5) Efectividad Académica'!$C$4:$AT$19,44,0),0)*$I$19</f>
        <v>91436.171350301927</v>
      </c>
      <c r="J32" s="56">
        <f>IFERROR(VLOOKUP(C32,'6) Género'!$C$3:$R$18,16,0),0)*$J$19</f>
        <v>48237.344368318591</v>
      </c>
      <c r="K32" s="57">
        <f t="shared" si="3"/>
        <v>886454.20968444215</v>
      </c>
      <c r="L32" s="58">
        <f t="shared" si="4"/>
        <v>886454.20968444215</v>
      </c>
      <c r="M32" s="22">
        <f t="shared" si="5"/>
        <v>0</v>
      </c>
      <c r="N32" s="194">
        <f t="shared" si="1"/>
        <v>936231.59137310239</v>
      </c>
      <c r="O32" s="196">
        <f t="shared" si="6"/>
        <v>936232</v>
      </c>
      <c r="P32" s="178">
        <f t="shared" si="7"/>
        <v>4.9905448345841784E-2</v>
      </c>
      <c r="Q32" s="193" t="str">
        <f t="shared" si="8"/>
        <v>FRO</v>
      </c>
    </row>
    <row r="33" spans="1:17" x14ac:dyDescent="0.2">
      <c r="A33" s="6">
        <v>13</v>
      </c>
      <c r="B33" s="2" t="s">
        <v>29</v>
      </c>
      <c r="C33" s="13" t="s">
        <v>28</v>
      </c>
      <c r="D33" s="56">
        <v>0</v>
      </c>
      <c r="E33" s="56">
        <f>IFERROR(VLOOKUP(C33,'1) Zonas Extremas'!$B$3:$E$5,4,0),0)</f>
        <v>0</v>
      </c>
      <c r="F33" s="191">
        <f t="shared" si="2"/>
        <v>522191.125</v>
      </c>
      <c r="G33" s="56">
        <f>IFERROR(VLOOKUP(C33,'3) Compensación'!$C$3:$O$18,13,0),0)*$G$19</f>
        <v>0</v>
      </c>
      <c r="H33" s="56">
        <f>IFERROR(VLOOKUP(C33,'4) Investigación Avanzada'!$C$3:$N$19,12,0),0)*$H$19</f>
        <v>109973.92071821679</v>
      </c>
      <c r="I33" s="56">
        <f>IFERROR(VLOOKUP(C33,'5) Efectividad Académica'!$C$4:$AT$19,44,0),0)*$I$19</f>
        <v>124555.59667311178</v>
      </c>
      <c r="J33" s="56">
        <f>IFERROR(VLOOKUP(C33,'6) Género'!$C$3:$R$18,16,0),0)*$J$19</f>
        <v>60046.488666157398</v>
      </c>
      <c r="K33" s="57">
        <f t="shared" si="3"/>
        <v>816767.13105748594</v>
      </c>
      <c r="L33" s="58">
        <f t="shared" si="4"/>
        <v>816767.13105748594</v>
      </c>
      <c r="M33" s="22">
        <f t="shared" si="5"/>
        <v>0</v>
      </c>
      <c r="N33" s="195">
        <f t="shared" si="1"/>
        <v>866544.51274614618</v>
      </c>
      <c r="O33" s="196">
        <v>866544</v>
      </c>
      <c r="P33" s="178">
        <f t="shared" si="7"/>
        <v>4.6190759161617127E-2</v>
      </c>
      <c r="Q33" s="193" t="str">
        <f t="shared" si="8"/>
        <v>TAL</v>
      </c>
    </row>
    <row r="34" spans="1:17" x14ac:dyDescent="0.2">
      <c r="A34" s="6">
        <v>14</v>
      </c>
      <c r="B34" s="2" t="s">
        <v>31</v>
      </c>
      <c r="C34" s="13" t="s">
        <v>30</v>
      </c>
      <c r="D34" s="56">
        <v>0</v>
      </c>
      <c r="E34" s="56">
        <f>IFERROR(VLOOKUP(C34,'1) Zonas Extremas'!$B$3:$E$5,4,0),0)</f>
        <v>165476.08610521766</v>
      </c>
      <c r="F34" s="191">
        <f t="shared" si="2"/>
        <v>522191.125</v>
      </c>
      <c r="G34" s="56">
        <f>IFERROR(VLOOKUP(C34,'3) Compensación'!$C$3:$O$18,13,0),0)*$G$19</f>
        <v>71929.186177408978</v>
      </c>
      <c r="H34" s="56">
        <f>IFERROR(VLOOKUP(C34,'4) Investigación Avanzada'!$C$3:$N$19,12,0),0)*$H$19</f>
        <v>59164.974880310838</v>
      </c>
      <c r="I34" s="56">
        <f>IFERROR(VLOOKUP(C34,'5) Efectividad Académica'!$C$4:$AT$19,44,0),0)*$I$19</f>
        <v>106534.4902126314</v>
      </c>
      <c r="J34" s="56">
        <f>IFERROR(VLOOKUP(C34,'6) Género'!$C$3:$R$18,16,0),0)*$J$19</f>
        <v>26321.004980591773</v>
      </c>
      <c r="K34" s="57">
        <f t="shared" si="3"/>
        <v>951616.86735616077</v>
      </c>
      <c r="L34" s="58">
        <f t="shared" si="4"/>
        <v>951616.86735616077</v>
      </c>
      <c r="M34" s="22">
        <f t="shared" si="5"/>
        <v>0</v>
      </c>
      <c r="N34" s="194">
        <f t="shared" si="1"/>
        <v>1001394.249044821</v>
      </c>
      <c r="O34" s="196">
        <f t="shared" si="6"/>
        <v>1001394</v>
      </c>
      <c r="P34" s="178">
        <f t="shared" si="7"/>
        <v>5.3378881026108792E-2</v>
      </c>
      <c r="Q34" s="193" t="str">
        <f t="shared" si="8"/>
        <v>UTA</v>
      </c>
    </row>
    <row r="35" spans="1:17" x14ac:dyDescent="0.2">
      <c r="A35" s="6">
        <v>15</v>
      </c>
      <c r="B35" s="2" t="s">
        <v>33</v>
      </c>
      <c r="C35" s="13" t="s">
        <v>32</v>
      </c>
      <c r="D35" s="56">
        <v>0</v>
      </c>
      <c r="E35" s="56">
        <f>IFERROR(VLOOKUP(C35,'1) Zonas Extremas'!$B$3:$E$5,4,0),0)</f>
        <v>0</v>
      </c>
      <c r="F35" s="191">
        <f t="shared" si="2"/>
        <v>522191.125</v>
      </c>
      <c r="G35" s="56">
        <f>IFERROR(VLOOKUP(C35,'3) Compensación'!$C$3:$O$18,13,0),0)*$G$19</f>
        <v>384827.8260215203</v>
      </c>
      <c r="H35" s="56">
        <f>IFERROR(VLOOKUP(C35,'4) Investigación Avanzada'!$C$3:$N$19,12,0),0)*$H$19</f>
        <v>65551.859072910636</v>
      </c>
      <c r="I35" s="56">
        <f>IFERROR(VLOOKUP(C35,'5) Efectividad Académica'!$C$4:$AT$19,44,0),0)*$I$19</f>
        <v>96842.697491319734</v>
      </c>
      <c r="J35" s="56">
        <f>IFERROR(VLOOKUP(C35,'6) Género'!$C$3:$R$18,16,0),0)*$J$19</f>
        <v>30584.651090319083</v>
      </c>
      <c r="K35" s="57">
        <f t="shared" si="3"/>
        <v>1099998.1586760697</v>
      </c>
      <c r="L35" s="58">
        <f t="shared" si="4"/>
        <v>1099998.1586760697</v>
      </c>
      <c r="M35" s="22">
        <f t="shared" si="5"/>
        <v>0</v>
      </c>
      <c r="N35" s="194">
        <f t="shared" si="1"/>
        <v>1149775.5403647299</v>
      </c>
      <c r="O35" s="196">
        <f t="shared" si="6"/>
        <v>1149776</v>
      </c>
      <c r="P35" s="178">
        <f t="shared" si="7"/>
        <v>6.1288320392048748E-2</v>
      </c>
      <c r="Q35" s="193" t="str">
        <f t="shared" si="8"/>
        <v>UBB</v>
      </c>
    </row>
    <row r="36" spans="1:17" x14ac:dyDescent="0.2">
      <c r="A36" s="6">
        <v>16</v>
      </c>
      <c r="B36" s="2" t="s">
        <v>35</v>
      </c>
      <c r="C36" s="13" t="s">
        <v>34</v>
      </c>
      <c r="D36" s="56">
        <v>0</v>
      </c>
      <c r="E36" s="56">
        <f>IFERROR(VLOOKUP(C36,'1) Zonas Extremas'!$B$3:$E$5,4,0),0)</f>
        <v>0</v>
      </c>
      <c r="F36" s="191">
        <f t="shared" si="2"/>
        <v>522191.125</v>
      </c>
      <c r="G36" s="56">
        <f>IFERROR(VLOOKUP(C36,'3) Compensación'!$C$3:$O$18,13,0),0)*$G$19</f>
        <v>14639.6254353322</v>
      </c>
      <c r="H36" s="56">
        <f>IFERROR(VLOOKUP(C36,'4) Investigación Avanzada'!$C$3:$N$19,12,0),0)*$H$19</f>
        <v>29304.675596380108</v>
      </c>
      <c r="I36" s="56">
        <f>IFERROR(VLOOKUP(C36,'5) Efectividad Académica'!$C$4:$AT$19,44,0),0)*$I$19</f>
        <v>110503.32162866736</v>
      </c>
      <c r="J36" s="56">
        <f>IFERROR(VLOOKUP(C36,'6) Género'!$C$3:$R$18,16,0),0)*$J$19</f>
        <v>46671.383295475171</v>
      </c>
      <c r="K36" s="57">
        <f t="shared" si="3"/>
        <v>723310.13095585478</v>
      </c>
      <c r="L36" s="58">
        <f t="shared" si="4"/>
        <v>723310.13095585478</v>
      </c>
      <c r="M36" s="22">
        <f t="shared" si="5"/>
        <v>0</v>
      </c>
      <c r="N36" s="195">
        <f t="shared" si="1"/>
        <v>773087.51264451502</v>
      </c>
      <c r="O36" s="196">
        <v>773087</v>
      </c>
      <c r="P36" s="178">
        <f t="shared" si="7"/>
        <v>4.1209073547306421E-2</v>
      </c>
      <c r="Q36" s="193" t="str">
        <f t="shared" si="8"/>
        <v>UMC</v>
      </c>
    </row>
    <row r="37" spans="1:17" x14ac:dyDescent="0.2">
      <c r="A37" s="6">
        <v>17</v>
      </c>
      <c r="B37" s="2" t="s">
        <v>37</v>
      </c>
      <c r="C37" s="13" t="s">
        <v>36</v>
      </c>
      <c r="D37" s="56">
        <f>$C$9/2</f>
        <v>750000</v>
      </c>
      <c r="E37" s="56">
        <f>IFERROR(VLOOKUP(C37,'1) Zonas Extremas'!$B$3:$E$5,4,0),0)</f>
        <v>0</v>
      </c>
      <c r="F37" s="192">
        <v>0</v>
      </c>
      <c r="G37" s="56">
        <f>IFERROR(VLOOKUP(C37,'3) Compensación'!$C$3:$O$18,13,0),0)*$G$19</f>
        <v>0</v>
      </c>
      <c r="H37" s="56">
        <f>IFERROR(VLOOKUP(C37,'4) Investigación Avanzada'!$C$3:$N$19,12,0),0)*$H$19</f>
        <v>0</v>
      </c>
      <c r="I37" s="56">
        <f>IFERROR(VLOOKUP(C37,'5) Efectividad Académica'!$C$4:$AT$19,44,0),0)*$I$19</f>
        <v>0</v>
      </c>
      <c r="J37" s="56">
        <f>IFERROR(VLOOKUP(C37,'6) Género'!$C$3:$R$18,16,0),0)*$J$19</f>
        <v>0</v>
      </c>
      <c r="K37" s="57">
        <f>+D37</f>
        <v>750000</v>
      </c>
      <c r="L37" s="58">
        <f>K37</f>
        <v>750000</v>
      </c>
      <c r="M37" s="22">
        <f t="shared" si="5"/>
        <v>0</v>
      </c>
      <c r="N37" s="194">
        <f>K37</f>
        <v>750000</v>
      </c>
      <c r="O37" s="196">
        <f t="shared" si="6"/>
        <v>750000</v>
      </c>
      <c r="P37" s="178">
        <f t="shared" si="7"/>
        <v>3.9978430836994823E-2</v>
      </c>
      <c r="Q37" s="193" t="str">
        <f t="shared" si="8"/>
        <v>URO</v>
      </c>
    </row>
    <row r="38" spans="1:17" x14ac:dyDescent="0.2">
      <c r="A38" s="6">
        <v>18</v>
      </c>
      <c r="B38" s="2" t="s">
        <v>39</v>
      </c>
      <c r="C38" s="13" t="s">
        <v>38</v>
      </c>
      <c r="D38" s="56">
        <f>$C$9/2</f>
        <v>750000</v>
      </c>
      <c r="E38" s="56">
        <f>IFERROR(VLOOKUP(C38,'1) Zonas Extremas'!$B$3:$E$5,4,0),0)</f>
        <v>0</v>
      </c>
      <c r="F38" s="192">
        <v>0</v>
      </c>
      <c r="G38" s="56">
        <f>IFERROR(VLOOKUP(C38,'3) Compensación'!$C$3:$O$18,13,0),0)*$G$19</f>
        <v>0</v>
      </c>
      <c r="H38" s="56">
        <f>IFERROR(VLOOKUP(C38,'4) Investigación Avanzada'!$C$3:$N$19,12,0),0)*$H$19</f>
        <v>0</v>
      </c>
      <c r="I38" s="56">
        <f>IFERROR(VLOOKUP(C38,'5) Efectividad Académica'!$C$4:$AT$19,44,0),0)*$I$19</f>
        <v>0</v>
      </c>
      <c r="J38" s="56">
        <f>IFERROR(VLOOKUP(C38,'6) Género'!$C$3:$R$18,16,0),0)*$J$19</f>
        <v>0</v>
      </c>
      <c r="K38" s="57">
        <f>+D38</f>
        <v>750000</v>
      </c>
      <c r="L38" s="58">
        <f>K38</f>
        <v>750000</v>
      </c>
      <c r="M38" s="22">
        <f t="shared" si="5"/>
        <v>0</v>
      </c>
      <c r="N38" s="194">
        <f>K38</f>
        <v>750000</v>
      </c>
      <c r="O38" s="196">
        <f t="shared" si="6"/>
        <v>750000</v>
      </c>
      <c r="P38" s="178">
        <f t="shared" si="7"/>
        <v>3.9978430836994823E-2</v>
      </c>
      <c r="Q38" s="193" t="str">
        <f t="shared" si="8"/>
        <v>URY</v>
      </c>
    </row>
    <row r="39" spans="1:17" x14ac:dyDescent="0.2">
      <c r="D39" s="28">
        <f t="shared" ref="D39:P39" si="9">SUM(D21:D38)</f>
        <v>1500000</v>
      </c>
      <c r="E39" s="28">
        <f t="shared" si="9"/>
        <v>550000.00000000012</v>
      </c>
      <c r="F39" s="43">
        <f t="shared" si="9"/>
        <v>8355058</v>
      </c>
      <c r="G39" s="43">
        <f t="shared" si="9"/>
        <v>4177529.0000000009</v>
      </c>
      <c r="H39" s="28">
        <f t="shared" si="9"/>
        <v>1336809.28</v>
      </c>
      <c r="I39" s="28">
        <f t="shared" si="9"/>
        <v>2005213.92</v>
      </c>
      <c r="J39" s="28">
        <f t="shared" si="9"/>
        <v>835505.80000000063</v>
      </c>
      <c r="K39" s="28">
        <f t="shared" si="9"/>
        <v>18760116</v>
      </c>
      <c r="L39" s="28">
        <f t="shared" si="9"/>
        <v>18113010.038047418</v>
      </c>
      <c r="M39" s="59">
        <f t="shared" si="9"/>
        <v>647105.96195258363</v>
      </c>
      <c r="N39" s="194">
        <f t="shared" si="9"/>
        <v>18760116</v>
      </c>
      <c r="O39" s="197">
        <f>SUM(O21:O38)</f>
        <v>18760116</v>
      </c>
      <c r="P39" s="178">
        <f t="shared" si="9"/>
        <v>0.99999999999999989</v>
      </c>
      <c r="Q39" s="175"/>
    </row>
    <row r="40" spans="1:17" x14ac:dyDescent="0.2">
      <c r="D40" s="3"/>
      <c r="E40" s="3"/>
      <c r="F40" s="3"/>
      <c r="G40" s="3"/>
      <c r="H40" s="3"/>
      <c r="I40" s="3"/>
      <c r="J40" s="3"/>
      <c r="K40" s="3"/>
      <c r="L40" s="23" t="s">
        <v>132</v>
      </c>
      <c r="M40" s="43">
        <f>COUNTIF(M21:M38,"&gt;0")</f>
        <v>3</v>
      </c>
      <c r="N40" s="8"/>
      <c r="O40" s="217">
        <f>+C8-O39</f>
        <v>0</v>
      </c>
    </row>
    <row r="41" spans="1:17" x14ac:dyDescent="0.2">
      <c r="M41" s="166"/>
      <c r="N41" s="166"/>
    </row>
    <row r="42" spans="1:17" x14ac:dyDescent="0.2">
      <c r="P42" s="177"/>
    </row>
    <row r="43" spans="1:17" x14ac:dyDescent="0.2">
      <c r="P43" s="177"/>
    </row>
    <row r="44" spans="1:17" x14ac:dyDescent="0.2">
      <c r="P44" s="177"/>
    </row>
    <row r="45" spans="1:17" x14ac:dyDescent="0.2">
      <c r="P45" s="177"/>
    </row>
    <row r="46" spans="1:17" x14ac:dyDescent="0.2">
      <c r="P46" s="177"/>
    </row>
    <row r="47" spans="1:17" x14ac:dyDescent="0.2">
      <c r="P47" s="177"/>
    </row>
    <row r="48" spans="1:17" x14ac:dyDescent="0.2">
      <c r="P48" s="177"/>
    </row>
    <row r="49" spans="16:16" x14ac:dyDescent="0.2">
      <c r="P49" s="177"/>
    </row>
    <row r="50" spans="16:16" x14ac:dyDescent="0.2">
      <c r="P50" s="177"/>
    </row>
    <row r="51" spans="16:16" x14ac:dyDescent="0.2">
      <c r="P51" s="177"/>
    </row>
    <row r="52" spans="16:16" x14ac:dyDescent="0.2">
      <c r="P52" s="177"/>
    </row>
    <row r="53" spans="16:16" x14ac:dyDescent="0.2">
      <c r="P53" s="177"/>
    </row>
    <row r="54" spans="16:16" x14ac:dyDescent="0.2">
      <c r="P54" s="177"/>
    </row>
  </sheetData>
  <mergeCells count="1">
    <mergeCell ref="F17:J17"/>
  </mergeCells>
  <pageMargins left="0.31496062992125984" right="0.11811023622047245" top="0.74803149606299213" bottom="0.35433070866141736" header="0.31496062992125984" footer="0.31496062992125984"/>
  <pageSetup paperSize="14" scale="75" orientation="landscape" r:id="rId1"/>
  <headerFooter>
    <oddFooter>&amp;CPágina &amp;P de 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workbookViewId="0">
      <selection activeCell="A2" sqref="A2:E6"/>
    </sheetView>
  </sheetViews>
  <sheetFormatPr baseColWidth="10" defaultRowHeight="15" x14ac:dyDescent="0.2"/>
  <cols>
    <col min="1" max="1" width="14.5" bestFit="1" customWidth="1"/>
  </cols>
  <sheetData>
    <row r="2" spans="1:7" ht="28" x14ac:dyDescent="0.2">
      <c r="A2" s="24" t="s">
        <v>52</v>
      </c>
      <c r="B2" s="24" t="s">
        <v>89</v>
      </c>
      <c r="C2" s="25" t="s">
        <v>53</v>
      </c>
      <c r="D2" s="24" t="s">
        <v>54</v>
      </c>
      <c r="E2" s="24" t="s">
        <v>55</v>
      </c>
      <c r="F2" s="3"/>
      <c r="G2" s="3"/>
    </row>
    <row r="3" spans="1:7" x14ac:dyDescent="0.2">
      <c r="A3" s="6" t="s">
        <v>31</v>
      </c>
      <c r="B3" s="6" t="s">
        <v>30</v>
      </c>
      <c r="C3" s="6">
        <f>VLOOKUP(B3,'[1]KM RM'!$A$3:$F$16,6,0)</f>
        <v>2059.04</v>
      </c>
      <c r="D3" s="6">
        <f>C3/$C$6</f>
        <v>0.30086561110039572</v>
      </c>
      <c r="E3" s="57">
        <f>D3*'Resumen PFE 2019'!$C$10</f>
        <v>165476.08610521766</v>
      </c>
      <c r="F3" s="3"/>
      <c r="G3" s="3"/>
    </row>
    <row r="4" spans="1:7" x14ac:dyDescent="0.2">
      <c r="A4" s="6" t="s">
        <v>13</v>
      </c>
      <c r="B4" s="6" t="s">
        <v>12</v>
      </c>
      <c r="C4" s="6">
        <f>VLOOKUP(B4,'[1]KM RM'!$A$3:$F$16,6,0)</f>
        <v>1780.99</v>
      </c>
      <c r="D4" s="6">
        <f t="shared" ref="D4:D5" si="0">C4/$C$6</f>
        <v>0.26023712250062836</v>
      </c>
      <c r="E4" s="57">
        <f>D4*'Resumen PFE 2019'!$C$10</f>
        <v>143130.4173753456</v>
      </c>
      <c r="F4" s="3"/>
      <c r="G4" s="3"/>
    </row>
    <row r="5" spans="1:7" x14ac:dyDescent="0.2">
      <c r="A5" s="6" t="s">
        <v>9</v>
      </c>
      <c r="B5" s="6" t="s">
        <v>8</v>
      </c>
      <c r="C5" s="6">
        <f>VLOOKUP(B5,'[1]KM RM'!$A$3:$F$16,6,0)</f>
        <v>3003.69</v>
      </c>
      <c r="D5" s="6">
        <f t="shared" si="0"/>
        <v>0.43889726639897603</v>
      </c>
      <c r="E5" s="57">
        <f>D5*'Resumen PFE 2019'!$C$10</f>
        <v>241393.49651943683</v>
      </c>
      <c r="F5" s="3"/>
      <c r="G5" s="3"/>
    </row>
    <row r="6" spans="1:7" x14ac:dyDescent="0.2">
      <c r="C6" s="22">
        <f>SUM(C3:C5)</f>
        <v>6843.7199999999993</v>
      </c>
      <c r="D6" s="12">
        <f>SUM(D3:D5)</f>
        <v>1.0000000000000002</v>
      </c>
      <c r="E6" s="57">
        <f>SUM(E3:E5)</f>
        <v>550000.00000000012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P23"/>
  <sheetViews>
    <sheetView zoomScale="90" zoomScaleNormal="90" workbookViewId="0">
      <selection activeCell="K30" sqref="K30"/>
    </sheetView>
  </sheetViews>
  <sheetFormatPr baseColWidth="10" defaultRowHeight="15" x14ac:dyDescent="0.2"/>
  <cols>
    <col min="1" max="1" width="3" bestFit="1" customWidth="1"/>
    <col min="2" max="2" width="24.5" bestFit="1" customWidth="1"/>
    <col min="4" max="4" width="12" bestFit="1" customWidth="1"/>
    <col min="10" max="10" width="11.6640625" bestFit="1" customWidth="1"/>
    <col min="16" max="16" width="13.33203125" customWidth="1"/>
  </cols>
  <sheetData>
    <row r="2" spans="1:16" ht="28" x14ac:dyDescent="0.2">
      <c r="A2" s="5" t="s">
        <v>1</v>
      </c>
      <c r="B2" s="1" t="s">
        <v>3</v>
      </c>
      <c r="C2" s="1" t="s">
        <v>2</v>
      </c>
      <c r="D2" s="5" t="s">
        <v>57</v>
      </c>
      <c r="E2" s="5" t="s">
        <v>58</v>
      </c>
      <c r="F2" s="5" t="s">
        <v>59</v>
      </c>
      <c r="G2" s="5" t="s">
        <v>60</v>
      </c>
      <c r="H2" s="5" t="s">
        <v>61</v>
      </c>
      <c r="I2" s="5" t="s">
        <v>62</v>
      </c>
      <c r="J2" s="7" t="s">
        <v>88</v>
      </c>
      <c r="K2" s="7" t="s">
        <v>64</v>
      </c>
      <c r="L2" s="7" t="s">
        <v>207</v>
      </c>
      <c r="M2" s="7" t="s">
        <v>66</v>
      </c>
      <c r="N2" s="7" t="s">
        <v>135</v>
      </c>
      <c r="O2" s="7" t="s">
        <v>67</v>
      </c>
      <c r="P2" s="7" t="s">
        <v>40</v>
      </c>
    </row>
    <row r="3" spans="1:16" x14ac:dyDescent="0.2">
      <c r="A3" s="6">
        <v>1</v>
      </c>
      <c r="B3" s="2" t="s">
        <v>5</v>
      </c>
      <c r="C3" s="2" t="s">
        <v>4</v>
      </c>
      <c r="D3" s="9">
        <v>1775598</v>
      </c>
      <c r="E3" s="9">
        <v>2048349</v>
      </c>
      <c r="F3" s="9">
        <v>359574</v>
      </c>
      <c r="G3" s="9">
        <v>1189717</v>
      </c>
      <c r="H3" s="9"/>
      <c r="I3" s="9"/>
      <c r="J3" s="9">
        <f t="shared" ref="J3:J18" si="0">SUM(D3:I3)</f>
        <v>5373238</v>
      </c>
      <c r="K3" s="9">
        <v>7127</v>
      </c>
      <c r="L3" s="9">
        <f>J3/K3</f>
        <v>753.92703802441417</v>
      </c>
      <c r="M3" s="9">
        <f t="shared" ref="M3:M19" si="1">$L$21-L3</f>
        <v>1062.3158685499802</v>
      </c>
      <c r="N3" s="9">
        <f>M3*K3</f>
        <v>7571125.1951557091</v>
      </c>
      <c r="O3" s="11">
        <f>N3/$N$19</f>
        <v>6.5294943363877533E-2</v>
      </c>
      <c r="P3" s="170">
        <f>+O3*'Resumen PFE 2019'!$G$19</f>
        <v>272771.51945595595</v>
      </c>
    </row>
    <row r="4" spans="1:16" x14ac:dyDescent="0.2">
      <c r="A4" s="6">
        <v>2</v>
      </c>
      <c r="B4" s="2" t="s">
        <v>7</v>
      </c>
      <c r="C4" s="2" t="s">
        <v>6</v>
      </c>
      <c r="D4" s="9">
        <v>40384251</v>
      </c>
      <c r="E4" s="9">
        <v>10865180</v>
      </c>
      <c r="F4" s="9">
        <v>0</v>
      </c>
      <c r="G4" s="9">
        <v>889737</v>
      </c>
      <c r="H4" s="9">
        <v>10202282</v>
      </c>
      <c r="I4" s="9">
        <v>1333800</v>
      </c>
      <c r="J4" s="9">
        <f t="shared" si="0"/>
        <v>63675250</v>
      </c>
      <c r="K4" s="9">
        <v>35768</v>
      </c>
      <c r="L4" s="9">
        <f t="shared" ref="L4:L19" si="2">J4/K4</f>
        <v>1780.2295347796914</v>
      </c>
      <c r="M4" s="9">
        <f t="shared" si="1"/>
        <v>36.013371794703062</v>
      </c>
      <c r="N4" s="9">
        <f t="shared" ref="N4:N18" si="3">M4*K4</f>
        <v>1288126.282352939</v>
      </c>
      <c r="O4" s="11">
        <f t="shared" ref="O4:O18" si="4">N4/$N$19</f>
        <v>1.1109066417970848E-2</v>
      </c>
      <c r="P4" s="170">
        <f>+O4*'Resumen PFE 2019'!$G$19</f>
        <v>46408.447123999336</v>
      </c>
    </row>
    <row r="5" spans="1:16" x14ac:dyDescent="0.2">
      <c r="A5" s="6">
        <v>3</v>
      </c>
      <c r="B5" s="2" t="s">
        <v>9</v>
      </c>
      <c r="C5" s="2" t="s">
        <v>8</v>
      </c>
      <c r="D5" s="9">
        <v>2166297</v>
      </c>
      <c r="E5" s="9">
        <v>2358802</v>
      </c>
      <c r="F5" s="9">
        <v>512148</v>
      </c>
      <c r="G5" s="9">
        <v>1097174</v>
      </c>
      <c r="H5" s="9"/>
      <c r="I5" s="9"/>
      <c r="J5" s="9">
        <f t="shared" si="0"/>
        <v>6134421</v>
      </c>
      <c r="K5" s="9">
        <v>4172</v>
      </c>
      <c r="L5" s="9">
        <f t="shared" si="2"/>
        <v>1470.3789549376797</v>
      </c>
      <c r="M5" s="9">
        <f t="shared" si="1"/>
        <v>345.86395163671477</v>
      </c>
      <c r="N5" s="9">
        <f t="shared" si="3"/>
        <v>1442944.406228374</v>
      </c>
      <c r="O5" s="11">
        <f t="shared" si="4"/>
        <v>1.2444249811400443E-2</v>
      </c>
      <c r="P5" s="170">
        <f>+O5*'Resumen PFE 2019'!$G$19</f>
        <v>51986.21447036988</v>
      </c>
    </row>
    <row r="6" spans="1:16" x14ac:dyDescent="0.2">
      <c r="A6" s="6">
        <v>4</v>
      </c>
      <c r="B6" s="2" t="s">
        <v>11</v>
      </c>
      <c r="C6" s="2" t="s">
        <v>10</v>
      </c>
      <c r="D6" s="9">
        <v>4313776</v>
      </c>
      <c r="E6" s="9">
        <v>3789698</v>
      </c>
      <c r="F6" s="9">
        <v>297790</v>
      </c>
      <c r="G6" s="9">
        <v>1026210</v>
      </c>
      <c r="H6" s="9"/>
      <c r="I6" s="9"/>
      <c r="J6" s="9">
        <f t="shared" si="0"/>
        <v>9427474</v>
      </c>
      <c r="K6" s="9">
        <v>16374</v>
      </c>
      <c r="L6" s="9">
        <f t="shared" si="2"/>
        <v>575.75876389397831</v>
      </c>
      <c r="M6" s="9">
        <f t="shared" si="1"/>
        <v>1240.4841426804162</v>
      </c>
      <c r="N6" s="9">
        <f t="shared" si="3"/>
        <v>20311687.352249134</v>
      </c>
      <c r="O6" s="11">
        <f t="shared" si="4"/>
        <v>0.17517217601136484</v>
      </c>
      <c r="P6" s="170">
        <f>+O6*'Resumen PFE 2019'!$G$19</f>
        <v>731786.84528058092</v>
      </c>
    </row>
    <row r="7" spans="1:16" x14ac:dyDescent="0.2">
      <c r="A7" s="6">
        <v>5</v>
      </c>
      <c r="B7" s="2" t="s">
        <v>13</v>
      </c>
      <c r="C7" s="2" t="s">
        <v>12</v>
      </c>
      <c r="D7" s="9">
        <v>2460753</v>
      </c>
      <c r="E7" s="9">
        <v>3276980</v>
      </c>
      <c r="F7" s="9">
        <v>430949</v>
      </c>
      <c r="G7" s="9">
        <v>1087086</v>
      </c>
      <c r="H7" s="9"/>
      <c r="I7" s="9"/>
      <c r="J7" s="9">
        <f t="shared" si="0"/>
        <v>7255768</v>
      </c>
      <c r="K7" s="9">
        <v>10855</v>
      </c>
      <c r="L7" s="9">
        <f t="shared" si="2"/>
        <v>668.42634730538919</v>
      </c>
      <c r="M7" s="9">
        <f t="shared" si="1"/>
        <v>1147.8165592690052</v>
      </c>
      <c r="N7" s="9">
        <f t="shared" si="3"/>
        <v>12459548.750865052</v>
      </c>
      <c r="O7" s="11">
        <f t="shared" si="4"/>
        <v>0.10745371514233336</v>
      </c>
      <c r="P7" s="170">
        <f>+O7*'Resumen PFE 2019'!$G$19</f>
        <v>448891.01116483676</v>
      </c>
    </row>
    <row r="8" spans="1:16" x14ac:dyDescent="0.2">
      <c r="A8" s="6">
        <v>6</v>
      </c>
      <c r="B8" s="2" t="s">
        <v>15</v>
      </c>
      <c r="C8" s="2" t="s">
        <v>14</v>
      </c>
      <c r="D8" s="9">
        <v>2706788</v>
      </c>
      <c r="E8" s="9">
        <v>2732452</v>
      </c>
      <c r="F8" s="9">
        <v>370273</v>
      </c>
      <c r="G8" s="9">
        <v>1127101</v>
      </c>
      <c r="H8" s="9"/>
      <c r="I8" s="9"/>
      <c r="J8" s="9">
        <f t="shared" si="0"/>
        <v>6936614</v>
      </c>
      <c r="K8" s="9">
        <v>8816</v>
      </c>
      <c r="L8" s="9">
        <f t="shared" si="2"/>
        <v>786.82100725952819</v>
      </c>
      <c r="M8" s="9">
        <f t="shared" si="1"/>
        <v>1029.4218993148663</v>
      </c>
      <c r="N8" s="9">
        <f t="shared" si="3"/>
        <v>9075383.4643598609</v>
      </c>
      <c r="O8" s="11">
        <f t="shared" si="4"/>
        <v>7.8267976560472241E-2</v>
      </c>
      <c r="P8" s="170">
        <f>+O8*'Resumen PFE 2019'!$G$19</f>
        <v>326966.74185269303</v>
      </c>
    </row>
    <row r="9" spans="1:16" x14ac:dyDescent="0.2">
      <c r="A9" s="6">
        <v>7</v>
      </c>
      <c r="B9" s="2" t="s">
        <v>17</v>
      </c>
      <c r="C9" s="2" t="s">
        <v>16</v>
      </c>
      <c r="D9" s="9">
        <v>3071537</v>
      </c>
      <c r="E9" s="9">
        <v>2643243</v>
      </c>
      <c r="F9" s="9">
        <v>308605</v>
      </c>
      <c r="G9" s="9">
        <v>1056464</v>
      </c>
      <c r="H9" s="9"/>
      <c r="I9" s="9"/>
      <c r="J9" s="9">
        <f t="shared" si="0"/>
        <v>7079849</v>
      </c>
      <c r="K9" s="9">
        <v>8539</v>
      </c>
      <c r="L9" s="9">
        <f t="shared" si="2"/>
        <v>829.11921770699144</v>
      </c>
      <c r="M9" s="9">
        <f t="shared" si="1"/>
        <v>987.12368886740308</v>
      </c>
      <c r="N9" s="9">
        <f t="shared" si="3"/>
        <v>8429049.1792387553</v>
      </c>
      <c r="O9" s="11">
        <f t="shared" si="4"/>
        <v>7.2693856538243895E-2</v>
      </c>
      <c r="P9" s="170">
        <f>+O9*'Resumen PFE 2019'!$G$19</f>
        <v>303680.69381035346</v>
      </c>
    </row>
    <row r="10" spans="1:16" x14ac:dyDescent="0.2">
      <c r="A10" s="6">
        <v>8</v>
      </c>
      <c r="B10" s="2" t="s">
        <v>19</v>
      </c>
      <c r="C10" s="2" t="s">
        <v>18</v>
      </c>
      <c r="D10" s="9">
        <v>4521225</v>
      </c>
      <c r="E10" s="9">
        <v>2835605</v>
      </c>
      <c r="F10" s="9">
        <v>335165</v>
      </c>
      <c r="G10" s="9">
        <v>830914</v>
      </c>
      <c r="H10" s="9"/>
      <c r="I10" s="9"/>
      <c r="J10" s="9">
        <f t="shared" si="0"/>
        <v>8522909</v>
      </c>
      <c r="K10" s="9">
        <v>7610</v>
      </c>
      <c r="L10" s="9">
        <f t="shared" si="2"/>
        <v>1119.9617608409987</v>
      </c>
      <c r="M10" s="9">
        <f t="shared" si="1"/>
        <v>696.28114573339576</v>
      </c>
      <c r="N10" s="9">
        <f t="shared" si="3"/>
        <v>5298699.5190311419</v>
      </c>
      <c r="O10" s="11">
        <f t="shared" si="4"/>
        <v>4.5697076204566457E-2</v>
      </c>
      <c r="P10" s="170">
        <f>+O10*'Resumen PFE 2019'!$G$19</f>
        <v>190900.86105978632</v>
      </c>
    </row>
    <row r="11" spans="1:16" x14ac:dyDescent="0.2">
      <c r="A11" s="6">
        <v>9</v>
      </c>
      <c r="B11" s="2" t="s">
        <v>21</v>
      </c>
      <c r="C11" s="2" t="s">
        <v>20</v>
      </c>
      <c r="D11" s="9">
        <v>4460802</v>
      </c>
      <c r="E11" s="9">
        <v>1589011</v>
      </c>
      <c r="F11" s="9">
        <v>0</v>
      </c>
      <c r="G11" s="9">
        <v>839926</v>
      </c>
      <c r="H11" s="9"/>
      <c r="I11" s="9"/>
      <c r="J11" s="9">
        <f t="shared" si="0"/>
        <v>6889739</v>
      </c>
      <c r="K11" s="9">
        <v>8906</v>
      </c>
      <c r="L11" s="9">
        <f t="shared" si="2"/>
        <v>773.60644509319559</v>
      </c>
      <c r="M11" s="9">
        <f t="shared" si="1"/>
        <v>1042.6364614811989</v>
      </c>
      <c r="N11" s="9">
        <f t="shared" si="3"/>
        <v>9285720.3259515576</v>
      </c>
      <c r="O11" s="11">
        <f t="shared" si="4"/>
        <v>8.0081964985039972E-2</v>
      </c>
      <c r="P11" s="170">
        <f>+O11*'Resumen PFE 2019'!$G$19</f>
        <v>334544.73110198905</v>
      </c>
    </row>
    <row r="12" spans="1:16" x14ac:dyDescent="0.2">
      <c r="A12" s="6">
        <v>10</v>
      </c>
      <c r="B12" s="2" t="s">
        <v>23</v>
      </c>
      <c r="C12" s="2" t="s">
        <v>22</v>
      </c>
      <c r="D12" s="9">
        <v>4176312</v>
      </c>
      <c r="E12" s="9">
        <v>3018111</v>
      </c>
      <c r="F12" s="9">
        <v>388795</v>
      </c>
      <c r="G12" s="9">
        <v>815454</v>
      </c>
      <c r="H12" s="9"/>
      <c r="I12" s="9"/>
      <c r="J12" s="9">
        <f t="shared" si="0"/>
        <v>8398672</v>
      </c>
      <c r="K12" s="9">
        <v>8159</v>
      </c>
      <c r="L12" s="9">
        <f t="shared" si="2"/>
        <v>1029.3751685255545</v>
      </c>
      <c r="M12" s="9">
        <f t="shared" si="1"/>
        <v>786.86773804884001</v>
      </c>
      <c r="N12" s="9">
        <f t="shared" si="3"/>
        <v>6420053.874740486</v>
      </c>
      <c r="O12" s="11">
        <f t="shared" si="4"/>
        <v>5.5367867171505845E-2</v>
      </c>
      <c r="P12" s="170">
        <f>+O12*'Resumen PFE 2019'!$G$19</f>
        <v>231300.87077711365</v>
      </c>
    </row>
    <row r="13" spans="1:16" x14ac:dyDescent="0.2">
      <c r="A13" s="6">
        <v>11</v>
      </c>
      <c r="B13" s="2" t="s">
        <v>25</v>
      </c>
      <c r="C13" s="2" t="s">
        <v>24</v>
      </c>
      <c r="D13" s="9">
        <v>12487508</v>
      </c>
      <c r="E13" s="9">
        <v>5587448</v>
      </c>
      <c r="F13" s="9">
        <v>0</v>
      </c>
      <c r="G13" s="9">
        <v>524048</v>
      </c>
      <c r="H13" s="9"/>
      <c r="I13" s="9"/>
      <c r="J13" s="9">
        <f t="shared" si="0"/>
        <v>18599004</v>
      </c>
      <c r="K13" s="9">
        <v>20607</v>
      </c>
      <c r="L13" s="9">
        <f t="shared" si="2"/>
        <v>902.5575775222012</v>
      </c>
      <c r="M13" s="9">
        <f t="shared" si="1"/>
        <v>913.68532905219331</v>
      </c>
      <c r="N13" s="9">
        <f t="shared" si="3"/>
        <v>18828313.575778548</v>
      </c>
      <c r="O13" s="11">
        <f t="shared" si="4"/>
        <v>0.16237925498239009</v>
      </c>
      <c r="P13" s="170">
        <f>+O13*'Resumen PFE 2019'!$G$19</f>
        <v>678344.04668732907</v>
      </c>
    </row>
    <row r="14" spans="1:16" x14ac:dyDescent="0.2">
      <c r="A14" s="6">
        <v>12</v>
      </c>
      <c r="B14" s="2" t="s">
        <v>27</v>
      </c>
      <c r="C14" s="2" t="s">
        <v>26</v>
      </c>
      <c r="D14" s="9">
        <v>12348186</v>
      </c>
      <c r="E14" s="9">
        <v>4119151</v>
      </c>
      <c r="F14" s="9">
        <v>347549</v>
      </c>
      <c r="G14" s="9">
        <v>391746</v>
      </c>
      <c r="H14" s="9"/>
      <c r="I14" s="9"/>
      <c r="J14" s="9">
        <f t="shared" si="0"/>
        <v>17206632</v>
      </c>
      <c r="K14" s="9">
        <v>10827</v>
      </c>
      <c r="L14" s="9">
        <f t="shared" si="2"/>
        <v>1589.2335827098918</v>
      </c>
      <c r="M14" s="9">
        <f t="shared" si="1"/>
        <v>227.00932386450268</v>
      </c>
      <c r="N14" s="9">
        <f t="shared" si="3"/>
        <v>2457829.9494809704</v>
      </c>
      <c r="O14" s="11">
        <f t="shared" si="4"/>
        <v>2.1196831806728749E-2</v>
      </c>
      <c r="P14" s="170">
        <f>+O14*'Resumen PFE 2019'!$G$19</f>
        <v>88550.379580731751</v>
      </c>
    </row>
    <row r="15" spans="1:16" x14ac:dyDescent="0.2">
      <c r="A15" s="6">
        <v>13</v>
      </c>
      <c r="B15" s="2" t="s">
        <v>29</v>
      </c>
      <c r="C15" s="2" t="s">
        <v>28</v>
      </c>
      <c r="D15" s="9">
        <v>16137272</v>
      </c>
      <c r="E15" s="9">
        <v>4145806</v>
      </c>
      <c r="F15" s="9">
        <v>313632</v>
      </c>
      <c r="G15" s="9">
        <v>399058</v>
      </c>
      <c r="H15" s="9"/>
      <c r="I15" s="9"/>
      <c r="J15" s="9">
        <f t="shared" si="0"/>
        <v>20995768</v>
      </c>
      <c r="K15" s="9">
        <v>11560</v>
      </c>
      <c r="L15" s="9">
        <f t="shared" si="2"/>
        <v>1816.2429065743945</v>
      </c>
      <c r="M15" s="9">
        <f t="shared" si="1"/>
        <v>0</v>
      </c>
      <c r="N15" s="9">
        <f t="shared" si="3"/>
        <v>0</v>
      </c>
      <c r="O15" s="11">
        <f t="shared" si="4"/>
        <v>0</v>
      </c>
      <c r="P15" s="170">
        <f>+O15*'Resumen PFE 2019'!$G$19</f>
        <v>0</v>
      </c>
    </row>
    <row r="16" spans="1:16" x14ac:dyDescent="0.2">
      <c r="A16" s="6">
        <v>14</v>
      </c>
      <c r="B16" s="2" t="s">
        <v>31</v>
      </c>
      <c r="C16" s="2" t="s">
        <v>30</v>
      </c>
      <c r="D16" s="9">
        <v>10517220</v>
      </c>
      <c r="E16" s="9">
        <v>2912058</v>
      </c>
      <c r="F16" s="9">
        <v>448143</v>
      </c>
      <c r="G16" s="9">
        <v>308816</v>
      </c>
      <c r="H16" s="9"/>
      <c r="I16" s="9"/>
      <c r="J16" s="9">
        <f t="shared" si="0"/>
        <v>14186237</v>
      </c>
      <c r="K16" s="9">
        <v>8910</v>
      </c>
      <c r="L16" s="9">
        <f t="shared" si="2"/>
        <v>1592.1702581369248</v>
      </c>
      <c r="M16" s="9">
        <f t="shared" si="1"/>
        <v>224.07264843746975</v>
      </c>
      <c r="N16" s="9">
        <f t="shared" si="3"/>
        <v>1996487.2975778554</v>
      </c>
      <c r="O16" s="11">
        <f t="shared" si="4"/>
        <v>1.7218117738358962E-2</v>
      </c>
      <c r="P16" s="170">
        <f>+O16*'Resumen PFE 2019'!$G$19</f>
        <v>71929.186177408978</v>
      </c>
    </row>
    <row r="17" spans="1:16" x14ac:dyDescent="0.2">
      <c r="A17" s="6">
        <v>15</v>
      </c>
      <c r="B17" s="2" t="s">
        <v>33</v>
      </c>
      <c r="C17" s="2" t="s">
        <v>32</v>
      </c>
      <c r="D17" s="9">
        <v>6853905</v>
      </c>
      <c r="E17" s="9">
        <v>3396638</v>
      </c>
      <c r="F17" s="9">
        <v>337220</v>
      </c>
      <c r="G17" s="9">
        <v>634734</v>
      </c>
      <c r="H17" s="9"/>
      <c r="I17" s="9"/>
      <c r="J17" s="9">
        <f t="shared" si="0"/>
        <v>11222497</v>
      </c>
      <c r="K17" s="9">
        <v>12060</v>
      </c>
      <c r="L17" s="9">
        <f t="shared" si="2"/>
        <v>930.55530679933668</v>
      </c>
      <c r="M17" s="9">
        <f t="shared" si="1"/>
        <v>885.68759977505783</v>
      </c>
      <c r="N17" s="9">
        <f t="shared" si="3"/>
        <v>10681392.453287197</v>
      </c>
      <c r="O17" s="11">
        <f t="shared" si="4"/>
        <v>9.2118528924998555E-2</v>
      </c>
      <c r="P17" s="170">
        <f>+O17*'Resumen PFE 2019'!$G$19</f>
        <v>384827.8260215203</v>
      </c>
    </row>
    <row r="18" spans="1:16" x14ac:dyDescent="0.2">
      <c r="A18" s="6">
        <v>16</v>
      </c>
      <c r="B18" s="2" t="s">
        <v>35</v>
      </c>
      <c r="C18" s="2" t="s">
        <v>34</v>
      </c>
      <c r="D18" s="9">
        <v>4406160</v>
      </c>
      <c r="E18" s="9">
        <v>3651651</v>
      </c>
      <c r="F18" s="9">
        <v>0</v>
      </c>
      <c r="G18" s="9">
        <v>707874</v>
      </c>
      <c r="H18" s="9"/>
      <c r="I18" s="9"/>
      <c r="J18" s="9">
        <f t="shared" si="0"/>
        <v>8765685</v>
      </c>
      <c r="K18" s="9">
        <v>5050</v>
      </c>
      <c r="L18" s="9">
        <f t="shared" si="2"/>
        <v>1735.779207920792</v>
      </c>
      <c r="M18" s="9">
        <f t="shared" si="1"/>
        <v>80.463698653602478</v>
      </c>
      <c r="N18" s="9">
        <f t="shared" si="3"/>
        <v>406341.67820069252</v>
      </c>
      <c r="O18" s="11">
        <f t="shared" si="4"/>
        <v>3.5043743407483707E-3</v>
      </c>
      <c r="P18" s="170">
        <f>+O18*'Resumen PFE 2019'!$G$19</f>
        <v>14639.6254353322</v>
      </c>
    </row>
    <row r="19" spans="1:16" x14ac:dyDescent="0.2">
      <c r="D19" s="9">
        <f t="shared" ref="D19:K19" si="5">SUM(D3:D18)</f>
        <v>132787590</v>
      </c>
      <c r="E19" s="9">
        <f t="shared" si="5"/>
        <v>58970183</v>
      </c>
      <c r="F19" s="9">
        <f t="shared" si="5"/>
        <v>4449843</v>
      </c>
      <c r="G19" s="9">
        <f t="shared" si="5"/>
        <v>12926059</v>
      </c>
      <c r="H19" s="9">
        <f t="shared" si="5"/>
        <v>10202282</v>
      </c>
      <c r="I19" s="9">
        <f t="shared" si="5"/>
        <v>1333800</v>
      </c>
      <c r="J19" s="9">
        <f t="shared" si="5"/>
        <v>220669757</v>
      </c>
      <c r="K19" s="9">
        <f t="shared" si="5"/>
        <v>185340</v>
      </c>
      <c r="L19" s="9">
        <f t="shared" si="2"/>
        <v>1190.6213283694831</v>
      </c>
      <c r="M19" s="9">
        <f t="shared" si="1"/>
        <v>625.62157820491143</v>
      </c>
      <c r="N19" s="9">
        <f>SUM(N3:N18)</f>
        <v>115952703.30449826</v>
      </c>
      <c r="O19" s="12">
        <f>SUM(O3:O18)</f>
        <v>1</v>
      </c>
      <c r="P19" s="167">
        <f>SUM(P3:P18)</f>
        <v>4177529.0000000009</v>
      </c>
    </row>
    <row r="21" spans="1:16" x14ac:dyDescent="0.2">
      <c r="K21" s="9" t="s">
        <v>65</v>
      </c>
      <c r="L21" s="9">
        <f>MAX(L3:L18)</f>
        <v>1816.2429065743945</v>
      </c>
    </row>
    <row r="22" spans="1:16" x14ac:dyDescent="0.2">
      <c r="D22" t="s">
        <v>180</v>
      </c>
      <c r="E22" t="s">
        <v>180</v>
      </c>
      <c r="F22" t="s">
        <v>180</v>
      </c>
      <c r="G22" t="s">
        <v>180</v>
      </c>
      <c r="H22" t="s">
        <v>180</v>
      </c>
      <c r="I22" t="s">
        <v>180</v>
      </c>
      <c r="J22" t="s">
        <v>180</v>
      </c>
      <c r="K22" t="s">
        <v>179</v>
      </c>
      <c r="L22" t="s">
        <v>181</v>
      </c>
      <c r="M22" t="s">
        <v>183</v>
      </c>
      <c r="N22" t="s">
        <v>184</v>
      </c>
      <c r="O22" t="s">
        <v>186</v>
      </c>
    </row>
    <row r="23" spans="1:16" x14ac:dyDescent="0.2">
      <c r="B23" s="10" t="s">
        <v>63</v>
      </c>
      <c r="L23" t="s">
        <v>182</v>
      </c>
      <c r="N23" t="s">
        <v>185</v>
      </c>
    </row>
  </sheetData>
  <pageMargins left="0.70866141732283472" right="0.70866141732283472" top="0.74803149606299213" bottom="0.74803149606299213" header="0.31496062992125984" footer="0.31496062992125984"/>
  <pageSetup paperSize="14" scale="77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5"/>
  <sheetViews>
    <sheetView workbookViewId="0">
      <selection activeCell="O8" sqref="O8"/>
    </sheetView>
  </sheetViews>
  <sheetFormatPr baseColWidth="10" defaultRowHeight="15" x14ac:dyDescent="0.2"/>
  <cols>
    <col min="1" max="1" width="3" bestFit="1" customWidth="1"/>
    <col min="2" max="2" width="24.5" bestFit="1" customWidth="1"/>
    <col min="3" max="3" width="8.33203125" customWidth="1"/>
    <col min="6" max="6" width="12.5" bestFit="1" customWidth="1"/>
    <col min="15" max="15" width="12.1640625" bestFit="1" customWidth="1"/>
  </cols>
  <sheetData>
    <row r="1" spans="1:15" ht="63.75" customHeight="1" x14ac:dyDescent="0.2">
      <c r="D1" s="199" t="s">
        <v>140</v>
      </c>
      <c r="E1" s="200"/>
      <c r="F1" s="200"/>
      <c r="G1" s="200"/>
      <c r="H1" s="199" t="s">
        <v>141</v>
      </c>
      <c r="I1" s="200"/>
      <c r="J1" s="200"/>
      <c r="K1" s="200"/>
      <c r="L1" s="199" t="s">
        <v>190</v>
      </c>
      <c r="M1" s="200"/>
    </row>
    <row r="2" spans="1:15" ht="84" x14ac:dyDescent="0.2">
      <c r="A2" s="5" t="s">
        <v>1</v>
      </c>
      <c r="B2" s="1" t="s">
        <v>3</v>
      </c>
      <c r="C2" s="1" t="s">
        <v>2</v>
      </c>
      <c r="D2" s="7" t="s">
        <v>71</v>
      </c>
      <c r="E2" s="7" t="s">
        <v>70</v>
      </c>
      <c r="F2" s="7" t="s">
        <v>72</v>
      </c>
      <c r="G2" s="17" t="s">
        <v>69</v>
      </c>
      <c r="H2" s="7" t="s">
        <v>73</v>
      </c>
      <c r="I2" s="7" t="s">
        <v>74</v>
      </c>
      <c r="J2" s="7" t="s">
        <v>75</v>
      </c>
      <c r="K2" s="17" t="s">
        <v>68</v>
      </c>
      <c r="L2" s="7" t="s">
        <v>77</v>
      </c>
      <c r="M2" s="17" t="s">
        <v>76</v>
      </c>
      <c r="N2" s="20" t="s">
        <v>78</v>
      </c>
      <c r="O2" s="61" t="s">
        <v>40</v>
      </c>
    </row>
    <row r="3" spans="1:15" x14ac:dyDescent="0.2">
      <c r="A3" s="6">
        <v>1</v>
      </c>
      <c r="B3" s="2" t="s">
        <v>5</v>
      </c>
      <c r="C3" s="13" t="s">
        <v>4</v>
      </c>
      <c r="D3" s="6">
        <f>VLOOKUP(C3,'[2]PAC 2017'!$D$35:$Z$62,23,0)</f>
        <v>70</v>
      </c>
      <c r="E3" s="6">
        <f>VLOOKUP(C3,[3]SCOPUS!$B$7:$K$33,10,0)</f>
        <v>93</v>
      </c>
      <c r="F3" s="14">
        <f>E3/D3</f>
        <v>1.3285714285714285</v>
      </c>
      <c r="G3" s="18">
        <f>F3/$F$19</f>
        <v>5.2431331984399025E-2</v>
      </c>
      <c r="H3" s="9">
        <f>VLOOKUP(C3,'[2]PAC 2018'!$D$32:$Y$59,22,0)</f>
        <v>328</v>
      </c>
      <c r="I3" s="9">
        <f>VLOOKUP(C3,'[2]PAC 2018'!$D$32:$Z$59,23,0)</f>
        <v>74</v>
      </c>
      <c r="J3" s="11">
        <f>I3/H3</f>
        <v>0.22560975609756098</v>
      </c>
      <c r="K3" s="19">
        <f>J3/$J$19</f>
        <v>3.2959839252399876E-2</v>
      </c>
      <c r="L3" s="9">
        <f>VLOOKUP(C3,'[4]Programas Doct. Acreditados '!$B$3:$E$20,4,0)</f>
        <v>0</v>
      </c>
      <c r="M3" s="19">
        <f>L3/$L$19</f>
        <v>0</v>
      </c>
      <c r="N3" s="21">
        <f>AVERAGE(G3,K3,M3)</f>
        <v>2.8463723745599634E-2</v>
      </c>
      <c r="O3" s="57">
        <f>+N3*'Resumen PFE 2019'!$H$19</f>
        <v>38050.570046473949</v>
      </c>
    </row>
    <row r="4" spans="1:15" x14ac:dyDescent="0.2">
      <c r="A4" s="6">
        <v>2</v>
      </c>
      <c r="B4" s="2" t="s">
        <v>7</v>
      </c>
      <c r="C4" s="13" t="s">
        <v>6</v>
      </c>
      <c r="D4" s="6">
        <f>VLOOKUP(C4,'[2]PAC 2017'!$D$35:$Z$62,23,0)</f>
        <v>1031</v>
      </c>
      <c r="E4" s="6">
        <f>VLOOKUP(C4,[3]SCOPUS!$B$7:$K$33,10,0)</f>
        <v>2693</v>
      </c>
      <c r="F4" s="14">
        <f t="shared" ref="F4:F18" si="0">E4/D4</f>
        <v>2.6120271580989329</v>
      </c>
      <c r="G4" s="18">
        <f t="shared" ref="G4:G18" si="1">F4/$F$19</f>
        <v>0.10308219801611403</v>
      </c>
      <c r="H4" s="9">
        <f>VLOOKUP(C4,'[2]PAC 2018'!$D$32:$Y$59,22,0)</f>
        <v>1579</v>
      </c>
      <c r="I4" s="9">
        <f>VLOOKUP(C4,'[2]PAC 2018'!$D$32:$Z$59,23,0)</f>
        <v>1076</v>
      </c>
      <c r="J4" s="11">
        <f t="shared" ref="J4:J18" si="2">I4/H4</f>
        <v>0.681443951868271</v>
      </c>
      <c r="K4" s="19">
        <f t="shared" ref="K4:K18" si="3">J4/$J$19</f>
        <v>9.9553687312111519E-2</v>
      </c>
      <c r="L4" s="9">
        <f>VLOOKUP(C4,'[4]Programas Doct. Acreditados '!$B$3:$E$20,4,0)</f>
        <v>37</v>
      </c>
      <c r="M4" s="19">
        <f t="shared" ref="M4:M18" si="4">L4/$L$19</f>
        <v>0.45121951219512196</v>
      </c>
      <c r="N4" s="21">
        <f t="shared" ref="N4:N18" si="5">AVERAGE(G4,K4,M4)</f>
        <v>0.21795179917444918</v>
      </c>
      <c r="O4" s="57">
        <f>+N4*'Resumen PFE 2019'!$H$19</f>
        <v>291359.98772909999</v>
      </c>
    </row>
    <row r="5" spans="1:15" x14ac:dyDescent="0.2">
      <c r="A5" s="6">
        <v>3</v>
      </c>
      <c r="B5" s="2" t="s">
        <v>9</v>
      </c>
      <c r="C5" s="13" t="s">
        <v>8</v>
      </c>
      <c r="D5" s="6">
        <f>VLOOKUP(C5,'[2]PAC 2017'!$D$35:$Z$62,23,0)</f>
        <v>57</v>
      </c>
      <c r="E5" s="6">
        <f>VLOOKUP(C5,[3]SCOPUS!$B$7:$K$33,10,0)</f>
        <v>104</v>
      </c>
      <c r="F5" s="14">
        <f t="shared" si="0"/>
        <v>1.8245614035087718</v>
      </c>
      <c r="G5" s="18">
        <f t="shared" si="1"/>
        <v>7.2005300291723251E-2</v>
      </c>
      <c r="H5" s="9">
        <f>VLOOKUP(C5,'[2]PAC 2018'!$D$32:$Y$59,22,0)</f>
        <v>200</v>
      </c>
      <c r="I5" s="9">
        <f>VLOOKUP(C5,'[2]PAC 2018'!$D$32:$Z$59,23,0)</f>
        <v>74</v>
      </c>
      <c r="J5" s="11">
        <f t="shared" si="2"/>
        <v>0.37</v>
      </c>
      <c r="K5" s="19">
        <f t="shared" si="3"/>
        <v>5.4054136373935795E-2</v>
      </c>
      <c r="L5" s="9">
        <f>VLOOKUP(C5,'[4]Programas Doct. Acreditados '!$B$3:$E$20,4,0)</f>
        <v>1</v>
      </c>
      <c r="M5" s="19">
        <f t="shared" si="4"/>
        <v>1.2195121951219513E-2</v>
      </c>
      <c r="N5" s="21">
        <f t="shared" si="5"/>
        <v>4.6084852872292859E-2</v>
      </c>
      <c r="O5" s="57">
        <f>+N5*'Resumen PFE 2019'!$H$19</f>
        <v>61606.658987115748</v>
      </c>
    </row>
    <row r="6" spans="1:15" x14ac:dyDescent="0.2">
      <c r="A6" s="6">
        <v>4</v>
      </c>
      <c r="B6" s="2" t="s">
        <v>11</v>
      </c>
      <c r="C6" s="13" t="s">
        <v>10</v>
      </c>
      <c r="D6" s="6">
        <f>VLOOKUP(C6,'[2]PAC 2017'!$D$35:$Z$62,23,0)</f>
        <v>216</v>
      </c>
      <c r="E6" s="6">
        <f>VLOOKUP(C6,[3]SCOPUS!$B$7:$K$33,10,0)</f>
        <v>433</v>
      </c>
      <c r="F6" s="14">
        <f t="shared" si="0"/>
        <v>2.0046296296296298</v>
      </c>
      <c r="G6" s="18">
        <f t="shared" si="1"/>
        <v>7.9111592614851386E-2</v>
      </c>
      <c r="H6" s="9">
        <f>VLOOKUP(C6,'[2]PAC 2018'!$D$32:$Y$59,22,0)</f>
        <v>564</v>
      </c>
      <c r="I6" s="9">
        <f>VLOOKUP(C6,'[2]PAC 2018'!$D$32:$Z$59,23,0)</f>
        <v>238</v>
      </c>
      <c r="J6" s="11">
        <f t="shared" si="2"/>
        <v>0.42198581560283688</v>
      </c>
      <c r="K6" s="19">
        <f t="shared" si="3"/>
        <v>6.1648861687735861E-2</v>
      </c>
      <c r="L6" s="9">
        <f>VLOOKUP(C6,'[4]Programas Doct. Acreditados '!$B$3:$E$20,4,0)</f>
        <v>6</v>
      </c>
      <c r="M6" s="19">
        <f t="shared" si="4"/>
        <v>7.3170731707317069E-2</v>
      </c>
      <c r="N6" s="21">
        <f t="shared" si="5"/>
        <v>7.131039533663476E-2</v>
      </c>
      <c r="O6" s="57">
        <f>+N6*'Resumen PFE 2019'!$H$19</f>
        <v>95328.398246482073</v>
      </c>
    </row>
    <row r="7" spans="1:15" x14ac:dyDescent="0.2">
      <c r="A7" s="6">
        <v>5</v>
      </c>
      <c r="B7" s="2" t="s">
        <v>13</v>
      </c>
      <c r="C7" s="13" t="s">
        <v>12</v>
      </c>
      <c r="D7" s="6">
        <f>VLOOKUP(C7,'[2]PAC 2017'!$D$35:$Z$62,23,0)</f>
        <v>62</v>
      </c>
      <c r="E7" s="6">
        <f>VLOOKUP(C7,[3]SCOPUS!$B$7:$K$33,10,0)</f>
        <v>65</v>
      </c>
      <c r="F7" s="14">
        <f t="shared" si="0"/>
        <v>1.0483870967741935</v>
      </c>
      <c r="G7" s="18">
        <f t="shared" si="1"/>
        <v>4.1374013272461943E-2</v>
      </c>
      <c r="H7" s="9">
        <f>VLOOKUP(C7,'[2]PAC 2018'!$D$32:$Y$59,22,0)</f>
        <v>311</v>
      </c>
      <c r="I7" s="9">
        <f>VLOOKUP(C7,'[2]PAC 2018'!$D$32:$Z$59,23,0)</f>
        <v>70</v>
      </c>
      <c r="J7" s="11">
        <f t="shared" si="2"/>
        <v>0.22508038585209003</v>
      </c>
      <c r="K7" s="19">
        <f t="shared" si="3"/>
        <v>3.2882502356613413E-2</v>
      </c>
      <c r="L7" s="9">
        <f>VLOOKUP(C7,'[4]Programas Doct. Acreditados '!$B$3:$E$20,4,0)</f>
        <v>0</v>
      </c>
      <c r="M7" s="19">
        <f t="shared" si="4"/>
        <v>0</v>
      </c>
      <c r="N7" s="21">
        <f t="shared" si="5"/>
        <v>2.4752171876358451E-2</v>
      </c>
      <c r="O7" s="57">
        <f>+N7*'Resumen PFE 2019'!$H$19</f>
        <v>33088.933064470992</v>
      </c>
    </row>
    <row r="8" spans="1:15" x14ac:dyDescent="0.2">
      <c r="A8" s="6">
        <v>6</v>
      </c>
      <c r="B8" s="2" t="s">
        <v>15</v>
      </c>
      <c r="C8" s="13" t="s">
        <v>14</v>
      </c>
      <c r="D8" s="6">
        <f>VLOOKUP(C8,'[2]PAC 2017'!$D$35:$Z$62,23,0)</f>
        <v>89</v>
      </c>
      <c r="E8" s="6">
        <f>VLOOKUP(C8,[3]SCOPUS!$B$7:$K$33,10,0)</f>
        <v>121</v>
      </c>
      <c r="F8" s="14">
        <f t="shared" si="0"/>
        <v>1.3595505617977528</v>
      </c>
      <c r="G8" s="18">
        <f t="shared" si="1"/>
        <v>5.3653906235092398E-2</v>
      </c>
      <c r="H8" s="9">
        <f>VLOOKUP(C8,'[2]PAC 2018'!$D$32:$Y$59,22,0)</f>
        <v>325</v>
      </c>
      <c r="I8" s="9">
        <f>VLOOKUP(C8,'[2]PAC 2018'!$D$32:$Z$59,23,0)</f>
        <v>104</v>
      </c>
      <c r="J8" s="11">
        <f t="shared" si="2"/>
        <v>0.32</v>
      </c>
      <c r="K8" s="19">
        <f t="shared" si="3"/>
        <v>4.6749523350430956E-2</v>
      </c>
      <c r="L8" s="9">
        <f>VLOOKUP(C8,'[4]Programas Doct. Acreditados '!$B$3:$E$20,4,0)</f>
        <v>1</v>
      </c>
      <c r="M8" s="19">
        <f t="shared" si="4"/>
        <v>1.2195121951219513E-2</v>
      </c>
      <c r="N8" s="21">
        <f t="shared" si="5"/>
        <v>3.7532850512247619E-2</v>
      </c>
      <c r="O8" s="57">
        <f>+N8*'Resumen PFE 2019'!$H$19</f>
        <v>50174.262869625374</v>
      </c>
    </row>
    <row r="9" spans="1:15" x14ac:dyDescent="0.2">
      <c r="A9" s="6">
        <v>7</v>
      </c>
      <c r="B9" s="2" t="s">
        <v>17</v>
      </c>
      <c r="C9" s="13" t="s">
        <v>16</v>
      </c>
      <c r="D9" s="6">
        <f>VLOOKUP(C9,'[2]PAC 2017'!$D$35:$Z$62,23,0)</f>
        <v>110</v>
      </c>
      <c r="E9" s="6">
        <f>VLOOKUP(C9,[3]SCOPUS!$B$7:$K$33,10,0)</f>
        <v>86</v>
      </c>
      <c r="F9" s="14">
        <f t="shared" si="0"/>
        <v>0.78181818181818186</v>
      </c>
      <c r="G9" s="18">
        <f t="shared" si="1"/>
        <v>3.0854019408219177E-2</v>
      </c>
      <c r="H9" s="9">
        <f>VLOOKUP(C9,'[2]PAC 2018'!$D$32:$Y$59,22,0)</f>
        <v>289</v>
      </c>
      <c r="I9" s="9">
        <f>VLOOKUP(C9,'[2]PAC 2018'!$D$32:$Z$59,23,0)</f>
        <v>105</v>
      </c>
      <c r="J9" s="11">
        <f t="shared" si="2"/>
        <v>0.36332179930795849</v>
      </c>
      <c r="K9" s="19">
        <f t="shared" si="3"/>
        <v>5.3078502938962484E-2</v>
      </c>
      <c r="L9" s="9">
        <f>VLOOKUP(C9,'[4]Programas Doct. Acreditados '!$B$3:$E$20,4,0)</f>
        <v>0</v>
      </c>
      <c r="M9" s="19">
        <f t="shared" si="4"/>
        <v>0</v>
      </c>
      <c r="N9" s="21">
        <f t="shared" si="5"/>
        <v>2.7977507449060551E-2</v>
      </c>
      <c r="O9" s="57">
        <f>+N9*'Resumen PFE 2019'!$H$19</f>
        <v>37400.591589173273</v>
      </c>
    </row>
    <row r="10" spans="1:15" x14ac:dyDescent="0.2">
      <c r="A10" s="6">
        <v>8</v>
      </c>
      <c r="B10" s="2" t="s">
        <v>19</v>
      </c>
      <c r="C10" s="13" t="s">
        <v>18</v>
      </c>
      <c r="D10" s="6">
        <f>VLOOKUP(C10,'[2]PAC 2017'!$D$35:$Z$62,23,0)</f>
        <v>111</v>
      </c>
      <c r="E10" s="6">
        <f>VLOOKUP(C10,[3]SCOPUS!$B$7:$K$33,10,0)</f>
        <v>173</v>
      </c>
      <c r="F10" s="14">
        <f t="shared" si="0"/>
        <v>1.5585585585585586</v>
      </c>
      <c r="G10" s="18">
        <f t="shared" si="1"/>
        <v>6.1507646065201232E-2</v>
      </c>
      <c r="H10" s="9">
        <f>VLOOKUP(C10,'[2]PAC 2018'!$D$32:$Y$59,22,0)</f>
        <v>213</v>
      </c>
      <c r="I10" s="9">
        <f>VLOOKUP(C10,'[2]PAC 2018'!$D$32:$Z$59,23,0)</f>
        <v>105</v>
      </c>
      <c r="J10" s="11">
        <f t="shared" si="2"/>
        <v>0.49295774647887325</v>
      </c>
      <c r="K10" s="19">
        <f t="shared" si="3"/>
        <v>7.201731149934347E-2</v>
      </c>
      <c r="L10" s="9">
        <f>VLOOKUP(C10,'[4]Programas Doct. Acreditados '!$B$3:$E$20,4,0)</f>
        <v>4</v>
      </c>
      <c r="M10" s="19">
        <f t="shared" si="4"/>
        <v>4.878048780487805E-2</v>
      </c>
      <c r="N10" s="21">
        <f t="shared" si="5"/>
        <v>6.0768481789807573E-2</v>
      </c>
      <c r="O10" s="57">
        <f>+N10*'Resumen PFE 2019'!$H$19</f>
        <v>81235.870388125768</v>
      </c>
    </row>
    <row r="11" spans="1:15" x14ac:dyDescent="0.2">
      <c r="A11" s="6">
        <v>9</v>
      </c>
      <c r="B11" s="2" t="s">
        <v>21</v>
      </c>
      <c r="C11" s="13" t="s">
        <v>20</v>
      </c>
      <c r="D11" s="6">
        <f>VLOOKUP(C11,'[2]PAC 2017'!$D$35:$Z$62,23,0)</f>
        <v>47</v>
      </c>
      <c r="E11" s="6">
        <f>VLOOKUP(C11,[3]SCOPUS!$B$7:$K$33,10,0)</f>
        <v>60</v>
      </c>
      <c r="F11" s="14">
        <f t="shared" si="0"/>
        <v>1.2765957446808511</v>
      </c>
      <c r="G11" s="18">
        <f t="shared" si="1"/>
        <v>5.0380140547809642E-2</v>
      </c>
      <c r="H11" s="9">
        <f>VLOOKUP(C11,'[2]PAC 2018'!$D$32:$Y$59,22,0)</f>
        <v>197</v>
      </c>
      <c r="I11" s="9">
        <f>VLOOKUP(C11,'[2]PAC 2018'!$D$32:$Z$59,23,0)</f>
        <v>50</v>
      </c>
      <c r="J11" s="11">
        <f t="shared" si="2"/>
        <v>0.25380710659898476</v>
      </c>
      <c r="K11" s="19">
        <f t="shared" si="3"/>
        <v>3.7079253926420488E-2</v>
      </c>
      <c r="L11" s="9">
        <f>VLOOKUP(C11,'[4]Programas Doct. Acreditados '!$B$3:$E$20,4,0)</f>
        <v>0</v>
      </c>
      <c r="M11" s="19">
        <f t="shared" si="4"/>
        <v>0</v>
      </c>
      <c r="N11" s="21">
        <f t="shared" si="5"/>
        <v>2.915313149141004E-2</v>
      </c>
      <c r="O11" s="57">
        <f>+N11*'Resumen PFE 2019'!$H$19</f>
        <v>38972.176718777184</v>
      </c>
    </row>
    <row r="12" spans="1:15" x14ac:dyDescent="0.2">
      <c r="A12" s="6">
        <v>10</v>
      </c>
      <c r="B12" s="2" t="s">
        <v>23</v>
      </c>
      <c r="C12" s="13" t="s">
        <v>22</v>
      </c>
      <c r="D12" s="6">
        <f>VLOOKUP(C12,'[2]PAC 2017'!$D$35:$Z$62,23,0)</f>
        <v>135</v>
      </c>
      <c r="E12" s="6">
        <f>VLOOKUP(C12,[3]SCOPUS!$B$7:$K$33,10,0)</f>
        <v>207</v>
      </c>
      <c r="F12" s="14">
        <f t="shared" si="0"/>
        <v>1.5333333333333334</v>
      </c>
      <c r="G12" s="18">
        <f t="shared" si="1"/>
        <v>6.0512146591313584E-2</v>
      </c>
      <c r="H12" s="9">
        <f>VLOOKUP(C12,'[2]PAC 2018'!$D$32:$Y$59,22,0)</f>
        <v>333</v>
      </c>
      <c r="I12" s="9">
        <f>VLOOKUP(C12,'[2]PAC 2018'!$D$32:$Z$59,23,0)</f>
        <v>147</v>
      </c>
      <c r="J12" s="11">
        <f t="shared" si="2"/>
        <v>0.44144144144144143</v>
      </c>
      <c r="K12" s="19">
        <f t="shared" si="3"/>
        <v>6.4491178045358019E-2</v>
      </c>
      <c r="L12" s="9">
        <f>VLOOKUP(C12,'[4]Programas Doct. Acreditados '!$B$3:$E$20,4,0)</f>
        <v>3</v>
      </c>
      <c r="M12" s="19">
        <f t="shared" si="4"/>
        <v>3.6585365853658534E-2</v>
      </c>
      <c r="N12" s="21">
        <f t="shared" si="5"/>
        <v>5.3862896830110051E-2</v>
      </c>
      <c r="O12" s="57">
        <f>+N12*'Resumen PFE 2019'!$H$19</f>
        <v>72004.4203301737</v>
      </c>
    </row>
    <row r="13" spans="1:15" x14ac:dyDescent="0.2">
      <c r="A13" s="6">
        <v>11</v>
      </c>
      <c r="B13" s="2" t="s">
        <v>25</v>
      </c>
      <c r="C13" s="13" t="s">
        <v>24</v>
      </c>
      <c r="D13" s="6">
        <f>VLOOKUP(C13,'[2]PAC 2017'!$D$35:$Z$62,23,0)</f>
        <v>405</v>
      </c>
      <c r="E13" s="6">
        <f>VLOOKUP(C13,[3]SCOPUS!$B$7:$K$33,10,0)</f>
        <v>688</v>
      </c>
      <c r="F13" s="14">
        <f t="shared" si="0"/>
        <v>1.6987654320987655</v>
      </c>
      <c r="G13" s="18">
        <f t="shared" si="1"/>
        <v>6.7040832294402164E-2</v>
      </c>
      <c r="H13" s="9">
        <f>VLOOKUP(C13,'[2]PAC 2018'!$D$32:$Y$59,22,0)</f>
        <v>653</v>
      </c>
      <c r="I13" s="9">
        <f>VLOOKUP(C13,'[2]PAC 2018'!$D$32:$Z$59,23,0)</f>
        <v>426</v>
      </c>
      <c r="J13" s="11">
        <f t="shared" si="2"/>
        <v>0.65237366003062791</v>
      </c>
      <c r="K13" s="19">
        <f t="shared" si="3"/>
        <v>9.5306742665024827E-2</v>
      </c>
      <c r="L13" s="9">
        <f>VLOOKUP(C13,'[4]Programas Doct. Acreditados '!$B$3:$E$20,4,0)</f>
        <v>12</v>
      </c>
      <c r="M13" s="19">
        <f t="shared" si="4"/>
        <v>0.14634146341463414</v>
      </c>
      <c r="N13" s="21">
        <f t="shared" si="5"/>
        <v>0.10289634612468705</v>
      </c>
      <c r="O13" s="57">
        <f>+N13*'Resumen PFE 2019'!$H$19</f>
        <v>137552.79037757369</v>
      </c>
    </row>
    <row r="14" spans="1:15" x14ac:dyDescent="0.2">
      <c r="A14" s="6">
        <v>12</v>
      </c>
      <c r="B14" s="2" t="s">
        <v>27</v>
      </c>
      <c r="C14" s="13" t="s">
        <v>26</v>
      </c>
      <c r="D14" s="6">
        <f>VLOOKUP(C14,'[2]PAC 2017'!$D$35:$Z$62,23,0)</f>
        <v>185</v>
      </c>
      <c r="E14" s="6">
        <f>VLOOKUP(C14,[3]SCOPUS!$B$7:$K$33,10,0)</f>
        <v>507</v>
      </c>
      <c r="F14" s="14">
        <f t="shared" si="0"/>
        <v>2.7405405405405405</v>
      </c>
      <c r="G14" s="18">
        <f t="shared" si="1"/>
        <v>0.10815390712736539</v>
      </c>
      <c r="H14" s="9">
        <f>VLOOKUP(C14,'[2]PAC 2018'!$D$32:$Y$59,22,0)</f>
        <v>321</v>
      </c>
      <c r="I14" s="9">
        <f>VLOOKUP(C14,'[2]PAC 2018'!$D$32:$Z$59,23,0)</f>
        <v>192</v>
      </c>
      <c r="J14" s="11">
        <f t="shared" si="2"/>
        <v>0.59813084112149528</v>
      </c>
      <c r="K14" s="19">
        <f t="shared" si="3"/>
        <v>8.7382286636319542E-2</v>
      </c>
      <c r="L14" s="9">
        <f>VLOOKUP(C14,'[4]Programas Doct. Acreditados '!$B$3:$E$20,4,0)</f>
        <v>9</v>
      </c>
      <c r="M14" s="19">
        <f t="shared" si="4"/>
        <v>0.10975609756097561</v>
      </c>
      <c r="N14" s="21">
        <f t="shared" si="5"/>
        <v>0.10176409710822017</v>
      </c>
      <c r="O14" s="57">
        <f>+N14*'Resumen PFE 2019'!$H$19</f>
        <v>136039.18938508988</v>
      </c>
    </row>
    <row r="15" spans="1:15" x14ac:dyDescent="0.2">
      <c r="A15" s="6">
        <v>13</v>
      </c>
      <c r="B15" s="2" t="s">
        <v>29</v>
      </c>
      <c r="C15" s="13" t="s">
        <v>28</v>
      </c>
      <c r="D15" s="6">
        <f>VLOOKUP(C15,'[2]PAC 2017'!$D$35:$Z$62,23,0)</f>
        <v>213</v>
      </c>
      <c r="E15" s="6">
        <f>VLOOKUP(C15,[3]SCOPUS!$B$7:$K$33,10,0)</f>
        <v>414</v>
      </c>
      <c r="F15" s="14">
        <f t="shared" si="0"/>
        <v>1.943661971830986</v>
      </c>
      <c r="G15" s="18">
        <f t="shared" si="1"/>
        <v>7.6705537932651016E-2</v>
      </c>
      <c r="H15" s="9">
        <f>VLOOKUP(C15,'[2]PAC 2018'!$D$32:$Y$59,22,0)</f>
        <v>419</v>
      </c>
      <c r="I15" s="9">
        <f>VLOOKUP(C15,'[2]PAC 2018'!$D$32:$Z$59,23,0)</f>
        <v>243</v>
      </c>
      <c r="J15" s="11">
        <f t="shared" si="2"/>
        <v>0.57995226730310268</v>
      </c>
      <c r="K15" s="19">
        <f t="shared" si="3"/>
        <v>8.4726537695068049E-2</v>
      </c>
      <c r="L15" s="9">
        <f>VLOOKUP(C15,'[4]Programas Doct. Acreditados '!$B$3:$E$20,4,0)</f>
        <v>7</v>
      </c>
      <c r="M15" s="19">
        <f t="shared" si="4"/>
        <v>8.5365853658536592E-2</v>
      </c>
      <c r="N15" s="21">
        <f t="shared" si="5"/>
        <v>8.2265976428751886E-2</v>
      </c>
      <c r="O15" s="57">
        <f>+N15*'Resumen PFE 2019'!$H$19</f>
        <v>109973.92071821679</v>
      </c>
    </row>
    <row r="16" spans="1:15" x14ac:dyDescent="0.2">
      <c r="A16" s="6">
        <v>14</v>
      </c>
      <c r="B16" s="2" t="s">
        <v>31</v>
      </c>
      <c r="C16" s="13" t="s">
        <v>30</v>
      </c>
      <c r="D16" s="6">
        <f>VLOOKUP(C16,'[2]PAC 2017'!$D$35:$Z$62,23,0)</f>
        <v>124</v>
      </c>
      <c r="E16" s="6">
        <f>VLOOKUP(C16,[3]SCOPUS!$B$7:$K$33,10,0)</f>
        <v>233</v>
      </c>
      <c r="F16" s="14">
        <f t="shared" si="0"/>
        <v>1.8790322580645162</v>
      </c>
      <c r="G16" s="18">
        <f t="shared" si="1"/>
        <v>7.4154962249874112E-2</v>
      </c>
      <c r="H16" s="9">
        <f>VLOOKUP(C16,'[2]PAC 2018'!$D$32:$Y$59,22,0)</f>
        <v>319</v>
      </c>
      <c r="I16" s="9">
        <f>VLOOKUP(C16,'[2]PAC 2018'!$D$32:$Z$59,23,0)</f>
        <v>128</v>
      </c>
      <c r="J16" s="11">
        <f t="shared" si="2"/>
        <v>0.40125391849529779</v>
      </c>
      <c r="K16" s="19">
        <f t="shared" si="3"/>
        <v>5.8620091975462009E-2</v>
      </c>
      <c r="L16" s="9">
        <f>VLOOKUP(C16,'[4]Programas Doct. Acreditados '!$B$3:$E$20,4,0)</f>
        <v>0</v>
      </c>
      <c r="M16" s="19">
        <f t="shared" si="4"/>
        <v>0</v>
      </c>
      <c r="N16" s="21">
        <f t="shared" si="5"/>
        <v>4.4258351408445369E-2</v>
      </c>
      <c r="O16" s="57">
        <f>+N16*'Resumen PFE 2019'!$H$19</f>
        <v>59164.974880310838</v>
      </c>
    </row>
    <row r="17" spans="1:15" x14ac:dyDescent="0.2">
      <c r="A17" s="6">
        <v>15</v>
      </c>
      <c r="B17" s="2" t="s">
        <v>33</v>
      </c>
      <c r="C17" s="13" t="s">
        <v>32</v>
      </c>
      <c r="D17" s="6">
        <f>VLOOKUP(C17,'[2]PAC 2017'!$D$35:$Z$62,23,0)</f>
        <v>217</v>
      </c>
      <c r="E17" s="6">
        <f>VLOOKUP(C17,[3]SCOPUS!$B$7:$K$33,10,0)</f>
        <v>253</v>
      </c>
      <c r="F17" s="14">
        <f t="shared" si="0"/>
        <v>1.1658986175115207</v>
      </c>
      <c r="G17" s="18">
        <f t="shared" si="1"/>
        <v>4.601154003486977E-2</v>
      </c>
      <c r="H17" s="9">
        <f>VLOOKUP(C17,'[2]PAC 2018'!$D$32:$Y$59,22,0)</f>
        <v>459</v>
      </c>
      <c r="I17" s="9">
        <f>VLOOKUP(C17,'[2]PAC 2018'!$D$32:$Z$59,23,0)</f>
        <v>241</v>
      </c>
      <c r="J17" s="11">
        <f t="shared" si="2"/>
        <v>0.52505446623093677</v>
      </c>
      <c r="K17" s="19">
        <f t="shared" si="3"/>
        <v>7.6706393841597623E-2</v>
      </c>
      <c r="L17" s="9">
        <f>VLOOKUP(C17,'[4]Programas Doct. Acreditados '!$B$3:$E$20,4,0)</f>
        <v>2</v>
      </c>
      <c r="M17" s="19">
        <f t="shared" si="4"/>
        <v>2.4390243902439025E-2</v>
      </c>
      <c r="N17" s="21">
        <f t="shared" si="5"/>
        <v>4.9036059259635473E-2</v>
      </c>
      <c r="O17" s="57">
        <f>+N17*'Resumen PFE 2019'!$H$19</f>
        <v>65551.859072910636</v>
      </c>
    </row>
    <row r="18" spans="1:15" x14ac:dyDescent="0.2">
      <c r="A18" s="6">
        <v>16</v>
      </c>
      <c r="B18" s="2" t="s">
        <v>35</v>
      </c>
      <c r="C18" s="13" t="s">
        <v>34</v>
      </c>
      <c r="D18" s="6">
        <f>VLOOKUP(C18,'[2]PAC 2017'!$D$35:$Z$62,23,0)</f>
        <v>60</v>
      </c>
      <c r="E18" s="6">
        <f>VLOOKUP(C18,[3]SCOPUS!$B$7:$K$33,10,0)</f>
        <v>35</v>
      </c>
      <c r="F18" s="14">
        <f t="shared" si="0"/>
        <v>0.58333333333333337</v>
      </c>
      <c r="G18" s="18">
        <f t="shared" si="1"/>
        <v>2.3020925333651906E-2</v>
      </c>
      <c r="H18" s="9">
        <f>VLOOKUP(C18,'[2]PAC 2018'!$D$32:$Y$59,22,0)</f>
        <v>229</v>
      </c>
      <c r="I18" s="9">
        <f>VLOOKUP(C18,'[2]PAC 2018'!$D$32:$Z$59,23,0)</f>
        <v>67</v>
      </c>
      <c r="J18" s="11">
        <f t="shared" si="2"/>
        <v>0.29257641921397382</v>
      </c>
      <c r="K18" s="19">
        <f t="shared" si="3"/>
        <v>4.2743150443216076E-2</v>
      </c>
      <c r="L18" s="9">
        <f>VLOOKUP(C18,'[4]Programas Doct. Acreditados '!$B$3:$E$20,4,0)</f>
        <v>0</v>
      </c>
      <c r="M18" s="19">
        <f t="shared" si="4"/>
        <v>0</v>
      </c>
      <c r="N18" s="21">
        <f t="shared" si="5"/>
        <v>2.1921358592289327E-2</v>
      </c>
      <c r="O18" s="57">
        <f>+N18*'Resumen PFE 2019'!$H$19</f>
        <v>29304.675596380108</v>
      </c>
    </row>
    <row r="19" spans="1:15" x14ac:dyDescent="0.2">
      <c r="D19" s="6">
        <f t="shared" ref="D19:N19" si="6">SUM(D3:D18)</f>
        <v>3132</v>
      </c>
      <c r="E19" s="6">
        <f t="shared" si="6"/>
        <v>6165</v>
      </c>
      <c r="F19" s="14">
        <f t="shared" si="6"/>
        <v>25.339265250151296</v>
      </c>
      <c r="G19" s="19">
        <f t="shared" si="6"/>
        <v>0.99999999999999989</v>
      </c>
      <c r="H19" s="9">
        <f t="shared" si="6"/>
        <v>6739</v>
      </c>
      <c r="I19" s="9">
        <f t="shared" si="6"/>
        <v>3340</v>
      </c>
      <c r="J19" s="15">
        <f t="shared" si="6"/>
        <v>6.8449895756434511</v>
      </c>
      <c r="K19" s="19">
        <f t="shared" si="6"/>
        <v>1</v>
      </c>
      <c r="L19" s="16">
        <f t="shared" si="6"/>
        <v>82</v>
      </c>
      <c r="M19" s="19">
        <f t="shared" si="6"/>
        <v>1</v>
      </c>
      <c r="N19" s="21">
        <f t="shared" si="6"/>
        <v>1</v>
      </c>
      <c r="O19" s="57">
        <f>+N19*'Resumen PFE 2019'!$H$19</f>
        <v>1336809.28</v>
      </c>
    </row>
    <row r="21" spans="1:15" x14ac:dyDescent="0.2">
      <c r="C21">
        <v>1</v>
      </c>
      <c r="D21">
        <v>2</v>
      </c>
      <c r="E21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</row>
    <row r="24" spans="1:15" x14ac:dyDescent="0.2">
      <c r="D24" t="s">
        <v>179</v>
      </c>
      <c r="E24" t="s">
        <v>180</v>
      </c>
      <c r="F24" t="s">
        <v>187</v>
      </c>
      <c r="G24" t="s">
        <v>183</v>
      </c>
      <c r="H24" t="s">
        <v>184</v>
      </c>
      <c r="I24" t="s">
        <v>184</v>
      </c>
      <c r="J24" t="s">
        <v>185</v>
      </c>
      <c r="K24" t="s">
        <v>189</v>
      </c>
      <c r="L24" t="s">
        <v>191</v>
      </c>
      <c r="M24" t="s">
        <v>193</v>
      </c>
    </row>
    <row r="25" spans="1:15" x14ac:dyDescent="0.2">
      <c r="F25" t="s">
        <v>182</v>
      </c>
      <c r="J25" t="s">
        <v>188</v>
      </c>
      <c r="L25" t="s">
        <v>192</v>
      </c>
    </row>
  </sheetData>
  <mergeCells count="3">
    <mergeCell ref="D1:G1"/>
    <mergeCell ref="H1:K1"/>
    <mergeCell ref="L1:M1"/>
  </mergeCells>
  <pageMargins left="0.70866141732283472" right="0.70866141732283472" top="0.74803149606299213" bottom="0.74803149606299213" header="0.31496062992125984" footer="0.31496062992125984"/>
  <pageSetup paperSize="14" scale="84" orientation="landscape" verticalDpi="0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V25"/>
  <sheetViews>
    <sheetView topLeftCell="AC4" workbookViewId="0">
      <selection activeCell="AL26" sqref="AL26"/>
    </sheetView>
  </sheetViews>
  <sheetFormatPr baseColWidth="10" defaultRowHeight="15" x14ac:dyDescent="0.2"/>
  <cols>
    <col min="1" max="1" width="3" bestFit="1" customWidth="1"/>
    <col min="2" max="2" width="27" bestFit="1" customWidth="1"/>
    <col min="4" max="7" width="10.1640625" customWidth="1"/>
    <col min="8" max="11" width="10.5" customWidth="1"/>
    <col min="18" max="18" width="12.5" customWidth="1"/>
    <col min="25" max="28" width="10.33203125" customWidth="1"/>
    <col min="29" max="32" width="9.5" customWidth="1"/>
    <col min="46" max="46" width="13.5" customWidth="1"/>
    <col min="47" max="47" width="12.5" bestFit="1" customWidth="1"/>
  </cols>
  <sheetData>
    <row r="1" spans="1:47" s="63" customFormat="1" ht="24.75" customHeight="1" x14ac:dyDescent="0.2">
      <c r="D1" s="208" t="s">
        <v>142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11" t="s">
        <v>143</v>
      </c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01" t="s">
        <v>128</v>
      </c>
    </row>
    <row r="2" spans="1:47" s="63" customFormat="1" ht="39" customHeight="1" x14ac:dyDescent="0.2">
      <c r="D2" s="202" t="s">
        <v>109</v>
      </c>
      <c r="E2" s="202"/>
      <c r="F2" s="202"/>
      <c r="G2" s="202"/>
      <c r="H2" s="203" t="s">
        <v>117</v>
      </c>
      <c r="I2" s="203"/>
      <c r="J2" s="203"/>
      <c r="K2" s="203"/>
      <c r="L2" s="204" t="s">
        <v>144</v>
      </c>
      <c r="M2" s="205"/>
      <c r="N2" s="205"/>
      <c r="O2" s="205"/>
      <c r="P2" s="73">
        <v>0.7</v>
      </c>
      <c r="Q2" s="204" t="s">
        <v>147</v>
      </c>
      <c r="R2" s="205"/>
      <c r="S2" s="205"/>
      <c r="T2" s="205"/>
      <c r="U2" s="205"/>
      <c r="V2" s="205"/>
      <c r="W2" s="73">
        <v>0.3</v>
      </c>
      <c r="X2" s="206" t="s">
        <v>127</v>
      </c>
      <c r="Y2" s="202" t="s">
        <v>95</v>
      </c>
      <c r="Z2" s="202"/>
      <c r="AA2" s="202"/>
      <c r="AB2" s="202"/>
      <c r="AC2" s="202" t="s">
        <v>96</v>
      </c>
      <c r="AD2" s="202"/>
      <c r="AE2" s="202"/>
      <c r="AF2" s="202"/>
      <c r="AG2" s="214" t="s">
        <v>152</v>
      </c>
      <c r="AH2" s="215"/>
      <c r="AI2" s="215"/>
      <c r="AJ2" s="215"/>
      <c r="AK2" s="76">
        <v>0.7</v>
      </c>
      <c r="AL2" s="209" t="s">
        <v>153</v>
      </c>
      <c r="AM2" s="210"/>
      <c r="AN2" s="210"/>
      <c r="AO2" s="210"/>
      <c r="AP2" s="210"/>
      <c r="AQ2" s="210"/>
      <c r="AR2" s="76">
        <v>0.3</v>
      </c>
      <c r="AS2" s="212" t="s">
        <v>107</v>
      </c>
      <c r="AT2" s="201"/>
    </row>
    <row r="3" spans="1:47" ht="83.25" customHeight="1" x14ac:dyDescent="0.2">
      <c r="A3" s="5" t="s">
        <v>1</v>
      </c>
      <c r="B3" s="1" t="s">
        <v>3</v>
      </c>
      <c r="C3" s="26" t="s">
        <v>2</v>
      </c>
      <c r="D3" s="96" t="s">
        <v>93</v>
      </c>
      <c r="E3" s="100" t="s">
        <v>94</v>
      </c>
      <c r="F3" s="64" t="s">
        <v>111</v>
      </c>
      <c r="G3" s="101" t="s">
        <v>112</v>
      </c>
      <c r="H3" s="110" t="s">
        <v>113</v>
      </c>
      <c r="I3" s="114" t="s">
        <v>114</v>
      </c>
      <c r="J3" s="115" t="s">
        <v>115</v>
      </c>
      <c r="K3" s="116" t="s">
        <v>116</v>
      </c>
      <c r="L3" s="113" t="s">
        <v>118</v>
      </c>
      <c r="M3" s="69" t="s">
        <v>145</v>
      </c>
      <c r="N3" s="69" t="s">
        <v>119</v>
      </c>
      <c r="O3" s="69" t="s">
        <v>120</v>
      </c>
      <c r="P3" s="65" t="s">
        <v>148</v>
      </c>
      <c r="Q3" s="70" t="s">
        <v>121</v>
      </c>
      <c r="R3" s="70" t="s">
        <v>146</v>
      </c>
      <c r="S3" s="70" t="s">
        <v>123</v>
      </c>
      <c r="T3" s="70" t="s">
        <v>124</v>
      </c>
      <c r="U3" s="70" t="s">
        <v>125</v>
      </c>
      <c r="V3" s="70" t="s">
        <v>126</v>
      </c>
      <c r="W3" s="68" t="s">
        <v>149</v>
      </c>
      <c r="X3" s="207"/>
      <c r="Y3" s="96" t="s">
        <v>91</v>
      </c>
      <c r="Z3" s="131" t="s">
        <v>92</v>
      </c>
      <c r="AA3" s="64" t="s">
        <v>93</v>
      </c>
      <c r="AB3" s="132" t="s">
        <v>94</v>
      </c>
      <c r="AC3" s="137" t="s">
        <v>97</v>
      </c>
      <c r="AD3" s="141" t="s">
        <v>98</v>
      </c>
      <c r="AE3" s="33" t="s">
        <v>99</v>
      </c>
      <c r="AF3" s="116" t="s">
        <v>100</v>
      </c>
      <c r="AG3" s="140" t="s">
        <v>101</v>
      </c>
      <c r="AH3" s="27" t="s">
        <v>102</v>
      </c>
      <c r="AI3" s="27" t="s">
        <v>103</v>
      </c>
      <c r="AJ3" s="27" t="s">
        <v>151</v>
      </c>
      <c r="AK3" s="77" t="s">
        <v>150</v>
      </c>
      <c r="AL3" s="27" t="s">
        <v>110</v>
      </c>
      <c r="AM3" s="27" t="s">
        <v>104</v>
      </c>
      <c r="AN3" s="27" t="s">
        <v>122</v>
      </c>
      <c r="AO3" s="27" t="s">
        <v>105</v>
      </c>
      <c r="AP3" s="27" t="s">
        <v>106</v>
      </c>
      <c r="AQ3" s="81" t="s">
        <v>108</v>
      </c>
      <c r="AR3" s="84" t="s">
        <v>154</v>
      </c>
      <c r="AS3" s="213"/>
      <c r="AT3" s="201"/>
      <c r="AU3" s="61" t="s">
        <v>40</v>
      </c>
    </row>
    <row r="4" spans="1:47" x14ac:dyDescent="0.2">
      <c r="A4" s="6">
        <v>1</v>
      </c>
      <c r="B4" s="2" t="s">
        <v>5</v>
      </c>
      <c r="C4" s="13" t="s">
        <v>4</v>
      </c>
      <c r="D4" s="97">
        <f>VLOOKUP($C4,'[5]RET 1º año quintil'!$C$11:$V$37,11,0)</f>
        <v>508</v>
      </c>
      <c r="E4" s="122">
        <f>VLOOKUP($C4,'[5]RET 1º año quintil'!$C$11:$V$37,12,0)</f>
        <v>571</v>
      </c>
      <c r="F4" s="123">
        <f>VLOOKUP($C4,'[5]RET 1º año quintil'!$C$11:$V$37,13,0)</f>
        <v>669</v>
      </c>
      <c r="G4" s="124">
        <f>VLOOKUP($C4,'[5]RET 1º año quintil'!$C$11:$V$37,14,0)</f>
        <v>697</v>
      </c>
      <c r="H4" s="111">
        <f>VLOOKUP($C4,'[5]RET 1º año quintil'!$C$11:$V$37,17,0)</f>
        <v>357</v>
      </c>
      <c r="I4" s="118">
        <f>VLOOKUP($C4,'[5]RET 1º año quintil'!$C$11:$V$37,18,0)</f>
        <v>410</v>
      </c>
      <c r="J4" s="119">
        <f>VLOOKUP($C4,'[5]RET 1º año quintil'!$C$11:$V$37,19,0)</f>
        <v>526</v>
      </c>
      <c r="K4" s="120">
        <f>VLOOKUP($C4,'[5]RET 1º año quintil'!$C$11:$V$37,20,0)</f>
        <v>561</v>
      </c>
      <c r="L4" s="125">
        <f>E4+F4+G4</f>
        <v>1937</v>
      </c>
      <c r="M4" s="121">
        <f>I4+J4+K4</f>
        <v>1497</v>
      </c>
      <c r="N4" s="31">
        <f>M4/L4</f>
        <v>0.77284460505937014</v>
      </c>
      <c r="O4" s="74">
        <f>N4/$N$20</f>
        <v>5.893184507303105E-2</v>
      </c>
      <c r="P4" s="66">
        <f>+O4*$P$2</f>
        <v>4.1252291551121735E-2</v>
      </c>
      <c r="Q4" s="30">
        <f>D4+E4+F4</f>
        <v>1748</v>
      </c>
      <c r="R4" s="30">
        <f>H4+I4+J4</f>
        <v>1293</v>
      </c>
      <c r="S4" s="31">
        <f>R4/Q4</f>
        <v>0.73970251716247137</v>
      </c>
      <c r="T4" s="39">
        <f>N4/S4-1</f>
        <v>4.480461689387405E-2</v>
      </c>
      <c r="U4" s="34">
        <f>IF(T4&gt;=0,T4,0)</f>
        <v>4.480461689387405E-2</v>
      </c>
      <c r="V4" s="74">
        <f>U4/$U$20</f>
        <v>0.22848501269968555</v>
      </c>
      <c r="W4" s="66">
        <f>+V4*$W$2</f>
        <v>6.8545503809905664E-2</v>
      </c>
      <c r="X4" s="71">
        <f>P4+W4</f>
        <v>0.10979779536102741</v>
      </c>
      <c r="Y4" s="128">
        <f>VLOOKUP($C4,'[5]RET DE 3º AÑO '!$C$10:$V$36,11,0)</f>
        <v>686</v>
      </c>
      <c r="Z4" s="144">
        <f>VLOOKUP($C4,'[5]RET DE 3º AÑO '!$C$10:$V$36,12,0)</f>
        <v>998</v>
      </c>
      <c r="AA4" s="145">
        <f>VLOOKUP($C4,'[5]RET DE 3º AÑO '!$C$10:$V$36,13,0)</f>
        <v>1016</v>
      </c>
      <c r="AB4" s="146">
        <f>VLOOKUP($C4,'[5]RET DE 3º AÑO '!$C$10:$V$36,14,0)</f>
        <v>1012</v>
      </c>
      <c r="AC4" s="138">
        <f>VLOOKUP($C4,'[5]RET DE 3º AÑO '!$C$10:$V$36,17,0)</f>
        <v>304</v>
      </c>
      <c r="AD4" s="148">
        <f>VLOOKUP($C4,'[5]RET DE 3º AÑO '!$C$10:$V$36,18,0)</f>
        <v>526</v>
      </c>
      <c r="AE4" s="149">
        <f>VLOOKUP($C4,'[5]RET DE 3º AÑO '!$C$10:$V$36,19,0)</f>
        <v>544</v>
      </c>
      <c r="AF4" s="150">
        <f>VLOOKUP($C4,'[5]RET DE 3º AÑO '!$C$10:$V$36,20,0)</f>
        <v>588</v>
      </c>
      <c r="AG4" s="147">
        <f>Z4+AA4+AB4</f>
        <v>3026</v>
      </c>
      <c r="AH4" s="149">
        <f>AD4+AE4+AF4</f>
        <v>1658</v>
      </c>
      <c r="AI4" s="11">
        <f>AH4/AG4</f>
        <v>0.54791804362194318</v>
      </c>
      <c r="AJ4" s="78">
        <f t="shared" ref="AJ4:AJ19" si="0">AI4/$AI$20</f>
        <v>5.4462227039510744E-2</v>
      </c>
      <c r="AK4" s="80">
        <f>+AJ4*$AK$2</f>
        <v>3.8123558927657515E-2</v>
      </c>
      <c r="AL4" s="16">
        <f>Y4+Z4+AA4</f>
        <v>2700</v>
      </c>
      <c r="AM4" s="16">
        <f>AC4+AD4+AE4</f>
        <v>1374</v>
      </c>
      <c r="AN4" s="11">
        <f>AM4/AL4</f>
        <v>0.50888888888888884</v>
      </c>
      <c r="AO4" s="15">
        <f>AI4/AN4-1</f>
        <v>7.669484554530337E-2</v>
      </c>
      <c r="AP4" s="34">
        <f>IF(AO4&gt;=0,AO4,0)</f>
        <v>7.669484554530337E-2</v>
      </c>
      <c r="AQ4" s="82">
        <f t="shared" ref="AQ4:AQ19" si="1">AP4/$AP$20</f>
        <v>0.41480441263063594</v>
      </c>
      <c r="AR4" s="85">
        <f>+AQ4*$AR$2</f>
        <v>0.12444132378919077</v>
      </c>
      <c r="AS4" s="37">
        <f>AK4+AR4</f>
        <v>0.1625648827168483</v>
      </c>
      <c r="AT4" s="87">
        <f>AVERAGE(AS4,X4)</f>
        <v>0.13618133903893787</v>
      </c>
      <c r="AU4" s="170">
        <f>+AT4*'Resumen PFE 2019'!$I$19</f>
        <v>273072.71668511763</v>
      </c>
    </row>
    <row r="5" spans="1:47" x14ac:dyDescent="0.2">
      <c r="A5" s="6">
        <v>2</v>
      </c>
      <c r="B5" s="2" t="s">
        <v>7</v>
      </c>
      <c r="C5" s="13" t="s">
        <v>6</v>
      </c>
      <c r="D5" s="97">
        <f>VLOOKUP($C5,'[5]RET 1º año quintil'!$C$11:$V$37,11,0)</f>
        <v>2572</v>
      </c>
      <c r="E5" s="122">
        <f>VLOOKUP($C5,'[5]RET 1º año quintil'!$C$11:$V$37,12,0)</f>
        <v>2705</v>
      </c>
      <c r="F5" s="123">
        <f>VLOOKUP($C5,'[5]RET 1º año quintil'!$C$11:$V$37,13,0)</f>
        <v>2833</v>
      </c>
      <c r="G5" s="124">
        <f>VLOOKUP($C5,'[5]RET 1º año quintil'!$C$11:$V$37,14,0)</f>
        <v>2856</v>
      </c>
      <c r="H5" s="111">
        <f>VLOOKUP($C5,'[5]RET 1º año quintil'!$C$11:$V$37,17,0)</f>
        <v>2144</v>
      </c>
      <c r="I5" s="118">
        <f>VLOOKUP($C5,'[5]RET 1º año quintil'!$C$11:$V$37,18,0)</f>
        <v>2228</v>
      </c>
      <c r="J5" s="119">
        <f>VLOOKUP($C5,'[5]RET 1º año quintil'!$C$11:$V$37,19,0)</f>
        <v>2431</v>
      </c>
      <c r="K5" s="120">
        <f>VLOOKUP($C5,'[5]RET 1º año quintil'!$C$11:$V$37,20,0)</f>
        <v>2514</v>
      </c>
      <c r="L5" s="125">
        <f t="shared" ref="L5:L19" si="2">E5+F5+G5</f>
        <v>8394</v>
      </c>
      <c r="M5" s="121">
        <f t="shared" ref="M5:M19" si="3">I5+J5+K5</f>
        <v>7173</v>
      </c>
      <c r="N5" s="31">
        <f t="shared" ref="N5:N19" si="4">M5/L5</f>
        <v>0.85453895639742672</v>
      </c>
      <c r="O5" s="74">
        <f t="shared" ref="O5:O19" si="5">N5/$N$20</f>
        <v>6.5161297701514201E-2</v>
      </c>
      <c r="P5" s="66">
        <f t="shared" ref="P5:P19" si="6">+O5*$P$2</f>
        <v>4.5612908391059935E-2</v>
      </c>
      <c r="Q5" s="30">
        <f t="shared" ref="Q5:Q19" si="7">D5+E5+F5</f>
        <v>8110</v>
      </c>
      <c r="R5" s="30">
        <f t="shared" ref="R5:R19" si="8">H5+I5+J5</f>
        <v>6803</v>
      </c>
      <c r="S5" s="31">
        <f t="shared" ref="S5:S18" si="9">R5/Q5</f>
        <v>0.83884093711467322</v>
      </c>
      <c r="T5" s="39">
        <f t="shared" ref="T5:T18" si="10">N5/S5-1</f>
        <v>1.8713940376764882E-2</v>
      </c>
      <c r="U5" s="34">
        <f t="shared" ref="U5:U19" si="11">IF(T5&gt;=0,T5,0)</f>
        <v>1.8713940376764882E-2</v>
      </c>
      <c r="V5" s="74">
        <f t="shared" ref="V5:V18" si="12">U5/$U$20</f>
        <v>9.5433354887828586E-2</v>
      </c>
      <c r="W5" s="66">
        <f t="shared" ref="W5:W18" si="13">+V5*$W$2</f>
        <v>2.8630006466348574E-2</v>
      </c>
      <c r="X5" s="71">
        <f t="shared" ref="X5:X19" si="14">P5+W5</f>
        <v>7.4242914857408512E-2</v>
      </c>
      <c r="Y5" s="128">
        <f>VLOOKUP($C5,'[5]RET DE 3º AÑO '!$C$10:$V$36,11,0)</f>
        <v>5011</v>
      </c>
      <c r="Z5" s="144">
        <f>VLOOKUP($C5,'[5]RET DE 3º AÑO '!$C$10:$V$36,12,0)</f>
        <v>5265</v>
      </c>
      <c r="AA5" s="145">
        <f>VLOOKUP($C5,'[5]RET DE 3º AÑO '!$C$10:$V$36,13,0)</f>
        <v>5594</v>
      </c>
      <c r="AB5" s="146">
        <f>VLOOKUP($C5,'[5]RET DE 3º AÑO '!$C$10:$V$36,14,0)</f>
        <v>5858</v>
      </c>
      <c r="AC5" s="138">
        <f>VLOOKUP($C5,'[5]RET DE 3º AÑO '!$C$10:$V$36,17,0)</f>
        <v>3575</v>
      </c>
      <c r="AD5" s="148">
        <f>VLOOKUP($C5,'[5]RET DE 3º AÑO '!$C$10:$V$36,18,0)</f>
        <v>3813</v>
      </c>
      <c r="AE5" s="149">
        <f>VLOOKUP($C5,'[5]RET DE 3º AÑO '!$C$10:$V$36,19,0)</f>
        <v>4098</v>
      </c>
      <c r="AF5" s="150">
        <f>VLOOKUP($C5,'[5]RET DE 3º AÑO '!$C$10:$V$36,20,0)</f>
        <v>4213</v>
      </c>
      <c r="AG5" s="147">
        <f t="shared" ref="AG5:AG19" si="15">Z5+AA5+AB5</f>
        <v>16717</v>
      </c>
      <c r="AH5" s="149">
        <f t="shared" ref="AH5:AH19" si="16">AD5+AE5+AF5</f>
        <v>12124</v>
      </c>
      <c r="AI5" s="11">
        <f t="shared" ref="AI5:AI19" si="17">AH5/AG5</f>
        <v>0.72524974576778134</v>
      </c>
      <c r="AJ5" s="78">
        <f t="shared" si="0"/>
        <v>7.208873074018711E-2</v>
      </c>
      <c r="AK5" s="80">
        <f t="shared" ref="AK5:AK19" si="18">+AJ5*$AK$2</f>
        <v>5.0462111518130973E-2</v>
      </c>
      <c r="AL5" s="16">
        <f t="shared" ref="AL5:AL18" si="19">Y5+Z5+AA5</f>
        <v>15870</v>
      </c>
      <c r="AM5" s="16">
        <f t="shared" ref="AM5:AM18" si="20">AC5+AD5+AE5</f>
        <v>11486</v>
      </c>
      <c r="AN5" s="11">
        <f t="shared" ref="AN5:AN18" si="21">AM5/AL5</f>
        <v>0.72375551354757406</v>
      </c>
      <c r="AO5" s="15">
        <f t="shared" ref="AO5:AO19" si="22">AI5/AN5-1</f>
        <v>2.0645538337706881E-3</v>
      </c>
      <c r="AP5" s="34">
        <f t="shared" ref="AP5:AP19" si="23">IF(AO5&gt;=0,AO5,0)</f>
        <v>2.0645538337706881E-3</v>
      </c>
      <c r="AQ5" s="82">
        <f t="shared" si="1"/>
        <v>1.116614857586112E-2</v>
      </c>
      <c r="AR5" s="85">
        <f t="shared" ref="AR5:AR19" si="24">+AQ5*$AR$2</f>
        <v>3.3498445727583358E-3</v>
      </c>
      <c r="AS5" s="37">
        <f t="shared" ref="AS5:AS18" si="25">AK5+AR5</f>
        <v>5.3811956090889311E-2</v>
      </c>
      <c r="AT5" s="87">
        <f t="shared" ref="AT5:AT19" si="26">AVERAGE(AS5,X5)</f>
        <v>6.4027435474148908E-2</v>
      </c>
      <c r="AU5" s="170">
        <f>+AT5*'Resumen PFE 2019'!$I$19</f>
        <v>128388.70487466519</v>
      </c>
    </row>
    <row r="6" spans="1:47" x14ac:dyDescent="0.2">
      <c r="A6" s="6">
        <v>3</v>
      </c>
      <c r="B6" s="2" t="s">
        <v>9</v>
      </c>
      <c r="C6" s="13" t="s">
        <v>8</v>
      </c>
      <c r="D6" s="97">
        <f>VLOOKUP($C6,'[5]RET 1º año quintil'!$C$11:$V$37,11,0)</f>
        <v>288</v>
      </c>
      <c r="E6" s="122">
        <f>VLOOKUP($C6,'[5]RET 1º año quintil'!$C$11:$V$37,12,0)</f>
        <v>325</v>
      </c>
      <c r="F6" s="123">
        <f>VLOOKUP($C6,'[5]RET 1º año quintil'!$C$11:$V$37,13,0)</f>
        <v>438</v>
      </c>
      <c r="G6" s="124">
        <f>VLOOKUP($C6,'[5]RET 1º año quintil'!$C$11:$V$37,14,0)</f>
        <v>419</v>
      </c>
      <c r="H6" s="111">
        <f>VLOOKUP($C6,'[5]RET 1º año quintil'!$C$11:$V$37,17,0)</f>
        <v>244</v>
      </c>
      <c r="I6" s="118">
        <f>VLOOKUP($C6,'[5]RET 1º año quintil'!$C$11:$V$37,18,0)</f>
        <v>271</v>
      </c>
      <c r="J6" s="119">
        <f>VLOOKUP($C6,'[5]RET 1º año quintil'!$C$11:$V$37,19,0)</f>
        <v>341</v>
      </c>
      <c r="K6" s="120">
        <f>VLOOKUP($C6,'[5]RET 1º año quintil'!$C$11:$V$37,20,0)</f>
        <v>362</v>
      </c>
      <c r="L6" s="125">
        <f t="shared" si="2"/>
        <v>1182</v>
      </c>
      <c r="M6" s="121">
        <f t="shared" si="3"/>
        <v>974</v>
      </c>
      <c r="N6" s="31">
        <f t="shared" si="4"/>
        <v>0.82402707275803722</v>
      </c>
      <c r="O6" s="74">
        <f t="shared" si="5"/>
        <v>6.283467008743554E-2</v>
      </c>
      <c r="P6" s="66">
        <f t="shared" si="6"/>
        <v>4.3984269061204874E-2</v>
      </c>
      <c r="Q6" s="30">
        <f t="shared" si="7"/>
        <v>1051</v>
      </c>
      <c r="R6" s="30">
        <f t="shared" si="8"/>
        <v>856</v>
      </c>
      <c r="S6" s="31">
        <f t="shared" si="9"/>
        <v>0.81446241674595621</v>
      </c>
      <c r="T6" s="39">
        <f t="shared" si="10"/>
        <v>1.1743520407356378E-2</v>
      </c>
      <c r="U6" s="34">
        <f t="shared" si="11"/>
        <v>1.1743520407356378E-2</v>
      </c>
      <c r="V6" s="74">
        <f t="shared" si="12"/>
        <v>5.9887096362622932E-2</v>
      </c>
      <c r="W6" s="66">
        <f t="shared" si="13"/>
        <v>1.796612890878688E-2</v>
      </c>
      <c r="X6" s="71">
        <f t="shared" si="14"/>
        <v>6.1950397969991758E-2</v>
      </c>
      <c r="Y6" s="128">
        <f>VLOOKUP($C6,'[5]RET DE 3º AÑO '!$C$10:$V$36,11,0)</f>
        <v>446</v>
      </c>
      <c r="Z6" s="144">
        <f>VLOOKUP($C6,'[5]RET DE 3º AÑO '!$C$10:$V$36,12,0)</f>
        <v>605</v>
      </c>
      <c r="AA6" s="145">
        <f>VLOOKUP($C6,'[5]RET DE 3º AÑO '!$C$10:$V$36,13,0)</f>
        <v>559</v>
      </c>
      <c r="AB6" s="146">
        <f>VLOOKUP($C6,'[5]RET DE 3º AÑO '!$C$10:$V$36,14,0)</f>
        <v>668</v>
      </c>
      <c r="AC6" s="138">
        <f>VLOOKUP($C6,'[5]RET DE 3º AÑO '!$C$10:$V$36,17,0)</f>
        <v>283</v>
      </c>
      <c r="AD6" s="148">
        <f>VLOOKUP($C6,'[5]RET DE 3º AÑO '!$C$10:$V$36,18,0)</f>
        <v>362</v>
      </c>
      <c r="AE6" s="149">
        <f>VLOOKUP($C6,'[5]RET DE 3º AÑO '!$C$10:$V$36,19,0)</f>
        <v>379</v>
      </c>
      <c r="AF6" s="150">
        <f>VLOOKUP($C6,'[5]RET DE 3º AÑO '!$C$10:$V$36,20,0)</f>
        <v>408</v>
      </c>
      <c r="AG6" s="147">
        <f t="shared" si="15"/>
        <v>1832</v>
      </c>
      <c r="AH6" s="149">
        <f t="shared" si="16"/>
        <v>1149</v>
      </c>
      <c r="AI6" s="11">
        <f t="shared" si="17"/>
        <v>0.62718340611353707</v>
      </c>
      <c r="AJ6" s="78">
        <f t="shared" si="0"/>
        <v>6.2341084504852699E-2</v>
      </c>
      <c r="AK6" s="80">
        <f t="shared" si="18"/>
        <v>4.3638759153396885E-2</v>
      </c>
      <c r="AL6" s="16">
        <f t="shared" si="19"/>
        <v>1610</v>
      </c>
      <c r="AM6" s="16">
        <f t="shared" si="20"/>
        <v>1024</v>
      </c>
      <c r="AN6" s="11">
        <f t="shared" si="21"/>
        <v>0.63602484472049692</v>
      </c>
      <c r="AO6" s="15">
        <f t="shared" si="22"/>
        <v>-1.390108999727091E-2</v>
      </c>
      <c r="AP6" s="34">
        <f t="shared" si="23"/>
        <v>0</v>
      </c>
      <c r="AQ6" s="82">
        <f t="shared" si="1"/>
        <v>0</v>
      </c>
      <c r="AR6" s="85">
        <f t="shared" si="24"/>
        <v>0</v>
      </c>
      <c r="AS6" s="37">
        <f t="shared" si="25"/>
        <v>4.3638759153396885E-2</v>
      </c>
      <c r="AT6" s="87">
        <f t="shared" si="26"/>
        <v>5.2794578561694325E-2</v>
      </c>
      <c r="AU6" s="170">
        <f>+AT6*'Resumen PFE 2019'!$I$19</f>
        <v>105864.42383244303</v>
      </c>
    </row>
    <row r="7" spans="1:47" x14ac:dyDescent="0.2">
      <c r="A7" s="6">
        <v>4</v>
      </c>
      <c r="B7" s="2" t="s">
        <v>11</v>
      </c>
      <c r="C7" s="13" t="s">
        <v>10</v>
      </c>
      <c r="D7" s="97">
        <f>VLOOKUP($C7,'[5]RET 1º año quintil'!$C$11:$V$37,11,0)</f>
        <v>1845</v>
      </c>
      <c r="E7" s="122">
        <f>VLOOKUP($C7,'[5]RET 1º año quintil'!$C$11:$V$37,12,0)</f>
        <v>1839</v>
      </c>
      <c r="F7" s="123">
        <f>VLOOKUP($C7,'[5]RET 1º año quintil'!$C$11:$V$37,13,0)</f>
        <v>2326</v>
      </c>
      <c r="G7" s="124">
        <f>VLOOKUP($C7,'[5]RET 1º año quintil'!$C$11:$V$37,14,0)</f>
        <v>2315</v>
      </c>
      <c r="H7" s="111">
        <f>VLOOKUP($C7,'[5]RET 1º año quintil'!$C$11:$V$37,17,0)</f>
        <v>1490</v>
      </c>
      <c r="I7" s="118">
        <f>VLOOKUP($C7,'[5]RET 1º año quintil'!$C$11:$V$37,18,0)</f>
        <v>1510</v>
      </c>
      <c r="J7" s="119">
        <f>VLOOKUP($C7,'[5]RET 1º año quintil'!$C$11:$V$37,19,0)</f>
        <v>1933</v>
      </c>
      <c r="K7" s="120">
        <f>VLOOKUP($C7,'[5]RET 1º año quintil'!$C$11:$V$37,20,0)</f>
        <v>1919</v>
      </c>
      <c r="L7" s="125">
        <f t="shared" si="2"/>
        <v>6480</v>
      </c>
      <c r="M7" s="121">
        <f t="shared" si="3"/>
        <v>5362</v>
      </c>
      <c r="N7" s="31">
        <f t="shared" si="4"/>
        <v>0.82746913580246917</v>
      </c>
      <c r="O7" s="74">
        <f t="shared" si="5"/>
        <v>6.3097138279279208E-2</v>
      </c>
      <c r="P7" s="66">
        <f t="shared" si="6"/>
        <v>4.4167996795495441E-2</v>
      </c>
      <c r="Q7" s="30">
        <f t="shared" si="7"/>
        <v>6010</v>
      </c>
      <c r="R7" s="30">
        <f t="shared" si="8"/>
        <v>4933</v>
      </c>
      <c r="S7" s="31">
        <f t="shared" si="9"/>
        <v>0.82079866888519137</v>
      </c>
      <c r="T7" s="39">
        <f t="shared" si="10"/>
        <v>8.1268003593837346E-3</v>
      </c>
      <c r="U7" s="34">
        <f t="shared" si="11"/>
        <v>8.1268003593837346E-3</v>
      </c>
      <c r="V7" s="74">
        <f t="shared" si="12"/>
        <v>4.1443320176574962E-2</v>
      </c>
      <c r="W7" s="66">
        <f t="shared" si="13"/>
        <v>1.2432996052972487E-2</v>
      </c>
      <c r="X7" s="71">
        <f t="shared" si="14"/>
        <v>5.6600992848467931E-2</v>
      </c>
      <c r="Y7" s="128">
        <f>VLOOKUP($C7,'[5]RET DE 3º AÑO '!$C$10:$V$36,11,0)</f>
        <v>3285</v>
      </c>
      <c r="Z7" s="144">
        <f>VLOOKUP($C7,'[5]RET DE 3º AÑO '!$C$10:$V$36,12,0)</f>
        <v>3009</v>
      </c>
      <c r="AA7" s="145">
        <f>VLOOKUP($C7,'[5]RET DE 3º AÑO '!$C$10:$V$36,13,0)</f>
        <v>2847</v>
      </c>
      <c r="AB7" s="146">
        <f>VLOOKUP($C7,'[5]RET DE 3º AÑO '!$C$10:$V$36,14,0)</f>
        <v>3052</v>
      </c>
      <c r="AC7" s="138">
        <f>VLOOKUP($C7,'[5]RET DE 3º AÑO '!$C$10:$V$36,17,0)</f>
        <v>2105</v>
      </c>
      <c r="AD7" s="148">
        <f>VLOOKUP($C7,'[5]RET DE 3º AÑO '!$C$10:$V$36,18,0)</f>
        <v>1878</v>
      </c>
      <c r="AE7" s="149">
        <f>VLOOKUP($C7,'[5]RET DE 3º AÑO '!$C$10:$V$36,19,0)</f>
        <v>1851</v>
      </c>
      <c r="AF7" s="150">
        <f>VLOOKUP($C7,'[5]RET DE 3º AÑO '!$C$10:$V$36,20,0)</f>
        <v>2049</v>
      </c>
      <c r="AG7" s="147">
        <f t="shared" si="15"/>
        <v>8908</v>
      </c>
      <c r="AH7" s="149">
        <f t="shared" si="16"/>
        <v>5778</v>
      </c>
      <c r="AI7" s="11">
        <f t="shared" si="17"/>
        <v>0.64863044454422991</v>
      </c>
      <c r="AJ7" s="78">
        <f t="shared" si="0"/>
        <v>6.4472887773487975E-2</v>
      </c>
      <c r="AK7" s="80">
        <f t="shared" si="18"/>
        <v>4.5131021441441578E-2</v>
      </c>
      <c r="AL7" s="16">
        <f t="shared" si="19"/>
        <v>9141</v>
      </c>
      <c r="AM7" s="16">
        <f t="shared" si="20"/>
        <v>5834</v>
      </c>
      <c r="AN7" s="11">
        <f t="shared" si="21"/>
        <v>0.63822338912591625</v>
      </c>
      <c r="AO7" s="15">
        <f t="shared" si="22"/>
        <v>1.6306289608982727E-2</v>
      </c>
      <c r="AP7" s="34">
        <f t="shared" si="23"/>
        <v>1.6306289608982727E-2</v>
      </c>
      <c r="AQ7" s="82">
        <f t="shared" si="1"/>
        <v>8.8192639744527526E-2</v>
      </c>
      <c r="AR7" s="85">
        <f t="shared" si="24"/>
        <v>2.6457791923358256E-2</v>
      </c>
      <c r="AS7" s="37">
        <f t="shared" si="25"/>
        <v>7.158881336479983E-2</v>
      </c>
      <c r="AT7" s="87">
        <f t="shared" si="26"/>
        <v>6.4094903106633877E-2</v>
      </c>
      <c r="AU7" s="170">
        <f>+AT7*'Resumen PFE 2019'!$I$19</f>
        <v>128523.99191047349</v>
      </c>
    </row>
    <row r="8" spans="1:47" x14ac:dyDescent="0.2">
      <c r="A8" s="6">
        <v>5</v>
      </c>
      <c r="B8" s="2" t="s">
        <v>13</v>
      </c>
      <c r="C8" s="13" t="s">
        <v>12</v>
      </c>
      <c r="D8" s="97">
        <f>VLOOKUP($C8,'[5]RET 1º año quintil'!$C$11:$V$37,11,0)</f>
        <v>657</v>
      </c>
      <c r="E8" s="122">
        <f>VLOOKUP($C8,'[5]RET 1º año quintil'!$C$11:$V$37,12,0)</f>
        <v>603</v>
      </c>
      <c r="F8" s="123">
        <f>VLOOKUP($C8,'[5]RET 1º año quintil'!$C$11:$V$37,13,0)</f>
        <v>646</v>
      </c>
      <c r="G8" s="124">
        <f>VLOOKUP($C8,'[5]RET 1º año quintil'!$C$11:$V$37,14,0)</f>
        <v>692</v>
      </c>
      <c r="H8" s="111">
        <f>VLOOKUP($C8,'[5]RET 1º año quintil'!$C$11:$V$37,17,0)</f>
        <v>503</v>
      </c>
      <c r="I8" s="118">
        <f>VLOOKUP($C8,'[5]RET 1º año quintil'!$C$11:$V$37,18,0)</f>
        <v>442</v>
      </c>
      <c r="J8" s="119">
        <f>VLOOKUP($C8,'[5]RET 1º año quintil'!$C$11:$V$37,19,0)</f>
        <v>517</v>
      </c>
      <c r="K8" s="120">
        <f>VLOOKUP($C8,'[5]RET 1º año quintil'!$C$11:$V$37,20,0)</f>
        <v>568</v>
      </c>
      <c r="L8" s="125">
        <f t="shared" si="2"/>
        <v>1941</v>
      </c>
      <c r="M8" s="121">
        <f t="shared" si="3"/>
        <v>1527</v>
      </c>
      <c r="N8" s="31">
        <f t="shared" si="4"/>
        <v>0.78670788253477586</v>
      </c>
      <c r="O8" s="74">
        <f t="shared" si="5"/>
        <v>5.9988963819848584E-2</v>
      </c>
      <c r="P8" s="66">
        <f t="shared" si="6"/>
        <v>4.1992274673894006E-2</v>
      </c>
      <c r="Q8" s="30">
        <f t="shared" si="7"/>
        <v>1906</v>
      </c>
      <c r="R8" s="30">
        <f t="shared" si="8"/>
        <v>1462</v>
      </c>
      <c r="S8" s="31">
        <f t="shared" si="9"/>
        <v>0.76705141657922349</v>
      </c>
      <c r="T8" s="39">
        <f t="shared" si="10"/>
        <v>2.5626008284051149E-2</v>
      </c>
      <c r="U8" s="34">
        <f t="shared" si="11"/>
        <v>2.5626008284051149E-2</v>
      </c>
      <c r="V8" s="74">
        <f t="shared" si="12"/>
        <v>0.1306820420335795</v>
      </c>
      <c r="W8" s="66">
        <f t="shared" si="13"/>
        <v>3.9204612610073845E-2</v>
      </c>
      <c r="X8" s="71">
        <f t="shared" si="14"/>
        <v>8.1196887283967845E-2</v>
      </c>
      <c r="Y8" s="128">
        <f>VLOOKUP($C8,'[5]RET DE 3º AÑO '!$C$10:$V$36,11,0)</f>
        <v>998</v>
      </c>
      <c r="Z8" s="144">
        <f>VLOOKUP($C8,'[5]RET DE 3º AÑO '!$C$10:$V$36,12,0)</f>
        <v>968</v>
      </c>
      <c r="AA8" s="145">
        <f>VLOOKUP($C8,'[5]RET DE 3º AÑO '!$C$10:$V$36,13,0)</f>
        <v>1032</v>
      </c>
      <c r="AB8" s="146">
        <f>VLOOKUP($C8,'[5]RET DE 3º AÑO '!$C$10:$V$36,14,0)</f>
        <v>925</v>
      </c>
      <c r="AC8" s="138">
        <f>VLOOKUP($C8,'[5]RET DE 3º AÑO '!$C$10:$V$36,17,0)</f>
        <v>569</v>
      </c>
      <c r="AD8" s="148">
        <f>VLOOKUP($C8,'[5]RET DE 3º AÑO '!$C$10:$V$36,18,0)</f>
        <v>564</v>
      </c>
      <c r="AE8" s="149">
        <f>VLOOKUP($C8,'[5]RET DE 3º AÑO '!$C$10:$V$36,19,0)</f>
        <v>641</v>
      </c>
      <c r="AF8" s="150">
        <f>VLOOKUP($C8,'[5]RET DE 3º AÑO '!$C$10:$V$36,20,0)</f>
        <v>534</v>
      </c>
      <c r="AG8" s="147">
        <f t="shared" si="15"/>
        <v>2925</v>
      </c>
      <c r="AH8" s="149">
        <f t="shared" si="16"/>
        <v>1739</v>
      </c>
      <c r="AI8" s="11">
        <f t="shared" si="17"/>
        <v>0.59452991452991455</v>
      </c>
      <c r="AJ8" s="78">
        <f t="shared" si="0"/>
        <v>5.9095376696976482E-2</v>
      </c>
      <c r="AK8" s="80">
        <f t="shared" si="18"/>
        <v>4.1366763687883536E-2</v>
      </c>
      <c r="AL8" s="16">
        <f t="shared" si="19"/>
        <v>2998</v>
      </c>
      <c r="AM8" s="16">
        <f t="shared" si="20"/>
        <v>1774</v>
      </c>
      <c r="AN8" s="11">
        <f>AM8/AL8</f>
        <v>0.59172781854569712</v>
      </c>
      <c r="AO8" s="15">
        <f t="shared" si="22"/>
        <v>4.7354474411971381E-3</v>
      </c>
      <c r="AP8" s="34">
        <f t="shared" si="23"/>
        <v>4.7354474411971381E-3</v>
      </c>
      <c r="AQ8" s="82">
        <f t="shared" si="1"/>
        <v>2.5611688509480483E-2</v>
      </c>
      <c r="AR8" s="85">
        <f t="shared" si="24"/>
        <v>7.6835065528441443E-3</v>
      </c>
      <c r="AS8" s="37">
        <f t="shared" si="25"/>
        <v>4.9050270240727681E-2</v>
      </c>
      <c r="AT8" s="87">
        <f t="shared" si="26"/>
        <v>6.5123578762347756E-2</v>
      </c>
      <c r="AU8" s="170">
        <f>+AT8*'Resumen PFE 2019'!$I$19</f>
        <v>130586.70665447609</v>
      </c>
    </row>
    <row r="9" spans="1:47" x14ac:dyDescent="0.2">
      <c r="A9" s="6">
        <v>6</v>
      </c>
      <c r="B9" s="2" t="s">
        <v>15</v>
      </c>
      <c r="C9" s="13" t="s">
        <v>14</v>
      </c>
      <c r="D9" s="97">
        <f>VLOOKUP($C9,'[5]RET 1º año quintil'!$C$11:$V$37,11,0)</f>
        <v>720</v>
      </c>
      <c r="E9" s="122">
        <f>VLOOKUP($C9,'[5]RET 1º año quintil'!$C$11:$V$37,12,0)</f>
        <v>694</v>
      </c>
      <c r="F9" s="123">
        <f>VLOOKUP($C9,'[5]RET 1º año quintil'!$C$11:$V$37,13,0)</f>
        <v>839</v>
      </c>
      <c r="G9" s="124">
        <f>VLOOKUP($C9,'[5]RET 1º año quintil'!$C$11:$V$37,14,0)</f>
        <v>1025</v>
      </c>
      <c r="H9" s="111">
        <f>VLOOKUP($C9,'[5]RET 1º año quintil'!$C$11:$V$37,17,0)</f>
        <v>590</v>
      </c>
      <c r="I9" s="118">
        <f>VLOOKUP($C9,'[5]RET 1º año quintil'!$C$11:$V$37,18,0)</f>
        <v>587</v>
      </c>
      <c r="J9" s="119">
        <f>VLOOKUP($C9,'[5]RET 1º año quintil'!$C$11:$V$37,19,0)</f>
        <v>687</v>
      </c>
      <c r="K9" s="120">
        <f>VLOOKUP($C9,'[5]RET 1º año quintil'!$C$11:$V$37,20,0)</f>
        <v>837</v>
      </c>
      <c r="L9" s="125">
        <f t="shared" si="2"/>
        <v>2558</v>
      </c>
      <c r="M9" s="121">
        <f t="shared" si="3"/>
        <v>2111</v>
      </c>
      <c r="N9" s="31">
        <f t="shared" si="4"/>
        <v>0.82525410476935102</v>
      </c>
      <c r="O9" s="74">
        <f t="shared" si="5"/>
        <v>6.2928235158495119E-2</v>
      </c>
      <c r="P9" s="66">
        <f t="shared" si="6"/>
        <v>4.4049764610946583E-2</v>
      </c>
      <c r="Q9" s="30">
        <f t="shared" si="7"/>
        <v>2253</v>
      </c>
      <c r="R9" s="30">
        <f t="shared" si="8"/>
        <v>1864</v>
      </c>
      <c r="S9" s="31">
        <f t="shared" si="9"/>
        <v>0.82734132268086991</v>
      </c>
      <c r="T9" s="39">
        <f t="shared" si="10"/>
        <v>-2.5228014778175822E-3</v>
      </c>
      <c r="U9" s="34">
        <f t="shared" si="11"/>
        <v>0</v>
      </c>
      <c r="V9" s="74">
        <f t="shared" si="12"/>
        <v>0</v>
      </c>
      <c r="W9" s="66">
        <f t="shared" si="13"/>
        <v>0</v>
      </c>
      <c r="X9" s="71">
        <f t="shared" si="14"/>
        <v>4.4049764610946583E-2</v>
      </c>
      <c r="Y9" s="128">
        <f>VLOOKUP($C9,'[5]RET DE 3º AÑO '!$C$10:$V$36,11,0)</f>
        <v>641</v>
      </c>
      <c r="Z9" s="144">
        <f>VLOOKUP($C9,'[5]RET DE 3º AÑO '!$C$10:$V$36,12,0)</f>
        <v>743</v>
      </c>
      <c r="AA9" s="145">
        <f>VLOOKUP($C9,'[5]RET DE 3º AÑO '!$C$10:$V$36,13,0)</f>
        <v>884</v>
      </c>
      <c r="AB9" s="146">
        <f>VLOOKUP($C9,'[5]RET DE 3º AÑO '!$C$10:$V$36,14,0)</f>
        <v>841</v>
      </c>
      <c r="AC9" s="138">
        <f>VLOOKUP($C9,'[5]RET DE 3º AÑO '!$C$10:$V$36,17,0)</f>
        <v>427</v>
      </c>
      <c r="AD9" s="148">
        <f>VLOOKUP($C9,'[5]RET DE 3º AÑO '!$C$10:$V$36,18,0)</f>
        <v>451</v>
      </c>
      <c r="AE9" s="149">
        <f>VLOOKUP($C9,'[5]RET DE 3º AÑO '!$C$10:$V$36,19,0)</f>
        <v>554</v>
      </c>
      <c r="AF9" s="150">
        <f>VLOOKUP($C9,'[5]RET DE 3º AÑO '!$C$10:$V$36,20,0)</f>
        <v>543</v>
      </c>
      <c r="AG9" s="147">
        <f t="shared" si="15"/>
        <v>2468</v>
      </c>
      <c r="AH9" s="149">
        <f t="shared" si="16"/>
        <v>1548</v>
      </c>
      <c r="AI9" s="11">
        <f t="shared" si="17"/>
        <v>0.62722852512155591</v>
      </c>
      <c r="AJ9" s="78">
        <f t="shared" si="0"/>
        <v>6.2345569266190864E-2</v>
      </c>
      <c r="AK9" s="80">
        <f t="shared" si="18"/>
        <v>4.3641898486333604E-2</v>
      </c>
      <c r="AL9" s="16">
        <f t="shared" si="19"/>
        <v>2268</v>
      </c>
      <c r="AM9" s="16">
        <f t="shared" si="20"/>
        <v>1432</v>
      </c>
      <c r="AN9" s="11">
        <f t="shared" si="21"/>
        <v>0.63139329805996469</v>
      </c>
      <c r="AO9" s="15">
        <f t="shared" si="22"/>
        <v>-6.5961627264742306E-3</v>
      </c>
      <c r="AP9" s="34">
        <f t="shared" si="23"/>
        <v>0</v>
      </c>
      <c r="AQ9" s="82">
        <f t="shared" si="1"/>
        <v>0</v>
      </c>
      <c r="AR9" s="85">
        <f t="shared" si="24"/>
        <v>0</v>
      </c>
      <c r="AS9" s="37">
        <f t="shared" si="25"/>
        <v>4.3641898486333604E-2</v>
      </c>
      <c r="AT9" s="87">
        <f t="shared" si="26"/>
        <v>4.3845831548640093E-2</v>
      </c>
      <c r="AU9" s="170">
        <f>+AT9*'Resumen PFE 2019'!$I$19</f>
        <v>87920.271755308262</v>
      </c>
    </row>
    <row r="10" spans="1:47" x14ac:dyDescent="0.2">
      <c r="A10" s="6">
        <v>7</v>
      </c>
      <c r="B10" s="2" t="s">
        <v>17</v>
      </c>
      <c r="C10" s="13" t="s">
        <v>16</v>
      </c>
      <c r="D10" s="97">
        <f>VLOOKUP($C10,'[5]RET 1º año quintil'!$C$11:$V$37,11,0)</f>
        <v>1063</v>
      </c>
      <c r="E10" s="122">
        <f>VLOOKUP($C10,'[5]RET 1º año quintil'!$C$11:$V$37,12,0)</f>
        <v>1246</v>
      </c>
      <c r="F10" s="123">
        <f>VLOOKUP($C10,'[5]RET 1º año quintil'!$C$11:$V$37,13,0)</f>
        <v>1404</v>
      </c>
      <c r="G10" s="124">
        <f>VLOOKUP($C10,'[5]RET 1º año quintil'!$C$11:$V$37,14,0)</f>
        <v>1196</v>
      </c>
      <c r="H10" s="111">
        <f>VLOOKUP($C10,'[5]RET 1º año quintil'!$C$11:$V$37,17,0)</f>
        <v>827</v>
      </c>
      <c r="I10" s="118">
        <f>VLOOKUP($C10,'[5]RET 1º año quintil'!$C$11:$V$37,18,0)</f>
        <v>950</v>
      </c>
      <c r="J10" s="119">
        <f>VLOOKUP($C10,'[5]RET 1º año quintil'!$C$11:$V$37,19,0)</f>
        <v>1113</v>
      </c>
      <c r="K10" s="120">
        <f>VLOOKUP($C10,'[5]RET 1º año quintil'!$C$11:$V$37,20,0)</f>
        <v>987</v>
      </c>
      <c r="L10" s="125">
        <f t="shared" si="2"/>
        <v>3846</v>
      </c>
      <c r="M10" s="121">
        <f t="shared" si="3"/>
        <v>3050</v>
      </c>
      <c r="N10" s="31">
        <f t="shared" si="4"/>
        <v>0.7930317212688508</v>
      </c>
      <c r="O10" s="74">
        <f t="shared" si="5"/>
        <v>6.0471176520957765E-2</v>
      </c>
      <c r="P10" s="66">
        <f t="shared" si="6"/>
        <v>4.2329823564670431E-2</v>
      </c>
      <c r="Q10" s="30">
        <f t="shared" si="7"/>
        <v>3713</v>
      </c>
      <c r="R10" s="30">
        <f t="shared" si="8"/>
        <v>2890</v>
      </c>
      <c r="S10" s="31">
        <f t="shared" si="9"/>
        <v>0.77834635065984381</v>
      </c>
      <c r="T10" s="39">
        <f t="shared" si="10"/>
        <v>1.8867398294547755E-2</v>
      </c>
      <c r="U10" s="34">
        <f t="shared" si="11"/>
        <v>1.8867398294547755E-2</v>
      </c>
      <c r="V10" s="74">
        <f t="shared" si="12"/>
        <v>9.6215926790553213E-2</v>
      </c>
      <c r="W10" s="66">
        <f t="shared" si="13"/>
        <v>2.8864778037165962E-2</v>
      </c>
      <c r="X10" s="71">
        <f t="shared" si="14"/>
        <v>7.1194601601836396E-2</v>
      </c>
      <c r="Y10" s="128">
        <f>VLOOKUP($C10,'[5]RET DE 3º AÑO '!$C$10:$V$36,11,0)</f>
        <v>1471</v>
      </c>
      <c r="Z10" s="144">
        <f>VLOOKUP($C10,'[5]RET DE 3º AÑO '!$C$10:$V$36,12,0)</f>
        <v>1432</v>
      </c>
      <c r="AA10" s="145">
        <f>VLOOKUP($C10,'[5]RET DE 3º AÑO '!$C$10:$V$36,13,0)</f>
        <v>1434</v>
      </c>
      <c r="AB10" s="146">
        <f>VLOOKUP($C10,'[5]RET DE 3º AÑO '!$C$10:$V$36,14,0)</f>
        <v>1714</v>
      </c>
      <c r="AC10" s="138">
        <f>VLOOKUP($C10,'[5]RET DE 3º AÑO '!$C$10:$V$36,17,0)</f>
        <v>877</v>
      </c>
      <c r="AD10" s="148">
        <f>VLOOKUP($C10,'[5]RET DE 3º AÑO '!$C$10:$V$36,18,0)</f>
        <v>789</v>
      </c>
      <c r="AE10" s="149">
        <f>VLOOKUP($C10,'[5]RET DE 3º AÑO '!$C$10:$V$36,19,0)</f>
        <v>855</v>
      </c>
      <c r="AF10" s="150">
        <f>VLOOKUP($C10,'[5]RET DE 3º AÑO '!$C$10:$V$36,20,0)</f>
        <v>1111</v>
      </c>
      <c r="AG10" s="147">
        <f t="shared" si="15"/>
        <v>4580</v>
      </c>
      <c r="AH10" s="149">
        <f t="shared" si="16"/>
        <v>2755</v>
      </c>
      <c r="AI10" s="11">
        <f t="shared" si="17"/>
        <v>0.60152838427947597</v>
      </c>
      <c r="AJ10" s="78">
        <f t="shared" si="0"/>
        <v>5.9791014033374827E-2</v>
      </c>
      <c r="AK10" s="80">
        <f t="shared" si="18"/>
        <v>4.1853709823362374E-2</v>
      </c>
      <c r="AL10" s="16">
        <f t="shared" si="19"/>
        <v>4337</v>
      </c>
      <c r="AM10" s="16">
        <f t="shared" si="20"/>
        <v>2521</v>
      </c>
      <c r="AN10" s="11">
        <f t="shared" si="21"/>
        <v>0.58127738067788792</v>
      </c>
      <c r="AO10" s="15">
        <f t="shared" si="22"/>
        <v>3.4838795168618653E-2</v>
      </c>
      <c r="AP10" s="34">
        <f t="shared" si="23"/>
        <v>3.4838795168618653E-2</v>
      </c>
      <c r="AQ10" s="82">
        <f t="shared" si="1"/>
        <v>0.18842577834179969</v>
      </c>
      <c r="AR10" s="85">
        <f t="shared" si="24"/>
        <v>5.6527733502539902E-2</v>
      </c>
      <c r="AS10" s="37">
        <f t="shared" si="25"/>
        <v>9.8381443325902276E-2</v>
      </c>
      <c r="AT10" s="87">
        <f t="shared" si="26"/>
        <v>8.4788022463869336E-2</v>
      </c>
      <c r="AU10" s="170">
        <f>+AT10*'Resumen PFE 2019'!$I$19</f>
        <v>170018.12289382349</v>
      </c>
    </row>
    <row r="11" spans="1:47" x14ac:dyDescent="0.2">
      <c r="A11" s="6">
        <v>8</v>
      </c>
      <c r="B11" s="2" t="s">
        <v>19</v>
      </c>
      <c r="C11" s="13" t="s">
        <v>18</v>
      </c>
      <c r="D11" s="97">
        <f>VLOOKUP($C11,'[5]RET 1º año quintil'!$C$11:$V$37,11,0)</f>
        <v>1031</v>
      </c>
      <c r="E11" s="122">
        <f>VLOOKUP($C11,'[5]RET 1º año quintil'!$C$11:$V$37,12,0)</f>
        <v>1050</v>
      </c>
      <c r="F11" s="123">
        <f>VLOOKUP($C11,'[5]RET 1º año quintil'!$C$11:$V$37,13,0)</f>
        <v>1183</v>
      </c>
      <c r="G11" s="124">
        <f>VLOOKUP($C11,'[5]RET 1º año quintil'!$C$11:$V$37,14,0)</f>
        <v>1193</v>
      </c>
      <c r="H11" s="111">
        <f>VLOOKUP($C11,'[5]RET 1º año quintil'!$C$11:$V$37,17,0)</f>
        <v>825</v>
      </c>
      <c r="I11" s="118">
        <f>VLOOKUP($C11,'[5]RET 1º año quintil'!$C$11:$V$37,18,0)</f>
        <v>821</v>
      </c>
      <c r="J11" s="119">
        <f>VLOOKUP($C11,'[5]RET 1º año quintil'!$C$11:$V$37,19,0)</f>
        <v>969</v>
      </c>
      <c r="K11" s="120">
        <f>VLOOKUP($C11,'[5]RET 1º año quintil'!$C$11:$V$37,20,0)</f>
        <v>1007</v>
      </c>
      <c r="L11" s="125">
        <f t="shared" si="2"/>
        <v>3426</v>
      </c>
      <c r="M11" s="121">
        <f t="shared" si="3"/>
        <v>2797</v>
      </c>
      <c r="N11" s="31">
        <f t="shared" si="4"/>
        <v>0.81640396964389961</v>
      </c>
      <c r="O11" s="74">
        <f t="shared" si="5"/>
        <v>6.2253384368731984E-2</v>
      </c>
      <c r="P11" s="66">
        <f t="shared" si="6"/>
        <v>4.3577369058112388E-2</v>
      </c>
      <c r="Q11" s="30">
        <f t="shared" si="7"/>
        <v>3264</v>
      </c>
      <c r="R11" s="30">
        <f t="shared" si="8"/>
        <v>2615</v>
      </c>
      <c r="S11" s="31">
        <f t="shared" si="9"/>
        <v>0.80116421568627449</v>
      </c>
      <c r="T11" s="39">
        <f t="shared" si="10"/>
        <v>1.9022010293570979E-2</v>
      </c>
      <c r="U11" s="34">
        <f t="shared" si="11"/>
        <v>1.9022010293570979E-2</v>
      </c>
      <c r="V11" s="74">
        <f t="shared" si="12"/>
        <v>9.7004384030217175E-2</v>
      </c>
      <c r="W11" s="66">
        <f t="shared" si="13"/>
        <v>2.910131520906515E-2</v>
      </c>
      <c r="X11" s="71">
        <f t="shared" si="14"/>
        <v>7.2678684267177537E-2</v>
      </c>
      <c r="Y11" s="128">
        <f>VLOOKUP($C11,'[5]RET DE 3º AÑO '!$C$10:$V$36,11,0)</f>
        <v>1550</v>
      </c>
      <c r="Z11" s="144">
        <f>VLOOKUP($C11,'[5]RET DE 3º AÑO '!$C$10:$V$36,12,0)</f>
        <v>1617</v>
      </c>
      <c r="AA11" s="145">
        <f>VLOOKUP($C11,'[5]RET DE 3º AÑO '!$C$10:$V$36,13,0)</f>
        <v>1546</v>
      </c>
      <c r="AB11" s="146">
        <f>VLOOKUP($C11,'[5]RET DE 3º AÑO '!$C$10:$V$36,14,0)</f>
        <v>1618</v>
      </c>
      <c r="AC11" s="138">
        <f>VLOOKUP($C11,'[5]RET DE 3º AÑO '!$C$10:$V$36,17,0)</f>
        <v>952</v>
      </c>
      <c r="AD11" s="148">
        <f>VLOOKUP($C11,'[5]RET DE 3º AÑO '!$C$10:$V$36,18,0)</f>
        <v>964</v>
      </c>
      <c r="AE11" s="149">
        <f>VLOOKUP($C11,'[5]RET DE 3º AÑO '!$C$10:$V$36,19,0)</f>
        <v>938</v>
      </c>
      <c r="AF11" s="150">
        <f>VLOOKUP($C11,'[5]RET DE 3º AÑO '!$C$10:$V$36,20,0)</f>
        <v>959</v>
      </c>
      <c r="AG11" s="147">
        <f t="shared" si="15"/>
        <v>4781</v>
      </c>
      <c r="AH11" s="149">
        <f t="shared" si="16"/>
        <v>2861</v>
      </c>
      <c r="AI11" s="11">
        <f t="shared" si="17"/>
        <v>0.5984103743986614</v>
      </c>
      <c r="AJ11" s="78">
        <f t="shared" si="0"/>
        <v>5.9481088554524324E-2</v>
      </c>
      <c r="AK11" s="80">
        <f t="shared" si="18"/>
        <v>4.1636761988167022E-2</v>
      </c>
      <c r="AL11" s="16">
        <f t="shared" si="19"/>
        <v>4713</v>
      </c>
      <c r="AM11" s="16">
        <f t="shared" si="20"/>
        <v>2854</v>
      </c>
      <c r="AN11" s="11">
        <f t="shared" si="21"/>
        <v>0.60555909187354129</v>
      </c>
      <c r="AO11" s="15">
        <f t="shared" si="22"/>
        <v>-1.1805152578524436E-2</v>
      </c>
      <c r="AP11" s="34">
        <f t="shared" si="23"/>
        <v>0</v>
      </c>
      <c r="AQ11" s="82">
        <f t="shared" si="1"/>
        <v>0</v>
      </c>
      <c r="AR11" s="85">
        <f t="shared" si="24"/>
        <v>0</v>
      </c>
      <c r="AS11" s="37">
        <f t="shared" si="25"/>
        <v>4.1636761988167022E-2</v>
      </c>
      <c r="AT11" s="87">
        <f t="shared" si="26"/>
        <v>5.7157723127672283E-2</v>
      </c>
      <c r="AU11" s="170">
        <f>+AT11*'Resumen PFE 2019'!$I$19</f>
        <v>114613.4620511144</v>
      </c>
    </row>
    <row r="12" spans="1:47" x14ac:dyDescent="0.2">
      <c r="A12" s="6">
        <v>9</v>
      </c>
      <c r="B12" s="2" t="s">
        <v>21</v>
      </c>
      <c r="C12" s="13" t="s">
        <v>20</v>
      </c>
      <c r="D12" s="97">
        <f>VLOOKUP($C12,'[5]RET 1º año quintil'!$C$11:$V$37,11,0)</f>
        <v>1399</v>
      </c>
      <c r="E12" s="122">
        <f>VLOOKUP($C12,'[5]RET 1º año quintil'!$C$11:$V$37,12,0)</f>
        <v>1537</v>
      </c>
      <c r="F12" s="123">
        <f>VLOOKUP($C12,'[5]RET 1º año quintil'!$C$11:$V$37,13,0)</f>
        <v>1705</v>
      </c>
      <c r="G12" s="124">
        <f>VLOOKUP($C12,'[5]RET 1º año quintil'!$C$11:$V$37,14,0)</f>
        <v>1544</v>
      </c>
      <c r="H12" s="111">
        <f>VLOOKUP($C12,'[5]RET 1º año quintil'!$C$11:$V$37,17,0)</f>
        <v>1129</v>
      </c>
      <c r="I12" s="118">
        <f>VLOOKUP($C12,'[5]RET 1º año quintil'!$C$11:$V$37,18,0)</f>
        <v>1247</v>
      </c>
      <c r="J12" s="119">
        <f>VLOOKUP($C12,'[5]RET 1º año quintil'!$C$11:$V$37,19,0)</f>
        <v>1299</v>
      </c>
      <c r="K12" s="120">
        <f>VLOOKUP($C12,'[5]RET 1º año quintil'!$C$11:$V$37,20,0)</f>
        <v>1276</v>
      </c>
      <c r="L12" s="125">
        <f t="shared" si="2"/>
        <v>4786</v>
      </c>
      <c r="M12" s="121">
        <f t="shared" si="3"/>
        <v>3822</v>
      </c>
      <c r="N12" s="31">
        <f t="shared" si="4"/>
        <v>0.79857918930213123</v>
      </c>
      <c r="O12" s="74">
        <f t="shared" si="5"/>
        <v>6.0894188501043674E-2</v>
      </c>
      <c r="P12" s="66">
        <f t="shared" si="6"/>
        <v>4.262593195073057E-2</v>
      </c>
      <c r="Q12" s="30">
        <f t="shared" si="7"/>
        <v>4641</v>
      </c>
      <c r="R12" s="30">
        <f t="shared" si="8"/>
        <v>3675</v>
      </c>
      <c r="S12" s="31">
        <f t="shared" si="9"/>
        <v>0.79185520361990946</v>
      </c>
      <c r="T12" s="39">
        <f t="shared" si="10"/>
        <v>8.4914333472629888E-3</v>
      </c>
      <c r="U12" s="34">
        <f t="shared" si="11"/>
        <v>8.4914333472629888E-3</v>
      </c>
      <c r="V12" s="74">
        <f t="shared" si="12"/>
        <v>4.3302797584085319E-2</v>
      </c>
      <c r="W12" s="66">
        <f t="shared" si="13"/>
        <v>1.2990839275225595E-2</v>
      </c>
      <c r="X12" s="71">
        <f t="shared" si="14"/>
        <v>5.5616771225956166E-2</v>
      </c>
      <c r="Y12" s="128">
        <f>VLOOKUP($C12,'[5]RET DE 3º AÑO '!$C$10:$V$36,11,0)</f>
        <v>1568</v>
      </c>
      <c r="Z12" s="144">
        <f>VLOOKUP($C12,'[5]RET DE 3º AÑO '!$C$10:$V$36,12,0)</f>
        <v>1747</v>
      </c>
      <c r="AA12" s="145">
        <f>VLOOKUP($C12,'[5]RET DE 3º AÑO '!$C$10:$V$36,13,0)</f>
        <v>1846</v>
      </c>
      <c r="AB12" s="146">
        <f>VLOOKUP($C12,'[5]RET DE 3º AÑO '!$C$10:$V$36,14,0)</f>
        <v>2051</v>
      </c>
      <c r="AC12" s="138">
        <f>VLOOKUP($C12,'[5]RET DE 3º AÑO '!$C$10:$V$36,17,0)</f>
        <v>780</v>
      </c>
      <c r="AD12" s="148">
        <f>VLOOKUP($C12,'[5]RET DE 3º AÑO '!$C$10:$V$36,18,0)</f>
        <v>903</v>
      </c>
      <c r="AE12" s="149">
        <f>VLOOKUP($C12,'[5]RET DE 3º AÑO '!$C$10:$V$36,19,0)</f>
        <v>1030</v>
      </c>
      <c r="AF12" s="150">
        <f>VLOOKUP($C12,'[5]RET DE 3º AÑO '!$C$10:$V$36,20,0)</f>
        <v>1131</v>
      </c>
      <c r="AG12" s="147">
        <f t="shared" si="15"/>
        <v>5644</v>
      </c>
      <c r="AH12" s="149">
        <f t="shared" si="16"/>
        <v>3064</v>
      </c>
      <c r="AI12" s="11">
        <f t="shared" si="17"/>
        <v>0.54287739192062368</v>
      </c>
      <c r="AJ12" s="78">
        <f t="shared" si="0"/>
        <v>5.3961193863874393E-2</v>
      </c>
      <c r="AK12" s="80">
        <f t="shared" si="18"/>
        <v>3.7772835704712071E-2</v>
      </c>
      <c r="AL12" s="16">
        <f t="shared" si="19"/>
        <v>5161</v>
      </c>
      <c r="AM12" s="16">
        <f t="shared" si="20"/>
        <v>2713</v>
      </c>
      <c r="AN12" s="11">
        <f t="shared" si="21"/>
        <v>0.52567331912420079</v>
      </c>
      <c r="AO12" s="15">
        <f t="shared" si="22"/>
        <v>3.27276887955541E-2</v>
      </c>
      <c r="AP12" s="34">
        <f t="shared" si="23"/>
        <v>3.27276887955541E-2</v>
      </c>
      <c r="AQ12" s="82">
        <f t="shared" si="1"/>
        <v>0.17700785015049036</v>
      </c>
      <c r="AR12" s="85">
        <f t="shared" si="24"/>
        <v>5.3102355045147105E-2</v>
      </c>
      <c r="AS12" s="37">
        <f t="shared" si="25"/>
        <v>9.0875190749859169E-2</v>
      </c>
      <c r="AT12" s="87">
        <f t="shared" si="26"/>
        <v>7.3245980987907661E-2</v>
      </c>
      <c r="AU12" s="170">
        <f>+AT12*'Resumen PFE 2019'!$I$19</f>
        <v>146873.86066100778</v>
      </c>
    </row>
    <row r="13" spans="1:47" x14ac:dyDescent="0.2">
      <c r="A13" s="6">
        <v>10</v>
      </c>
      <c r="B13" s="2" t="s">
        <v>23</v>
      </c>
      <c r="C13" s="13" t="s">
        <v>22</v>
      </c>
      <c r="D13" s="97">
        <f>VLOOKUP($C13,'[5]RET 1º año quintil'!$C$11:$V$37,11,0)</f>
        <v>485</v>
      </c>
      <c r="E13" s="122">
        <f>VLOOKUP($C13,'[5]RET 1º año quintil'!$C$11:$V$37,12,0)</f>
        <v>461</v>
      </c>
      <c r="F13" s="123">
        <f>VLOOKUP($C13,'[5]RET 1º año quintil'!$C$11:$V$37,13,0)</f>
        <v>608</v>
      </c>
      <c r="G13" s="124">
        <f>VLOOKUP($C13,'[5]RET 1º año quintil'!$C$11:$V$37,14,0)</f>
        <v>589</v>
      </c>
      <c r="H13" s="111">
        <f>VLOOKUP($C13,'[5]RET 1º año quintil'!$C$11:$V$37,17,0)</f>
        <v>402</v>
      </c>
      <c r="I13" s="118">
        <f>VLOOKUP($C13,'[5]RET 1º año quintil'!$C$11:$V$37,18,0)</f>
        <v>374</v>
      </c>
      <c r="J13" s="119">
        <f>VLOOKUP($C13,'[5]RET 1º año quintil'!$C$11:$V$37,19,0)</f>
        <v>513</v>
      </c>
      <c r="K13" s="120">
        <f>VLOOKUP($C13,'[5]RET 1º año quintil'!$C$11:$V$37,20,0)</f>
        <v>503</v>
      </c>
      <c r="L13" s="125">
        <f t="shared" si="2"/>
        <v>1658</v>
      </c>
      <c r="M13" s="121">
        <f t="shared" si="3"/>
        <v>1390</v>
      </c>
      <c r="N13" s="31">
        <f t="shared" si="4"/>
        <v>0.83835946924004823</v>
      </c>
      <c r="O13" s="74">
        <f t="shared" si="5"/>
        <v>6.3927560641984002E-2</v>
      </c>
      <c r="P13" s="66">
        <f t="shared" si="6"/>
        <v>4.47492924493888E-2</v>
      </c>
      <c r="Q13" s="30">
        <f t="shared" si="7"/>
        <v>1554</v>
      </c>
      <c r="R13" s="30">
        <f t="shared" si="8"/>
        <v>1289</v>
      </c>
      <c r="S13" s="31">
        <f t="shared" si="9"/>
        <v>0.82947232947232952</v>
      </c>
      <c r="T13" s="39">
        <f t="shared" si="10"/>
        <v>1.0714208843316531E-2</v>
      </c>
      <c r="U13" s="34">
        <f t="shared" si="11"/>
        <v>1.0714208843316531E-2</v>
      </c>
      <c r="V13" s="74">
        <f t="shared" si="12"/>
        <v>5.4638033161421157E-2</v>
      </c>
      <c r="W13" s="66">
        <f t="shared" si="13"/>
        <v>1.6391409948426347E-2</v>
      </c>
      <c r="X13" s="71">
        <f t="shared" si="14"/>
        <v>6.1140702397815147E-2</v>
      </c>
      <c r="Y13" s="128">
        <f>VLOOKUP($C13,'[5]RET DE 3º AÑO '!$C$10:$V$36,11,0)</f>
        <v>998</v>
      </c>
      <c r="Z13" s="144">
        <f>VLOOKUP($C13,'[5]RET DE 3º AÑO '!$C$10:$V$36,12,0)</f>
        <v>1083</v>
      </c>
      <c r="AA13" s="145">
        <f>VLOOKUP($C13,'[5]RET DE 3º AÑO '!$C$10:$V$36,13,0)</f>
        <v>1143</v>
      </c>
      <c r="AB13" s="146">
        <f>VLOOKUP($C13,'[5]RET DE 3º AÑO '!$C$10:$V$36,14,0)</f>
        <v>1154</v>
      </c>
      <c r="AC13" s="138">
        <f>VLOOKUP($C13,'[5]RET DE 3º AÑO '!$C$10:$V$36,17,0)</f>
        <v>683</v>
      </c>
      <c r="AD13" s="148">
        <f>VLOOKUP($C13,'[5]RET DE 3º AÑO '!$C$10:$V$36,18,0)</f>
        <v>670</v>
      </c>
      <c r="AE13" s="149">
        <f>VLOOKUP($C13,'[5]RET DE 3º AÑO '!$C$10:$V$36,19,0)</f>
        <v>761</v>
      </c>
      <c r="AF13" s="150">
        <f>VLOOKUP($C13,'[5]RET DE 3º AÑO '!$C$10:$V$36,20,0)</f>
        <v>752</v>
      </c>
      <c r="AG13" s="147">
        <f t="shared" si="15"/>
        <v>3380</v>
      </c>
      <c r="AH13" s="149">
        <f t="shared" si="16"/>
        <v>2183</v>
      </c>
      <c r="AI13" s="11">
        <f t="shared" si="17"/>
        <v>0.64585798816568052</v>
      </c>
      <c r="AJ13" s="78">
        <f t="shared" si="0"/>
        <v>6.4197309791519053E-2</v>
      </c>
      <c r="AK13" s="80">
        <f t="shared" si="18"/>
        <v>4.4938116854063334E-2</v>
      </c>
      <c r="AL13" s="16">
        <f t="shared" si="19"/>
        <v>3224</v>
      </c>
      <c r="AM13" s="16">
        <f t="shared" si="20"/>
        <v>2114</v>
      </c>
      <c r="AN13" s="11">
        <f t="shared" si="21"/>
        <v>0.65570719602977667</v>
      </c>
      <c r="AO13" s="15">
        <f t="shared" si="22"/>
        <v>-1.5020740848555314E-2</v>
      </c>
      <c r="AP13" s="34">
        <f t="shared" si="23"/>
        <v>0</v>
      </c>
      <c r="AQ13" s="82">
        <f t="shared" si="1"/>
        <v>0</v>
      </c>
      <c r="AR13" s="85">
        <f t="shared" si="24"/>
        <v>0</v>
      </c>
      <c r="AS13" s="37">
        <f t="shared" si="25"/>
        <v>4.4938116854063334E-2</v>
      </c>
      <c r="AT13" s="87">
        <f t="shared" si="26"/>
        <v>5.3039409625939241E-2</v>
      </c>
      <c r="AU13" s="170">
        <f>+AT13*'Resumen PFE 2019'!$I$19</f>
        <v>106355.36249051536</v>
      </c>
    </row>
    <row r="14" spans="1:47" x14ac:dyDescent="0.2">
      <c r="A14" s="6">
        <v>11</v>
      </c>
      <c r="B14" s="2" t="s">
        <v>25</v>
      </c>
      <c r="C14" s="13" t="s">
        <v>24</v>
      </c>
      <c r="D14" s="97">
        <f>VLOOKUP($C14,'[5]RET 1º año quintil'!$C$11:$V$37,11,0)</f>
        <v>2674</v>
      </c>
      <c r="E14" s="122">
        <f>VLOOKUP($C14,'[5]RET 1º año quintil'!$C$11:$V$37,12,0)</f>
        <v>2712</v>
      </c>
      <c r="F14" s="123">
        <f>VLOOKUP($C14,'[5]RET 1º año quintil'!$C$11:$V$37,13,0)</f>
        <v>2432</v>
      </c>
      <c r="G14" s="124">
        <f>VLOOKUP($C14,'[5]RET 1º año quintil'!$C$11:$V$37,14,0)</f>
        <v>2503</v>
      </c>
      <c r="H14" s="111">
        <f>VLOOKUP($C14,'[5]RET 1º año quintil'!$C$11:$V$37,17,0)</f>
        <v>2134</v>
      </c>
      <c r="I14" s="118">
        <f>VLOOKUP($C14,'[5]RET 1º año quintil'!$C$11:$V$37,18,0)</f>
        <v>2081</v>
      </c>
      <c r="J14" s="119">
        <f>VLOOKUP($C14,'[5]RET 1º año quintil'!$C$11:$V$37,19,0)</f>
        <v>1908</v>
      </c>
      <c r="K14" s="120">
        <f>VLOOKUP($C14,'[5]RET 1º año quintil'!$C$11:$V$37,20,0)</f>
        <v>1914</v>
      </c>
      <c r="L14" s="125">
        <f t="shared" si="2"/>
        <v>7647</v>
      </c>
      <c r="M14" s="121">
        <f t="shared" si="3"/>
        <v>5903</v>
      </c>
      <c r="N14" s="31">
        <f t="shared" si="4"/>
        <v>0.77193670720544005</v>
      </c>
      <c r="O14" s="74">
        <f t="shared" si="5"/>
        <v>5.8862614990657848E-2</v>
      </c>
      <c r="P14" s="66">
        <f t="shared" si="6"/>
        <v>4.1203830493460492E-2</v>
      </c>
      <c r="Q14" s="30">
        <f t="shared" si="7"/>
        <v>7818</v>
      </c>
      <c r="R14" s="30">
        <f t="shared" si="8"/>
        <v>6123</v>
      </c>
      <c r="S14" s="31">
        <f t="shared" si="9"/>
        <v>0.7831926323867997</v>
      </c>
      <c r="T14" s="39">
        <f t="shared" si="10"/>
        <v>-1.4371847634798263E-2</v>
      </c>
      <c r="U14" s="34">
        <f t="shared" si="11"/>
        <v>0</v>
      </c>
      <c r="V14" s="74">
        <f t="shared" si="12"/>
        <v>0</v>
      </c>
      <c r="W14" s="66">
        <f t="shared" si="13"/>
        <v>0</v>
      </c>
      <c r="X14" s="71">
        <f t="shared" si="14"/>
        <v>4.1203830493460492E-2</v>
      </c>
      <c r="Y14" s="128">
        <f>VLOOKUP($C14,'[5]RET DE 3º AÑO '!$C$10:$V$36,11,0)</f>
        <v>3722</v>
      </c>
      <c r="Z14" s="144">
        <f>VLOOKUP($C14,'[5]RET DE 3º AÑO '!$C$10:$V$36,12,0)</f>
        <v>3232</v>
      </c>
      <c r="AA14" s="145">
        <f>VLOOKUP($C14,'[5]RET DE 3º AÑO '!$C$10:$V$36,13,0)</f>
        <v>3788</v>
      </c>
      <c r="AB14" s="146">
        <f>VLOOKUP($C14,'[5]RET DE 3º AÑO '!$C$10:$V$36,14,0)</f>
        <v>3903</v>
      </c>
      <c r="AC14" s="138">
        <f>VLOOKUP($C14,'[5]RET DE 3º AÑO '!$C$10:$V$36,17,0)</f>
        <v>2337</v>
      </c>
      <c r="AD14" s="148">
        <f>VLOOKUP($C14,'[5]RET DE 3º AÑO '!$C$10:$V$36,18,0)</f>
        <v>1992</v>
      </c>
      <c r="AE14" s="149">
        <f>VLOOKUP($C14,'[5]RET DE 3º AÑO '!$C$10:$V$36,19,0)</f>
        <v>2257</v>
      </c>
      <c r="AF14" s="150">
        <f>VLOOKUP($C14,'[5]RET DE 3º AÑO '!$C$10:$V$36,20,0)</f>
        <v>2298</v>
      </c>
      <c r="AG14" s="147">
        <f t="shared" si="15"/>
        <v>10923</v>
      </c>
      <c r="AH14" s="149">
        <f t="shared" si="16"/>
        <v>6547</v>
      </c>
      <c r="AI14" s="11">
        <f t="shared" si="17"/>
        <v>0.59937746040465079</v>
      </c>
      <c r="AJ14" s="78">
        <f t="shared" si="0"/>
        <v>5.957721544473725E-2</v>
      </c>
      <c r="AK14" s="80">
        <f t="shared" si="18"/>
        <v>4.1704050811316069E-2</v>
      </c>
      <c r="AL14" s="16">
        <f t="shared" si="19"/>
        <v>10742</v>
      </c>
      <c r="AM14" s="16">
        <f t="shared" si="20"/>
        <v>6586</v>
      </c>
      <c r="AN14" s="11">
        <f t="shared" si="21"/>
        <v>0.61310742878421154</v>
      </c>
      <c r="AO14" s="15">
        <f t="shared" si="22"/>
        <v>-2.2394066251630984E-2</v>
      </c>
      <c r="AP14" s="34">
        <f t="shared" si="23"/>
        <v>0</v>
      </c>
      <c r="AQ14" s="82">
        <f t="shared" si="1"/>
        <v>0</v>
      </c>
      <c r="AR14" s="85">
        <f t="shared" si="24"/>
        <v>0</v>
      </c>
      <c r="AS14" s="37">
        <f t="shared" si="25"/>
        <v>4.1704050811316069E-2</v>
      </c>
      <c r="AT14" s="87">
        <f t="shared" si="26"/>
        <v>4.1453940652388277E-2</v>
      </c>
      <c r="AU14" s="170">
        <f>+AT14*'Resumen PFE 2019'!$I$19</f>
        <v>83124.018835022856</v>
      </c>
    </row>
    <row r="15" spans="1:47" x14ac:dyDescent="0.2">
      <c r="A15" s="6">
        <v>12</v>
      </c>
      <c r="B15" s="2" t="s">
        <v>27</v>
      </c>
      <c r="C15" s="13" t="s">
        <v>26</v>
      </c>
      <c r="D15" s="97">
        <f>VLOOKUP($C15,'[5]RET 1º año quintil'!$C$11:$V$37,11,0)</f>
        <v>1401</v>
      </c>
      <c r="E15" s="122">
        <f>VLOOKUP($C15,'[5]RET 1º año quintil'!$C$11:$V$37,12,0)</f>
        <v>1452</v>
      </c>
      <c r="F15" s="123">
        <f>VLOOKUP($C15,'[5]RET 1º año quintil'!$C$11:$V$37,13,0)</f>
        <v>1472</v>
      </c>
      <c r="G15" s="124">
        <f>VLOOKUP($C15,'[5]RET 1º año quintil'!$C$11:$V$37,14,0)</f>
        <v>1415</v>
      </c>
      <c r="H15" s="111">
        <f>VLOOKUP($C15,'[5]RET 1º año quintil'!$C$11:$V$37,17,0)</f>
        <v>1180</v>
      </c>
      <c r="I15" s="118">
        <f>VLOOKUP($C15,'[5]RET 1º año quintil'!$C$11:$V$37,18,0)</f>
        <v>1218</v>
      </c>
      <c r="J15" s="119">
        <f>VLOOKUP($C15,'[5]RET 1º año quintil'!$C$11:$V$37,19,0)</f>
        <v>1218</v>
      </c>
      <c r="K15" s="120">
        <f>VLOOKUP($C15,'[5]RET 1º año quintil'!$C$11:$V$37,20,0)</f>
        <v>1197</v>
      </c>
      <c r="L15" s="125">
        <f t="shared" si="2"/>
        <v>4339</v>
      </c>
      <c r="M15" s="121">
        <f t="shared" si="3"/>
        <v>3633</v>
      </c>
      <c r="N15" s="31">
        <f t="shared" si="4"/>
        <v>0.83728969808711684</v>
      </c>
      <c r="O15" s="74">
        <f t="shared" si="5"/>
        <v>6.3845987208676153E-2</v>
      </c>
      <c r="P15" s="66">
        <f t="shared" si="6"/>
        <v>4.4692191046073304E-2</v>
      </c>
      <c r="Q15" s="30">
        <f t="shared" si="7"/>
        <v>4325</v>
      </c>
      <c r="R15" s="30">
        <f t="shared" si="8"/>
        <v>3616</v>
      </c>
      <c r="S15" s="31">
        <f t="shared" si="9"/>
        <v>0.83606936416184974</v>
      </c>
      <c r="T15" s="39">
        <f t="shared" si="10"/>
        <v>1.4596084697953149E-3</v>
      </c>
      <c r="U15" s="34">
        <f t="shared" si="11"/>
        <v>1.4596084697953149E-3</v>
      </c>
      <c r="V15" s="74">
        <f>U15/$U$20</f>
        <v>7.4433994279582607E-3</v>
      </c>
      <c r="W15" s="66">
        <f t="shared" si="13"/>
        <v>2.2330198283874781E-3</v>
      </c>
      <c r="X15" s="71">
        <f t="shared" si="14"/>
        <v>4.6925210874460783E-2</v>
      </c>
      <c r="Y15" s="128">
        <f>VLOOKUP($C15,'[5]RET DE 3º AÑO '!$C$10:$V$36,11,0)</f>
        <v>1949</v>
      </c>
      <c r="Z15" s="144">
        <f>VLOOKUP($C15,'[5]RET DE 3º AÑO '!$C$10:$V$36,12,0)</f>
        <v>1958</v>
      </c>
      <c r="AA15" s="145">
        <f>VLOOKUP($C15,'[5]RET DE 3º AÑO '!$C$10:$V$36,13,0)</f>
        <v>1888</v>
      </c>
      <c r="AB15" s="146">
        <f>VLOOKUP($C15,'[5]RET DE 3º AÑO '!$C$10:$V$36,14,0)</f>
        <v>2038</v>
      </c>
      <c r="AC15" s="138">
        <f>VLOOKUP($C15,'[5]RET DE 3º AÑO '!$C$10:$V$36,17,0)</f>
        <v>1294</v>
      </c>
      <c r="AD15" s="148">
        <f>VLOOKUP($C15,'[5]RET DE 3º AÑO '!$C$10:$V$36,18,0)</f>
        <v>1249</v>
      </c>
      <c r="AE15" s="149">
        <f>VLOOKUP($C15,'[5]RET DE 3º AÑO '!$C$10:$V$36,19,0)</f>
        <v>1199</v>
      </c>
      <c r="AF15" s="150">
        <f>VLOOKUP($C15,'[5]RET DE 3º AÑO '!$C$10:$V$36,20,0)</f>
        <v>1296</v>
      </c>
      <c r="AG15" s="147">
        <f t="shared" si="15"/>
        <v>5884</v>
      </c>
      <c r="AH15" s="149">
        <f t="shared" si="16"/>
        <v>3744</v>
      </c>
      <c r="AI15" s="11">
        <f t="shared" si="17"/>
        <v>0.63630183548606389</v>
      </c>
      <c r="AJ15" s="78">
        <f t="shared" si="0"/>
        <v>6.3247442629961195E-2</v>
      </c>
      <c r="AK15" s="80">
        <f t="shared" si="18"/>
        <v>4.4273209840972834E-2</v>
      </c>
      <c r="AL15" s="16">
        <f t="shared" si="19"/>
        <v>5795</v>
      </c>
      <c r="AM15" s="16">
        <f t="shared" si="20"/>
        <v>3742</v>
      </c>
      <c r="AN15" s="11">
        <f t="shared" si="21"/>
        <v>0.64572907679033653</v>
      </c>
      <c r="AO15" s="15">
        <f t="shared" si="22"/>
        <v>-1.4599375563404626E-2</v>
      </c>
      <c r="AP15" s="34">
        <f t="shared" si="23"/>
        <v>0</v>
      </c>
      <c r="AQ15" s="82">
        <f t="shared" si="1"/>
        <v>0</v>
      </c>
      <c r="AR15" s="85">
        <f t="shared" si="24"/>
        <v>0</v>
      </c>
      <c r="AS15" s="37">
        <f t="shared" si="25"/>
        <v>4.4273209840972834E-2</v>
      </c>
      <c r="AT15" s="87">
        <f t="shared" si="26"/>
        <v>4.5599210357716809E-2</v>
      </c>
      <c r="AU15" s="170">
        <f>+AT15*'Resumen PFE 2019'!$I$19</f>
        <v>91436.171350301927</v>
      </c>
    </row>
    <row r="16" spans="1:47" x14ac:dyDescent="0.2">
      <c r="A16" s="6">
        <v>13</v>
      </c>
      <c r="B16" s="2" t="s">
        <v>29</v>
      </c>
      <c r="C16" s="13" t="s">
        <v>28</v>
      </c>
      <c r="D16" s="97">
        <f>VLOOKUP($C16,'[5]RET 1º año quintil'!$C$11:$V$37,11,0)</f>
        <v>1283</v>
      </c>
      <c r="E16" s="122">
        <f>VLOOKUP($C16,'[5]RET 1º año quintil'!$C$11:$V$37,12,0)</f>
        <v>1310</v>
      </c>
      <c r="F16" s="123">
        <f>VLOOKUP($C16,'[5]RET 1º año quintil'!$C$11:$V$37,13,0)</f>
        <v>1367</v>
      </c>
      <c r="G16" s="124">
        <f>VLOOKUP($C16,'[5]RET 1º año quintil'!$C$11:$V$37,14,0)</f>
        <v>1429</v>
      </c>
      <c r="H16" s="111">
        <f>VLOOKUP($C16,'[5]RET 1º año quintil'!$C$11:$V$37,17,0)</f>
        <v>1103</v>
      </c>
      <c r="I16" s="118">
        <f>VLOOKUP($C16,'[5]RET 1º año quintil'!$C$11:$V$37,18,0)</f>
        <v>1119</v>
      </c>
      <c r="J16" s="119">
        <f>VLOOKUP($C16,'[5]RET 1º año quintil'!$C$11:$V$37,19,0)</f>
        <v>1153</v>
      </c>
      <c r="K16" s="120">
        <f>VLOOKUP($C16,'[5]RET 1º año quintil'!$C$11:$V$37,20,0)</f>
        <v>1206</v>
      </c>
      <c r="L16" s="125">
        <f t="shared" si="2"/>
        <v>4106</v>
      </c>
      <c r="M16" s="121">
        <f t="shared" si="3"/>
        <v>3478</v>
      </c>
      <c r="N16" s="31">
        <f t="shared" si="4"/>
        <v>0.84705309303458354</v>
      </c>
      <c r="O16" s="74">
        <f t="shared" si="5"/>
        <v>6.4590476947834929E-2</v>
      </c>
      <c r="P16" s="66">
        <f t="shared" si="6"/>
        <v>4.5213333863484445E-2</v>
      </c>
      <c r="Q16" s="30">
        <f t="shared" si="7"/>
        <v>3960</v>
      </c>
      <c r="R16" s="30">
        <f t="shared" si="8"/>
        <v>3375</v>
      </c>
      <c r="S16" s="31">
        <f t="shared" si="9"/>
        <v>0.85227272727272729</v>
      </c>
      <c r="T16" s="39">
        <f t="shared" si="10"/>
        <v>-6.1243708394219665E-3</v>
      </c>
      <c r="U16" s="34">
        <f t="shared" si="11"/>
        <v>0</v>
      </c>
      <c r="V16" s="74">
        <f t="shared" si="12"/>
        <v>0</v>
      </c>
      <c r="W16" s="66">
        <f t="shared" si="13"/>
        <v>0</v>
      </c>
      <c r="X16" s="71">
        <f t="shared" si="14"/>
        <v>4.5213333863484445E-2</v>
      </c>
      <c r="Y16" s="128">
        <f>VLOOKUP($C16,'[5]RET DE 3º AÑO '!$C$10:$V$36,11,0)</f>
        <v>1774</v>
      </c>
      <c r="Z16" s="144">
        <f>VLOOKUP($C16,'[5]RET DE 3º AÑO '!$C$10:$V$36,12,0)</f>
        <v>2180</v>
      </c>
      <c r="AA16" s="145">
        <f>VLOOKUP($C16,'[5]RET DE 3º AÑO '!$C$10:$V$36,13,0)</f>
        <v>1740</v>
      </c>
      <c r="AB16" s="146">
        <f>VLOOKUP($C16,'[5]RET DE 3º AÑO '!$C$10:$V$36,14,0)</f>
        <v>1852</v>
      </c>
      <c r="AC16" s="138">
        <f>VLOOKUP($C16,'[5]RET DE 3º AÑO '!$C$10:$V$36,17,0)</f>
        <v>1251</v>
      </c>
      <c r="AD16" s="148">
        <f>VLOOKUP($C16,'[5]RET DE 3º AÑO '!$C$10:$V$36,18,0)</f>
        <v>1567</v>
      </c>
      <c r="AE16" s="149">
        <f>VLOOKUP($C16,'[5]RET DE 3º AÑO '!$C$10:$V$36,19,0)</f>
        <v>1250</v>
      </c>
      <c r="AF16" s="150">
        <f>VLOOKUP($C16,'[5]RET DE 3º AÑO '!$C$10:$V$36,20,0)</f>
        <v>1379</v>
      </c>
      <c r="AG16" s="147">
        <f t="shared" si="15"/>
        <v>5772</v>
      </c>
      <c r="AH16" s="149">
        <f t="shared" si="16"/>
        <v>4196</v>
      </c>
      <c r="AI16" s="11">
        <f t="shared" si="17"/>
        <v>0.72695772695772698</v>
      </c>
      <c r="AJ16" s="78">
        <f t="shared" si="0"/>
        <v>7.2258501494096086E-2</v>
      </c>
      <c r="AK16" s="80">
        <f t="shared" si="18"/>
        <v>5.058095104586726E-2</v>
      </c>
      <c r="AL16" s="16">
        <f t="shared" si="19"/>
        <v>5694</v>
      </c>
      <c r="AM16" s="16">
        <f t="shared" si="20"/>
        <v>4068</v>
      </c>
      <c r="AN16" s="11">
        <f t="shared" si="21"/>
        <v>0.71443624868282407</v>
      </c>
      <c r="AO16" s="15">
        <f t="shared" si="22"/>
        <v>1.7526375933455629E-2</v>
      </c>
      <c r="AP16" s="34">
        <f t="shared" si="23"/>
        <v>1.7526375933455629E-2</v>
      </c>
      <c r="AQ16" s="82">
        <f t="shared" si="1"/>
        <v>9.4791482047204875E-2</v>
      </c>
      <c r="AR16" s="85">
        <f t="shared" si="24"/>
        <v>2.843744461416146E-2</v>
      </c>
      <c r="AS16" s="37">
        <f t="shared" si="25"/>
        <v>7.9018395660028717E-2</v>
      </c>
      <c r="AT16" s="87">
        <f t="shared" si="26"/>
        <v>6.2115864761756581E-2</v>
      </c>
      <c r="AU16" s="170">
        <f>+AT16*'Resumen PFE 2019'!$I$19</f>
        <v>124555.59667311178</v>
      </c>
    </row>
    <row r="17" spans="1:48" x14ac:dyDescent="0.2">
      <c r="A17" s="6">
        <v>14</v>
      </c>
      <c r="B17" s="2" t="s">
        <v>31</v>
      </c>
      <c r="C17" s="13" t="s">
        <v>30</v>
      </c>
      <c r="D17" s="97">
        <f>VLOOKUP($C17,'[5]RET 1º año quintil'!$C$11:$V$37,11,0)</f>
        <v>884</v>
      </c>
      <c r="E17" s="122">
        <f>VLOOKUP($C17,'[5]RET 1º año quintil'!$C$11:$V$37,12,0)</f>
        <v>1028</v>
      </c>
      <c r="F17" s="123">
        <f>VLOOKUP($C17,'[5]RET 1º año quintil'!$C$11:$V$37,13,0)</f>
        <v>1174</v>
      </c>
      <c r="G17" s="124">
        <f>VLOOKUP($C17,'[5]RET 1º año quintil'!$C$11:$V$37,14,0)</f>
        <v>1169</v>
      </c>
      <c r="H17" s="111">
        <f>VLOOKUP($C17,'[5]RET 1º año quintil'!$C$11:$V$37,17,0)</f>
        <v>722</v>
      </c>
      <c r="I17" s="118">
        <f>VLOOKUP($C17,'[5]RET 1º año quintil'!$C$11:$V$37,18,0)</f>
        <v>818</v>
      </c>
      <c r="J17" s="119">
        <f>VLOOKUP($C17,'[5]RET 1º año quintil'!$C$11:$V$37,19,0)</f>
        <v>1013</v>
      </c>
      <c r="K17" s="120">
        <f>VLOOKUP($C17,'[5]RET 1º año quintil'!$C$11:$V$37,20,0)</f>
        <v>991</v>
      </c>
      <c r="L17" s="125">
        <f t="shared" si="2"/>
        <v>3371</v>
      </c>
      <c r="M17" s="121">
        <f t="shared" si="3"/>
        <v>2822</v>
      </c>
      <c r="N17" s="31">
        <f t="shared" si="4"/>
        <v>0.83714031444675174</v>
      </c>
      <c r="O17" s="74">
        <f t="shared" si="5"/>
        <v>6.3834596233708074E-2</v>
      </c>
      <c r="P17" s="66">
        <f t="shared" si="6"/>
        <v>4.4684217363595652E-2</v>
      </c>
      <c r="Q17" s="30">
        <f>D17+E17+F17</f>
        <v>3086</v>
      </c>
      <c r="R17" s="30">
        <f t="shared" si="8"/>
        <v>2553</v>
      </c>
      <c r="S17" s="31">
        <f t="shared" si="9"/>
        <v>0.82728451069345432</v>
      </c>
      <c r="T17" s="39">
        <f>N17/S17-1</f>
        <v>1.1913439241157731E-2</v>
      </c>
      <c r="U17" s="34">
        <f t="shared" si="11"/>
        <v>1.1913439241157731E-2</v>
      </c>
      <c r="V17" s="74">
        <f t="shared" si="12"/>
        <v>6.0753612127973131E-2</v>
      </c>
      <c r="W17" s="66">
        <f t="shared" si="13"/>
        <v>1.8226083638391937E-2</v>
      </c>
      <c r="X17" s="71">
        <f t="shared" si="14"/>
        <v>6.2910301001987592E-2</v>
      </c>
      <c r="Y17" s="128">
        <f>VLOOKUP($C17,'[5]RET DE 3º AÑO '!$C$10:$V$36,11,0)</f>
        <v>1475</v>
      </c>
      <c r="Z17" s="144">
        <f>VLOOKUP($C17,'[5]RET DE 3º AÑO '!$C$10:$V$36,12,0)</f>
        <v>1526</v>
      </c>
      <c r="AA17" s="145">
        <f>VLOOKUP($C17,'[5]RET DE 3º AÑO '!$C$10:$V$36,13,0)</f>
        <v>1291</v>
      </c>
      <c r="AB17" s="146">
        <f>VLOOKUP($C17,'[5]RET DE 3º AÑO '!$C$10:$V$36,14,0)</f>
        <v>1480</v>
      </c>
      <c r="AC17" s="138">
        <f>VLOOKUP($C17,'[5]RET DE 3º AÑO '!$C$10:$V$36,17,0)</f>
        <v>1035</v>
      </c>
      <c r="AD17" s="148">
        <f>VLOOKUP($C17,'[5]RET DE 3º AÑO '!$C$10:$V$36,18,0)</f>
        <v>962</v>
      </c>
      <c r="AE17" s="149">
        <f>VLOOKUP($C17,'[5]RET DE 3º AÑO '!$C$10:$V$36,19,0)</f>
        <v>811</v>
      </c>
      <c r="AF17" s="150">
        <f>VLOOKUP($C17,'[5]RET DE 3º AÑO '!$C$10:$V$36,20,0)</f>
        <v>904</v>
      </c>
      <c r="AG17" s="147">
        <f t="shared" si="15"/>
        <v>4297</v>
      </c>
      <c r="AH17" s="149">
        <f t="shared" si="16"/>
        <v>2677</v>
      </c>
      <c r="AI17" s="11">
        <f t="shared" si="17"/>
        <v>0.62299278566441707</v>
      </c>
      <c r="AJ17" s="78">
        <f t="shared" si="0"/>
        <v>6.1924543153471567E-2</v>
      </c>
      <c r="AK17" s="80">
        <f t="shared" si="18"/>
        <v>4.3347180207430093E-2</v>
      </c>
      <c r="AL17" s="16">
        <f t="shared" si="19"/>
        <v>4292</v>
      </c>
      <c r="AM17" s="16">
        <f t="shared" si="20"/>
        <v>2808</v>
      </c>
      <c r="AN17" s="11">
        <f t="shared" si="21"/>
        <v>0.65424044734389564</v>
      </c>
      <c r="AO17" s="15">
        <f t="shared" si="22"/>
        <v>-4.7761739290712923E-2</v>
      </c>
      <c r="AP17" s="34">
        <f t="shared" si="23"/>
        <v>0</v>
      </c>
      <c r="AQ17" s="82">
        <f t="shared" si="1"/>
        <v>0</v>
      </c>
      <c r="AR17" s="85">
        <f t="shared" si="24"/>
        <v>0</v>
      </c>
      <c r="AS17" s="37">
        <f t="shared" si="25"/>
        <v>4.3347180207430093E-2</v>
      </c>
      <c r="AT17" s="87">
        <f t="shared" si="26"/>
        <v>5.3128740604708846E-2</v>
      </c>
      <c r="AU17" s="170">
        <f>+AT17*'Resumen PFE 2019'!$I$19</f>
        <v>106534.4902126314</v>
      </c>
    </row>
    <row r="18" spans="1:48" x14ac:dyDescent="0.2">
      <c r="A18" s="6">
        <v>15</v>
      </c>
      <c r="B18" s="2" t="s">
        <v>33</v>
      </c>
      <c r="C18" s="13" t="s">
        <v>32</v>
      </c>
      <c r="D18" s="97">
        <f>VLOOKUP($C18,'[5]RET 1º año quintil'!$C$11:$V$37,11,0)</f>
        <v>1778</v>
      </c>
      <c r="E18" s="122">
        <f>VLOOKUP($C18,'[5]RET 1º año quintil'!$C$11:$V$37,12,0)</f>
        <v>1841</v>
      </c>
      <c r="F18" s="123">
        <f>VLOOKUP($C18,'[5]RET 1º año quintil'!$C$11:$V$37,13,0)</f>
        <v>1812</v>
      </c>
      <c r="G18" s="124">
        <f>VLOOKUP($C18,'[5]RET 1º año quintil'!$C$11:$V$37,14,0)</f>
        <v>1866</v>
      </c>
      <c r="H18" s="111">
        <f>VLOOKUP($C18,'[5]RET 1º año quintil'!$C$11:$V$37,17,0)</f>
        <v>1508</v>
      </c>
      <c r="I18" s="118">
        <f>VLOOKUP($C18,'[5]RET 1º año quintil'!$C$11:$V$37,18,0)</f>
        <v>1533</v>
      </c>
      <c r="J18" s="119">
        <f>VLOOKUP($C18,'[5]RET 1º año quintil'!$C$11:$V$37,19,0)</f>
        <v>1575</v>
      </c>
      <c r="K18" s="120">
        <f>VLOOKUP($C18,'[5]RET 1º año quintil'!$C$11:$V$37,20,0)</f>
        <v>1587</v>
      </c>
      <c r="L18" s="125">
        <f t="shared" si="2"/>
        <v>5519</v>
      </c>
      <c r="M18" s="121">
        <f t="shared" si="3"/>
        <v>4695</v>
      </c>
      <c r="N18" s="31">
        <f t="shared" si="4"/>
        <v>0.85069759014314184</v>
      </c>
      <c r="O18" s="74">
        <f t="shared" si="5"/>
        <v>6.4868381377217815E-2</v>
      </c>
      <c r="P18" s="66">
        <f t="shared" si="6"/>
        <v>4.5407866964052468E-2</v>
      </c>
      <c r="Q18" s="30">
        <f t="shared" si="7"/>
        <v>5431</v>
      </c>
      <c r="R18" s="30">
        <f t="shared" si="8"/>
        <v>4616</v>
      </c>
      <c r="S18" s="31">
        <f t="shared" si="9"/>
        <v>0.84993555514638186</v>
      </c>
      <c r="T18" s="39">
        <f t="shared" si="10"/>
        <v>8.9657973730572493E-4</v>
      </c>
      <c r="U18" s="34">
        <f t="shared" si="11"/>
        <v>8.9657973730572493E-4</v>
      </c>
      <c r="V18" s="74">
        <f t="shared" si="12"/>
        <v>4.5721857894646632E-3</v>
      </c>
      <c r="W18" s="66">
        <f t="shared" si="13"/>
        <v>1.371655736839399E-3</v>
      </c>
      <c r="X18" s="71">
        <f t="shared" si="14"/>
        <v>4.6779522700891869E-2</v>
      </c>
      <c r="Y18" s="128">
        <f>VLOOKUP($C18,'[5]RET DE 3º AÑO '!$C$10:$V$36,11,0)</f>
        <v>2110</v>
      </c>
      <c r="Z18" s="144">
        <f>VLOOKUP($C18,'[5]RET DE 3º AÑO '!$C$10:$V$36,12,0)</f>
        <v>2263</v>
      </c>
      <c r="AA18" s="145">
        <f>VLOOKUP($C18,'[5]RET DE 3º AÑO '!$C$10:$V$36,13,0)</f>
        <v>2115</v>
      </c>
      <c r="AB18" s="146">
        <f>VLOOKUP($C18,'[5]RET DE 3º AÑO '!$C$10:$V$36,14,0)</f>
        <v>2271</v>
      </c>
      <c r="AC18" s="138">
        <f>VLOOKUP($C18,'[5]RET DE 3º AÑO '!$C$10:$V$36,17,0)</f>
        <v>1589</v>
      </c>
      <c r="AD18" s="148">
        <f>VLOOKUP($C18,'[5]RET DE 3º AÑO '!$C$10:$V$36,18,0)</f>
        <v>1653</v>
      </c>
      <c r="AE18" s="149">
        <f>VLOOKUP($C18,'[5]RET DE 3º AÑO '!$C$10:$V$36,19,0)</f>
        <v>1499</v>
      </c>
      <c r="AF18" s="150">
        <f>VLOOKUP($C18,'[5]RET DE 3º AÑO '!$C$10:$V$36,20,0)</f>
        <v>1608</v>
      </c>
      <c r="AG18" s="147">
        <f t="shared" si="15"/>
        <v>6649</v>
      </c>
      <c r="AH18" s="149">
        <f t="shared" si="16"/>
        <v>4760</v>
      </c>
      <c r="AI18" s="11">
        <f t="shared" si="17"/>
        <v>0.71589712738757705</v>
      </c>
      <c r="AJ18" s="78">
        <f>AI18/$AI$20</f>
        <v>7.11590945809734E-2</v>
      </c>
      <c r="AK18" s="80">
        <f>+AJ18*$AK$2</f>
        <v>4.9811366206681376E-2</v>
      </c>
      <c r="AL18" s="16">
        <f t="shared" si="19"/>
        <v>6488</v>
      </c>
      <c r="AM18" s="16">
        <f t="shared" si="20"/>
        <v>4741</v>
      </c>
      <c r="AN18" s="11">
        <f t="shared" si="21"/>
        <v>0.7307336621454994</v>
      </c>
      <c r="AO18" s="15">
        <f>AI18/AN18-1</f>
        <v>-2.0303614745707743E-2</v>
      </c>
      <c r="AP18" s="34">
        <f t="shared" si="23"/>
        <v>0</v>
      </c>
      <c r="AQ18" s="82">
        <f t="shared" si="1"/>
        <v>0</v>
      </c>
      <c r="AR18" s="85">
        <f t="shared" si="24"/>
        <v>0</v>
      </c>
      <c r="AS18" s="37">
        <f t="shared" si="25"/>
        <v>4.9811366206681376E-2</v>
      </c>
      <c r="AT18" s="87">
        <f t="shared" si="26"/>
        <v>4.8295444453786626E-2</v>
      </c>
      <c r="AU18" s="170">
        <f>+AT18*'Resumen PFE 2019'!$I$19</f>
        <v>96842.697491319734</v>
      </c>
    </row>
    <row r="19" spans="1:48" x14ac:dyDescent="0.2">
      <c r="A19" s="6">
        <v>16</v>
      </c>
      <c r="B19" s="2" t="s">
        <v>35</v>
      </c>
      <c r="C19" s="13" t="s">
        <v>34</v>
      </c>
      <c r="D19" s="97">
        <f>VLOOKUP($C19,'[5]RET 1º año quintil'!$C$11:$V$37,11,0)</f>
        <v>674</v>
      </c>
      <c r="E19" s="122">
        <f>VLOOKUP($C19,'[5]RET 1º año quintil'!$C$11:$V$37,12,0)</f>
        <v>777</v>
      </c>
      <c r="F19" s="123">
        <f>VLOOKUP($C19,'[5]RET 1º año quintil'!$C$11:$V$37,13,0)</f>
        <v>710</v>
      </c>
      <c r="G19" s="124">
        <f>VLOOKUP($C19,'[5]RET 1º año quintil'!$C$11:$V$37,14,0)</f>
        <v>703</v>
      </c>
      <c r="H19" s="111">
        <f>VLOOKUP($C19,'[5]RET 1º año quintil'!$C$11:$V$37,17,0)</f>
        <v>556</v>
      </c>
      <c r="I19" s="118">
        <f>VLOOKUP($C19,'[5]RET 1º año quintil'!$C$11:$V$37,18,0)</f>
        <v>625</v>
      </c>
      <c r="J19" s="119">
        <f>VLOOKUP($C19,'[5]RET 1º año quintil'!$C$11:$V$37,19,0)</f>
        <v>591</v>
      </c>
      <c r="K19" s="120">
        <f>VLOOKUP($C19,'[5]RET 1º año quintil'!$C$11:$V$37,20,0)</f>
        <v>608</v>
      </c>
      <c r="L19" s="125">
        <f t="shared" si="2"/>
        <v>2190</v>
      </c>
      <c r="M19" s="121">
        <f t="shared" si="3"/>
        <v>1824</v>
      </c>
      <c r="N19" s="31">
        <f t="shared" si="4"/>
        <v>0.83287671232876714</v>
      </c>
      <c r="O19" s="74">
        <f t="shared" si="5"/>
        <v>6.3509483089584082E-2</v>
      </c>
      <c r="P19" s="66">
        <f t="shared" si="6"/>
        <v>4.4456638162708853E-2</v>
      </c>
      <c r="Q19" s="30">
        <f t="shared" si="7"/>
        <v>2161</v>
      </c>
      <c r="R19" s="30">
        <f t="shared" si="8"/>
        <v>1772</v>
      </c>
      <c r="S19" s="31">
        <f>R19/Q19</f>
        <v>0.81999074502545122</v>
      </c>
      <c r="T19" s="39">
        <f>N19/S19-1</f>
        <v>1.5714771637960423E-2</v>
      </c>
      <c r="U19" s="34">
        <f t="shared" si="11"/>
        <v>1.5714771637960423E-2</v>
      </c>
      <c r="V19" s="74">
        <f>U19/$U$20</f>
        <v>8.0138834928035557E-2</v>
      </c>
      <c r="W19" s="66">
        <f>+V19*$W$2</f>
        <v>2.4041650478410666E-2</v>
      </c>
      <c r="X19" s="71">
        <f t="shared" si="14"/>
        <v>6.8498288641119523E-2</v>
      </c>
      <c r="Y19" s="128">
        <f>VLOOKUP($C19,'[5]RET DE 3º AÑO '!$C$10:$V$36,11,0)</f>
        <v>977</v>
      </c>
      <c r="Z19" s="144">
        <f>VLOOKUP($C19,'[5]RET DE 3º AÑO '!$C$10:$V$36,12,0)</f>
        <v>1082</v>
      </c>
      <c r="AA19" s="145">
        <f>VLOOKUP($C19,'[5]RET DE 3º AÑO '!$C$10:$V$36,13,0)</f>
        <v>1044</v>
      </c>
      <c r="AB19" s="146">
        <f>VLOOKUP($C19,'[5]RET DE 3º AÑO '!$C$10:$V$36,14,0)</f>
        <v>1158</v>
      </c>
      <c r="AC19" s="138">
        <f>VLOOKUP($C19,'[5]RET DE 3º AÑO '!$C$10:$V$36,17,0)</f>
        <v>621</v>
      </c>
      <c r="AD19" s="148">
        <f>VLOOKUP($C19,'[5]RET DE 3º AÑO '!$C$10:$V$36,18,0)</f>
        <v>653</v>
      </c>
      <c r="AE19" s="149">
        <f>VLOOKUP($C19,'[5]RET DE 3º AÑO '!$C$10:$V$36,19,0)</f>
        <v>670</v>
      </c>
      <c r="AF19" s="150">
        <f>VLOOKUP($C19,'[5]RET DE 3º AÑO '!$C$10:$V$36,20,0)</f>
        <v>646</v>
      </c>
      <c r="AG19" s="147">
        <f t="shared" si="15"/>
        <v>3284</v>
      </c>
      <c r="AH19" s="149">
        <f t="shared" si="16"/>
        <v>1969</v>
      </c>
      <c r="AI19" s="11">
        <f t="shared" si="17"/>
        <v>0.5995736906211937</v>
      </c>
      <c r="AJ19" s="78">
        <f t="shared" si="0"/>
        <v>5.9596720432261892E-2</v>
      </c>
      <c r="AK19" s="80">
        <f t="shared" si="18"/>
        <v>4.1717704302583321E-2</v>
      </c>
      <c r="AL19" s="16">
        <f>Y19+Z19+AA19</f>
        <v>3103</v>
      </c>
      <c r="AM19" s="16">
        <f>AC19+AD19+AE19</f>
        <v>1944</v>
      </c>
      <c r="AN19" s="11">
        <f>AM19/AL19</f>
        <v>0.6264904930712214</v>
      </c>
      <c r="AO19" s="15">
        <f t="shared" si="22"/>
        <v>-4.2964422840759187E-2</v>
      </c>
      <c r="AP19" s="34">
        <f t="shared" si="23"/>
        <v>0</v>
      </c>
      <c r="AQ19" s="82">
        <f t="shared" si="1"/>
        <v>0</v>
      </c>
      <c r="AR19" s="85">
        <f t="shared" si="24"/>
        <v>0</v>
      </c>
      <c r="AS19" s="37">
        <f>AK19+AR19</f>
        <v>4.1717704302583321E-2</v>
      </c>
      <c r="AT19" s="87">
        <f t="shared" si="26"/>
        <v>5.5107996471851425E-2</v>
      </c>
      <c r="AU19" s="170">
        <f>+AT19*'Resumen PFE 2019'!$I$19</f>
        <v>110503.32162866736</v>
      </c>
    </row>
    <row r="20" spans="1:48" x14ac:dyDescent="0.2">
      <c r="D20" s="98">
        <f>SUM(D4:D19)</f>
        <v>19262</v>
      </c>
      <c r="E20" s="102">
        <f t="shared" ref="E20:G20" si="27">SUM(E4:E19)</f>
        <v>20151</v>
      </c>
      <c r="F20" s="40">
        <f t="shared" si="27"/>
        <v>21618</v>
      </c>
      <c r="G20" s="103">
        <f t="shared" si="27"/>
        <v>21611</v>
      </c>
      <c r="H20" s="112">
        <f t="shared" ref="H20" si="28">SUM(H4:H19)</f>
        <v>15714</v>
      </c>
      <c r="I20" s="102">
        <f t="shared" ref="I20" si="29">SUM(I4:I19)</f>
        <v>16234</v>
      </c>
      <c r="J20" s="40">
        <f t="shared" ref="J20" si="30">SUM(J4:J19)</f>
        <v>17787</v>
      </c>
      <c r="K20" s="103">
        <f t="shared" ref="K20:O20" si="31">SUM(K4:K19)</f>
        <v>18037</v>
      </c>
      <c r="L20" s="99">
        <f t="shared" si="31"/>
        <v>63380</v>
      </c>
      <c r="M20" s="40">
        <f t="shared" si="31"/>
        <v>52058</v>
      </c>
      <c r="N20" s="36">
        <f t="shared" si="31"/>
        <v>13.114210222022161</v>
      </c>
      <c r="O20" s="75">
        <f t="shared" si="31"/>
        <v>1</v>
      </c>
      <c r="P20" s="67">
        <f>SUM(P4:P19)</f>
        <v>0.69999999999999984</v>
      </c>
      <c r="Q20" s="41">
        <f>SUM(Q4:Q19)</f>
        <v>61031</v>
      </c>
      <c r="R20" s="41">
        <f t="shared" ref="R20:V20" si="32">SUM(R4:R19)</f>
        <v>49735</v>
      </c>
      <c r="S20" s="36">
        <f t="shared" si="32"/>
        <v>12.977780913293408</v>
      </c>
      <c r="T20" s="36">
        <f t="shared" si="32"/>
        <v>0.17307531623430983</v>
      </c>
      <c r="U20" s="36">
        <f t="shared" si="32"/>
        <v>0.19609433618634764</v>
      </c>
      <c r="V20" s="75">
        <f t="shared" si="32"/>
        <v>0.99999999999999989</v>
      </c>
      <c r="W20" s="67">
        <f>SUM(W4:W19)</f>
        <v>0.3</v>
      </c>
      <c r="X20" s="72">
        <f t="shared" ref="X20:AT20" si="33">SUM(X4:X19)</f>
        <v>1</v>
      </c>
      <c r="Y20" s="129">
        <f>SUM(Y4:Y19)</f>
        <v>28661</v>
      </c>
      <c r="Z20" s="133">
        <f t="shared" ref="Z20:AB20" si="34">SUM(Z4:Z19)</f>
        <v>29708</v>
      </c>
      <c r="AA20" s="28">
        <f t="shared" si="34"/>
        <v>29767</v>
      </c>
      <c r="AB20" s="134">
        <f t="shared" si="34"/>
        <v>31595</v>
      </c>
      <c r="AC20" s="139">
        <f t="shared" ref="AC20" si="35">SUM(AC4:AC19)</f>
        <v>18682</v>
      </c>
      <c r="AD20" s="142">
        <f t="shared" ref="AD20" si="36">SUM(AD4:AD19)</f>
        <v>18996</v>
      </c>
      <c r="AE20" s="28">
        <f t="shared" ref="AE20" si="37">SUM(AE4:AE19)</f>
        <v>19337</v>
      </c>
      <c r="AF20" s="143">
        <f t="shared" ref="AF20" si="38">SUM(AF4:AF19)</f>
        <v>20419</v>
      </c>
      <c r="AG20" s="130">
        <f>SUM(AG4:AG19)</f>
        <v>91070</v>
      </c>
      <c r="AH20" s="28">
        <f>SUM(AH4:AH19)</f>
        <v>58752</v>
      </c>
      <c r="AI20" s="29">
        <f>SUM(AI4:AI19)</f>
        <v>10.060514844985034</v>
      </c>
      <c r="AJ20" s="79">
        <f>SUM(AJ4:AJ19)</f>
        <v>0.99999999999999978</v>
      </c>
      <c r="AK20" s="79">
        <f>SUM(AK4:AK19)</f>
        <v>0.7</v>
      </c>
      <c r="AL20" s="28">
        <f t="shared" ref="AL20" si="39">SUM(AL4:AL19)</f>
        <v>88136</v>
      </c>
      <c r="AM20" s="28">
        <f t="shared" ref="AM20" si="40">SUM(AM4:AM19)</f>
        <v>57015</v>
      </c>
      <c r="AN20" s="29">
        <f t="shared" ref="AN20:AR20" si="41">SUM(AN4:AN19)</f>
        <v>10.082968097411936</v>
      </c>
      <c r="AO20" s="32">
        <f t="shared" si="41"/>
        <v>-1.045236851615805E-2</v>
      </c>
      <c r="AP20" s="35">
        <f t="shared" si="41"/>
        <v>0.1848939963268823</v>
      </c>
      <c r="AQ20" s="83">
        <f t="shared" si="41"/>
        <v>1</v>
      </c>
      <c r="AR20" s="86">
        <f t="shared" si="41"/>
        <v>0.3</v>
      </c>
      <c r="AS20" s="38">
        <f>SUM(AS4:AS19)</f>
        <v>0.99999999999999989</v>
      </c>
      <c r="AT20" s="42">
        <f t="shared" si="33"/>
        <v>0.99999999999999989</v>
      </c>
      <c r="AU20" s="170">
        <f>+AT20*'Resumen PFE 2019'!$I$19</f>
        <v>2005213.9199999997</v>
      </c>
    </row>
    <row r="21" spans="1:48" x14ac:dyDescent="0.2">
      <c r="E21" s="104"/>
      <c r="F21" s="105"/>
      <c r="G21" s="106"/>
      <c r="I21" s="104"/>
      <c r="J21" s="105"/>
      <c r="K21" s="106"/>
      <c r="Z21" s="135"/>
      <c r="AA21" s="105"/>
      <c r="AB21" s="136"/>
      <c r="AD21" s="104"/>
      <c r="AE21" s="105"/>
      <c r="AF21" s="106"/>
    </row>
    <row r="22" spans="1:48" x14ac:dyDescent="0.2">
      <c r="C22">
        <v>1</v>
      </c>
      <c r="D22">
        <v>2</v>
      </c>
      <c r="E22" s="104">
        <v>3</v>
      </c>
      <c r="F22" s="105">
        <v>4</v>
      </c>
      <c r="G22" s="106">
        <v>5</v>
      </c>
      <c r="H22">
        <v>6</v>
      </c>
      <c r="I22" s="104">
        <v>7</v>
      </c>
      <c r="J22" s="105">
        <v>8</v>
      </c>
      <c r="K22" s="106">
        <v>9</v>
      </c>
      <c r="L22">
        <v>10</v>
      </c>
      <c r="M22">
        <v>11</v>
      </c>
      <c r="N22">
        <v>12</v>
      </c>
      <c r="O22">
        <v>13</v>
      </c>
      <c r="P22">
        <v>14</v>
      </c>
      <c r="Q22">
        <v>15</v>
      </c>
      <c r="R22">
        <v>16</v>
      </c>
      <c r="S22">
        <v>17</v>
      </c>
      <c r="T22">
        <v>18</v>
      </c>
      <c r="U22">
        <v>19</v>
      </c>
      <c r="V22">
        <v>20</v>
      </c>
      <c r="W22">
        <v>21</v>
      </c>
      <c r="X22">
        <v>22</v>
      </c>
      <c r="Y22">
        <v>23</v>
      </c>
      <c r="Z22" s="135">
        <v>24</v>
      </c>
      <c r="AA22" s="105">
        <v>25</v>
      </c>
      <c r="AB22" s="136">
        <v>26</v>
      </c>
      <c r="AC22">
        <v>27</v>
      </c>
      <c r="AD22" s="104">
        <v>28</v>
      </c>
      <c r="AE22" s="105">
        <v>29</v>
      </c>
      <c r="AF22" s="106">
        <v>30</v>
      </c>
      <c r="AG22">
        <v>31</v>
      </c>
      <c r="AH22">
        <v>32</v>
      </c>
      <c r="AI22">
        <v>33</v>
      </c>
      <c r="AJ22">
        <v>34</v>
      </c>
      <c r="AK22">
        <v>35</v>
      </c>
      <c r="AL22">
        <v>36</v>
      </c>
      <c r="AM22">
        <v>37</v>
      </c>
      <c r="AN22">
        <v>38</v>
      </c>
      <c r="AO22">
        <v>39</v>
      </c>
      <c r="AP22">
        <v>40</v>
      </c>
      <c r="AQ22">
        <v>41</v>
      </c>
      <c r="AR22">
        <v>42</v>
      </c>
      <c r="AS22">
        <v>43</v>
      </c>
      <c r="AT22">
        <v>44</v>
      </c>
    </row>
    <row r="23" spans="1:48" x14ac:dyDescent="0.2">
      <c r="E23" s="104"/>
      <c r="F23" s="105"/>
      <c r="G23" s="106"/>
      <c r="I23" s="104"/>
      <c r="J23" s="105"/>
      <c r="K23" s="106"/>
      <c r="Z23" s="135"/>
      <c r="AA23" s="105"/>
      <c r="AB23" s="136"/>
      <c r="AD23" s="104"/>
      <c r="AE23" s="105"/>
      <c r="AF23" s="106"/>
    </row>
    <row r="24" spans="1:48" ht="30" customHeight="1" x14ac:dyDescent="0.2">
      <c r="E24" s="107" t="s">
        <v>161</v>
      </c>
      <c r="F24" s="108" t="s">
        <v>161</v>
      </c>
      <c r="G24" s="109" t="s">
        <v>161</v>
      </c>
      <c r="I24" s="107" t="s">
        <v>165</v>
      </c>
      <c r="J24" s="108" t="s">
        <v>165</v>
      </c>
      <c r="K24" s="109" t="s">
        <v>165</v>
      </c>
      <c r="L24" s="117" t="s">
        <v>208</v>
      </c>
      <c r="M24" s="117" t="s">
        <v>209</v>
      </c>
      <c r="N24" s="126" t="s">
        <v>216</v>
      </c>
      <c r="O24" t="s">
        <v>210</v>
      </c>
      <c r="P24" t="s">
        <v>211</v>
      </c>
      <c r="Q24" s="180" t="s">
        <v>196</v>
      </c>
      <c r="R24" s="180" t="s">
        <v>212</v>
      </c>
      <c r="S24" s="171" t="s">
        <v>214</v>
      </c>
      <c r="T24" s="171" t="s">
        <v>222</v>
      </c>
      <c r="U24" s="181" t="s">
        <v>215</v>
      </c>
      <c r="V24" s="171" t="s">
        <v>219</v>
      </c>
      <c r="W24" s="171" t="s">
        <v>220</v>
      </c>
      <c r="X24" s="171" t="s">
        <v>221</v>
      </c>
      <c r="Y24" s="171"/>
      <c r="Z24" s="182" t="s">
        <v>223</v>
      </c>
      <c r="AA24" s="183" t="s">
        <v>223</v>
      </c>
      <c r="AB24" s="184" t="s">
        <v>223</v>
      </c>
      <c r="AC24" s="171"/>
      <c r="AD24" s="186" t="s">
        <v>225</v>
      </c>
      <c r="AE24" s="187" t="s">
        <v>225</v>
      </c>
      <c r="AF24" s="188" t="s">
        <v>225</v>
      </c>
      <c r="AG24" s="185" t="s">
        <v>224</v>
      </c>
      <c r="AH24" s="185" t="s">
        <v>226</v>
      </c>
      <c r="AI24" s="185" t="s">
        <v>227</v>
      </c>
      <c r="AJ24" s="185" t="s">
        <v>229</v>
      </c>
      <c r="AK24" s="185" t="s">
        <v>230</v>
      </c>
      <c r="AL24" s="185" t="s">
        <v>232</v>
      </c>
      <c r="AM24" s="185" t="s">
        <v>233</v>
      </c>
      <c r="AN24" s="185" t="s">
        <v>234</v>
      </c>
      <c r="AO24" s="185" t="s">
        <v>235</v>
      </c>
      <c r="AP24" s="189" t="s">
        <v>236</v>
      </c>
      <c r="AQ24" s="185" t="s">
        <v>239</v>
      </c>
      <c r="AR24" s="185" t="s">
        <v>238</v>
      </c>
      <c r="AS24" s="185" t="s">
        <v>240</v>
      </c>
      <c r="AT24" s="179" t="s">
        <v>164</v>
      </c>
      <c r="AU24" s="127"/>
      <c r="AV24" s="127"/>
    </row>
    <row r="25" spans="1:48" x14ac:dyDescent="0.2">
      <c r="D25" t="s">
        <v>163</v>
      </c>
      <c r="E25" t="s">
        <v>163</v>
      </c>
      <c r="F25" t="s">
        <v>163</v>
      </c>
      <c r="N25" t="s">
        <v>217</v>
      </c>
      <c r="Q25" s="127"/>
      <c r="R25" s="171" t="s">
        <v>213</v>
      </c>
      <c r="S25" s="127"/>
      <c r="T25" s="127"/>
      <c r="U25" t="s">
        <v>218</v>
      </c>
      <c r="V25" s="127"/>
      <c r="W25" s="127"/>
      <c r="X25" s="127"/>
      <c r="Y25" s="171" t="s">
        <v>231</v>
      </c>
      <c r="Z25" s="171" t="s">
        <v>231</v>
      </c>
      <c r="AA25" s="171" t="s">
        <v>231</v>
      </c>
      <c r="AB25" s="127"/>
      <c r="AC25" s="171" t="s">
        <v>233</v>
      </c>
      <c r="AD25" s="171" t="s">
        <v>233</v>
      </c>
      <c r="AE25" s="171" t="s">
        <v>233</v>
      </c>
      <c r="AF25" s="127"/>
      <c r="AG25" s="127"/>
      <c r="AH25" s="127"/>
      <c r="AI25" t="s">
        <v>228</v>
      </c>
      <c r="AJ25" s="127"/>
      <c r="AK25" s="127"/>
      <c r="AL25" s="127"/>
      <c r="AM25" s="127"/>
      <c r="AN25" s="127"/>
      <c r="AO25" s="127"/>
      <c r="AP25" s="171" t="s">
        <v>237</v>
      </c>
      <c r="AQ25" s="127"/>
      <c r="AR25" s="127"/>
      <c r="AS25" s="127"/>
      <c r="AT25" s="127"/>
      <c r="AU25" s="127"/>
      <c r="AV25" s="127"/>
    </row>
  </sheetData>
  <mergeCells count="13">
    <mergeCell ref="AT1:AT3"/>
    <mergeCell ref="D2:G2"/>
    <mergeCell ref="H2:K2"/>
    <mergeCell ref="L2:O2"/>
    <mergeCell ref="X2:X3"/>
    <mergeCell ref="D1:X1"/>
    <mergeCell ref="Q2:V2"/>
    <mergeCell ref="AL2:AQ2"/>
    <mergeCell ref="Y1:AS1"/>
    <mergeCell ref="AS2:AS3"/>
    <mergeCell ref="Y2:AB2"/>
    <mergeCell ref="AC2:AF2"/>
    <mergeCell ref="AG2:AJ2"/>
  </mergeCells>
  <pageMargins left="0.70866141732283472" right="0.70866141732283472" top="0.74803149606299213" bottom="0.74803149606299213" header="0.31496062992125984" footer="0.31496062992125984"/>
  <pageSetup paperSize="14" scale="48" fitToWidth="2" fitToHeight="2" orientation="landscape" verticalDpi="0" r:id="rId1"/>
  <headerFooter>
    <oddFooter>&amp;C&amp;A
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7"/>
  <sheetViews>
    <sheetView zoomScale="90" zoomScaleNormal="90" workbookViewId="0">
      <selection activeCell="S3" sqref="S3"/>
    </sheetView>
  </sheetViews>
  <sheetFormatPr baseColWidth="10" defaultRowHeight="15" x14ac:dyDescent="0.2"/>
  <cols>
    <col min="1" max="1" width="4.1640625" customWidth="1"/>
    <col min="2" max="2" width="24.5" bestFit="1" customWidth="1"/>
    <col min="13" max="13" width="14.1640625" customWidth="1"/>
    <col min="16" max="17" width="14.1640625" customWidth="1"/>
  </cols>
  <sheetData>
    <row r="1" spans="1:19" x14ac:dyDescent="0.2">
      <c r="H1" s="93">
        <v>0.5</v>
      </c>
      <c r="J1" s="93">
        <v>0.3</v>
      </c>
      <c r="Q1" s="93">
        <v>0.2</v>
      </c>
      <c r="R1" s="216" t="s">
        <v>86</v>
      </c>
    </row>
    <row r="2" spans="1:19" ht="98" x14ac:dyDescent="0.2">
      <c r="A2" s="5" t="s">
        <v>1</v>
      </c>
      <c r="B2" s="1" t="s">
        <v>3</v>
      </c>
      <c r="C2" s="26" t="s">
        <v>2</v>
      </c>
      <c r="D2" s="154" t="s">
        <v>79</v>
      </c>
      <c r="E2" s="155" t="s">
        <v>80</v>
      </c>
      <c r="F2" s="152" t="s">
        <v>81</v>
      </c>
      <c r="G2" s="88" t="s">
        <v>155</v>
      </c>
      <c r="H2" s="20" t="s">
        <v>158</v>
      </c>
      <c r="I2" s="88" t="s">
        <v>156</v>
      </c>
      <c r="J2" s="20" t="s">
        <v>159</v>
      </c>
      <c r="K2" s="7" t="s">
        <v>82</v>
      </c>
      <c r="L2" s="7" t="s">
        <v>136</v>
      </c>
      <c r="M2" s="7" t="s">
        <v>83</v>
      </c>
      <c r="N2" s="7" t="s">
        <v>84</v>
      </c>
      <c r="O2" s="7" t="s">
        <v>85</v>
      </c>
      <c r="P2" s="88" t="s">
        <v>157</v>
      </c>
      <c r="Q2" s="20" t="s">
        <v>160</v>
      </c>
      <c r="R2" s="216"/>
      <c r="S2" s="172" t="s">
        <v>40</v>
      </c>
    </row>
    <row r="3" spans="1:19" x14ac:dyDescent="0.2">
      <c r="A3" s="6">
        <v>1</v>
      </c>
      <c r="B3" s="2" t="s">
        <v>5</v>
      </c>
      <c r="C3" s="13" t="s">
        <v>4</v>
      </c>
      <c r="D3" s="156">
        <v>15</v>
      </c>
      <c r="E3" s="157">
        <v>74</v>
      </c>
      <c r="F3" s="153">
        <f>D3/E3</f>
        <v>0.20270270270270271</v>
      </c>
      <c r="G3" s="89">
        <f>F3/$F$19</f>
        <v>4.078768909943873E-2</v>
      </c>
      <c r="H3" s="92">
        <f>+G3*$H$1</f>
        <v>2.0393844549719365E-2</v>
      </c>
      <c r="I3" s="89">
        <f>D3/$D$19</f>
        <v>1.5015015015015015E-2</v>
      </c>
      <c r="J3" s="92">
        <f>+I3*$J$1</f>
        <v>4.5045045045045045E-3</v>
      </c>
      <c r="K3" s="6">
        <v>70</v>
      </c>
      <c r="L3" s="6">
        <v>13</v>
      </c>
      <c r="M3" s="11">
        <f>L3/K3</f>
        <v>0.18571428571428572</v>
      </c>
      <c r="N3" s="15">
        <f>F3/M3-1</f>
        <v>9.1476091476091481E-2</v>
      </c>
      <c r="O3" s="11">
        <f>IF(N3&gt;=0,N3,0)</f>
        <v>9.1476091476091481E-2</v>
      </c>
      <c r="P3" s="90">
        <f>O3/$O$19</f>
        <v>9.5970616337572423E-2</v>
      </c>
      <c r="Q3" s="21">
        <f>+P3*$Q$1</f>
        <v>1.9194123267514487E-2</v>
      </c>
      <c r="R3" s="94">
        <f>H3+J3+Q3</f>
        <v>4.4092472321738352E-2</v>
      </c>
      <c r="S3" s="170">
        <f>+R3*'Resumen PFE 2019'!$J$19</f>
        <v>36839.516361151895</v>
      </c>
    </row>
    <row r="4" spans="1:19" x14ac:dyDescent="0.2">
      <c r="A4" s="6">
        <v>2</v>
      </c>
      <c r="B4" s="2" t="s">
        <v>7</v>
      </c>
      <c r="C4" s="13" t="s">
        <v>6</v>
      </c>
      <c r="D4" s="156">
        <v>340</v>
      </c>
      <c r="E4" s="157">
        <v>1076</v>
      </c>
      <c r="F4" s="153">
        <f t="shared" ref="F4:F18" si="0">D4/E4</f>
        <v>0.31598513011152418</v>
      </c>
      <c r="G4" s="89">
        <f t="shared" ref="G4:G18" si="1">F4/$F$19</f>
        <v>6.3582296018703743E-2</v>
      </c>
      <c r="H4" s="92">
        <f t="shared" ref="H4:H18" si="2">+G4*$H$1</f>
        <v>3.1791148009351872E-2</v>
      </c>
      <c r="I4" s="89">
        <f t="shared" ref="I4:I18" si="3">D4/$D$19</f>
        <v>0.34034034034034033</v>
      </c>
      <c r="J4" s="92">
        <f t="shared" ref="J4:J18" si="4">+I4*$J$1</f>
        <v>0.10210210210210209</v>
      </c>
      <c r="K4" s="6">
        <v>1031</v>
      </c>
      <c r="L4" s="6">
        <v>316</v>
      </c>
      <c r="M4" s="11">
        <f t="shared" ref="M4:M18" si="5">L4/K4</f>
        <v>0.30649854510184288</v>
      </c>
      <c r="N4" s="15">
        <f t="shared" ref="N4:N17" si="6">F4/M4-1</f>
        <v>3.0951484636017268E-2</v>
      </c>
      <c r="O4" s="11">
        <f t="shared" ref="O4:O18" si="7">IF(N4&gt;=0,N4,0)</f>
        <v>3.0951484636017268E-2</v>
      </c>
      <c r="P4" s="90">
        <f t="shared" ref="P4:P18" si="8">O4/$O$19</f>
        <v>3.2472234101277093E-2</v>
      </c>
      <c r="Q4" s="21">
        <f t="shared" ref="Q4:Q18" si="9">+P4*$Q$1</f>
        <v>6.4944468202554192E-3</v>
      </c>
      <c r="R4" s="94">
        <f t="shared" ref="R4:R17" si="10">H4+J4+Q4</f>
        <v>0.14038769693170938</v>
      </c>
      <c r="S4" s="170">
        <f>+R4*'Resumen PFE 2019'!$J$19</f>
        <v>117294.7350350855</v>
      </c>
    </row>
    <row r="5" spans="1:19" x14ac:dyDescent="0.2">
      <c r="A5" s="6">
        <v>3</v>
      </c>
      <c r="B5" s="2" t="s">
        <v>9</v>
      </c>
      <c r="C5" s="13" t="s">
        <v>8</v>
      </c>
      <c r="D5" s="156">
        <v>26</v>
      </c>
      <c r="E5" s="157">
        <v>74</v>
      </c>
      <c r="F5" s="153">
        <f t="shared" si="0"/>
        <v>0.35135135135135137</v>
      </c>
      <c r="G5" s="89">
        <f t="shared" si="1"/>
        <v>7.0698661105693797E-2</v>
      </c>
      <c r="H5" s="92">
        <f t="shared" si="2"/>
        <v>3.5349330552846898E-2</v>
      </c>
      <c r="I5" s="89">
        <f t="shared" si="3"/>
        <v>2.6026026026026026E-2</v>
      </c>
      <c r="J5" s="92">
        <f t="shared" si="4"/>
        <v>7.8078078078078076E-3</v>
      </c>
      <c r="K5" s="6">
        <v>57</v>
      </c>
      <c r="L5" s="6">
        <v>19</v>
      </c>
      <c r="M5" s="11">
        <f t="shared" si="5"/>
        <v>0.33333333333333331</v>
      </c>
      <c r="N5" s="15">
        <f t="shared" si="6"/>
        <v>5.4054054054054168E-2</v>
      </c>
      <c r="O5" s="11">
        <f t="shared" si="7"/>
        <v>5.4054054054054168E-2</v>
      </c>
      <c r="P5" s="90">
        <f t="shared" si="8"/>
        <v>5.6709909654020188E-2</v>
      </c>
      <c r="Q5" s="21">
        <f t="shared" si="9"/>
        <v>1.1341981930804039E-2</v>
      </c>
      <c r="R5" s="94">
        <f t="shared" si="10"/>
        <v>5.4499120291458744E-2</v>
      </c>
      <c r="S5" s="170">
        <f>+R5*'Resumen PFE 2019'!$J$19</f>
        <v>45534.331098411509</v>
      </c>
    </row>
    <row r="6" spans="1:19" x14ac:dyDescent="0.2">
      <c r="A6" s="6">
        <v>4</v>
      </c>
      <c r="B6" s="2" t="s">
        <v>11</v>
      </c>
      <c r="C6" s="13" t="s">
        <v>10</v>
      </c>
      <c r="D6" s="156">
        <v>90</v>
      </c>
      <c r="E6" s="157">
        <v>238</v>
      </c>
      <c r="F6" s="153">
        <f t="shared" si="0"/>
        <v>0.37815126050420167</v>
      </c>
      <c r="G6" s="89">
        <f t="shared" si="1"/>
        <v>7.609131916029746E-2</v>
      </c>
      <c r="H6" s="92">
        <f t="shared" si="2"/>
        <v>3.804565958014873E-2</v>
      </c>
      <c r="I6" s="89">
        <f t="shared" si="3"/>
        <v>9.0090090090090086E-2</v>
      </c>
      <c r="J6" s="92">
        <f t="shared" si="4"/>
        <v>2.7027027027027025E-2</v>
      </c>
      <c r="K6" s="6">
        <v>216</v>
      </c>
      <c r="L6" s="6">
        <v>75</v>
      </c>
      <c r="M6" s="11">
        <f t="shared" si="5"/>
        <v>0.34722222222222221</v>
      </c>
      <c r="N6" s="15">
        <f t="shared" si="6"/>
        <v>8.9075630252100746E-2</v>
      </c>
      <c r="O6" s="11">
        <f t="shared" si="7"/>
        <v>8.9075630252100746E-2</v>
      </c>
      <c r="P6" s="90">
        <f t="shared" si="8"/>
        <v>9.3452212463473308E-2</v>
      </c>
      <c r="Q6" s="21">
        <f t="shared" si="9"/>
        <v>1.8690442492694661E-2</v>
      </c>
      <c r="R6" s="94">
        <f t="shared" si="10"/>
        <v>8.3763129099870423E-2</v>
      </c>
      <c r="S6" s="170">
        <f>+R6*'Resumen PFE 2019'!$J$19</f>
        <v>69984.580189090586</v>
      </c>
    </row>
    <row r="7" spans="1:19" x14ac:dyDescent="0.2">
      <c r="A7" s="6">
        <v>5</v>
      </c>
      <c r="B7" s="2" t="s">
        <v>13</v>
      </c>
      <c r="C7" s="13" t="s">
        <v>12</v>
      </c>
      <c r="D7" s="156">
        <v>27</v>
      </c>
      <c r="E7" s="157">
        <v>70</v>
      </c>
      <c r="F7" s="153">
        <f t="shared" si="0"/>
        <v>0.38571428571428573</v>
      </c>
      <c r="G7" s="89">
        <f t="shared" si="1"/>
        <v>7.7613145543503417E-2</v>
      </c>
      <c r="H7" s="92">
        <f t="shared" si="2"/>
        <v>3.8806572771751709E-2</v>
      </c>
      <c r="I7" s="89">
        <f t="shared" si="3"/>
        <v>2.7027027027027029E-2</v>
      </c>
      <c r="J7" s="92">
        <f t="shared" si="4"/>
        <v>8.1081081081081086E-3</v>
      </c>
      <c r="K7" s="6">
        <v>62</v>
      </c>
      <c r="L7" s="6">
        <v>25</v>
      </c>
      <c r="M7" s="11">
        <f t="shared" si="5"/>
        <v>0.40322580645161288</v>
      </c>
      <c r="N7" s="15">
        <f t="shared" si="6"/>
        <v>-4.3428571428571372E-2</v>
      </c>
      <c r="O7" s="11">
        <f t="shared" si="7"/>
        <v>0</v>
      </c>
      <c r="P7" s="90">
        <f t="shared" si="8"/>
        <v>0</v>
      </c>
      <c r="Q7" s="21">
        <f>+P7*$Q$1</f>
        <v>0</v>
      </c>
      <c r="R7" s="94">
        <f t="shared" si="10"/>
        <v>4.6914680879859817E-2</v>
      </c>
      <c r="S7" s="170">
        <f>+R7*'Resumen PFE 2019'!$J$19</f>
        <v>39197.487980272017</v>
      </c>
    </row>
    <row r="8" spans="1:19" x14ac:dyDescent="0.2">
      <c r="A8" s="6">
        <v>6</v>
      </c>
      <c r="B8" s="2" t="s">
        <v>15</v>
      </c>
      <c r="C8" s="13" t="s">
        <v>14</v>
      </c>
      <c r="D8" s="156">
        <v>31</v>
      </c>
      <c r="E8" s="157">
        <v>104</v>
      </c>
      <c r="F8" s="153">
        <f t="shared" si="0"/>
        <v>0.29807692307692307</v>
      </c>
      <c r="G8" s="89">
        <f t="shared" si="1"/>
        <v>5.997881973981567E-2</v>
      </c>
      <c r="H8" s="92">
        <f t="shared" si="2"/>
        <v>2.9989409869907835E-2</v>
      </c>
      <c r="I8" s="89">
        <f t="shared" si="3"/>
        <v>3.1031031031031032E-2</v>
      </c>
      <c r="J8" s="92">
        <f t="shared" si="4"/>
        <v>9.3093093093093091E-3</v>
      </c>
      <c r="K8" s="6">
        <v>89</v>
      </c>
      <c r="L8" s="6">
        <v>23</v>
      </c>
      <c r="M8" s="11">
        <f t="shared" si="5"/>
        <v>0.25842696629213485</v>
      </c>
      <c r="N8" s="15">
        <f t="shared" si="6"/>
        <v>0.15342809364548482</v>
      </c>
      <c r="O8" s="11">
        <f t="shared" si="7"/>
        <v>0.15342809364548482</v>
      </c>
      <c r="P8" s="90">
        <f t="shared" si="8"/>
        <v>0.16096652658694352</v>
      </c>
      <c r="Q8" s="21">
        <f t="shared" si="9"/>
        <v>3.2193305317388704E-2</v>
      </c>
      <c r="R8" s="94">
        <f t="shared" si="10"/>
        <v>7.1492024496605855E-2</v>
      </c>
      <c r="S8" s="170">
        <f>+R8*'Resumen PFE 2019'!$J$19</f>
        <v>59732.001120656329</v>
      </c>
    </row>
    <row r="9" spans="1:19" x14ac:dyDescent="0.2">
      <c r="A9" s="6">
        <v>7</v>
      </c>
      <c r="B9" s="2" t="s">
        <v>17</v>
      </c>
      <c r="C9" s="13" t="s">
        <v>16</v>
      </c>
      <c r="D9" s="156">
        <v>46</v>
      </c>
      <c r="E9" s="157">
        <v>105</v>
      </c>
      <c r="F9" s="153">
        <f t="shared" si="0"/>
        <v>0.43809523809523809</v>
      </c>
      <c r="G9" s="89">
        <f t="shared" si="1"/>
        <v>8.8153202345707574E-2</v>
      </c>
      <c r="H9" s="92">
        <f t="shared" si="2"/>
        <v>4.4076601172853787E-2</v>
      </c>
      <c r="I9" s="89">
        <f t="shared" si="3"/>
        <v>4.6046046046046049E-2</v>
      </c>
      <c r="J9" s="92">
        <f t="shared" si="4"/>
        <v>1.3813813813813814E-2</v>
      </c>
      <c r="K9" s="6">
        <v>110</v>
      </c>
      <c r="L9" s="6">
        <v>44</v>
      </c>
      <c r="M9" s="11">
        <f t="shared" si="5"/>
        <v>0.4</v>
      </c>
      <c r="N9" s="15">
        <f t="shared" si="6"/>
        <v>9.5238095238095122E-2</v>
      </c>
      <c r="O9" s="11">
        <f t="shared" si="7"/>
        <v>9.5238095238095122E-2</v>
      </c>
      <c r="P9" s="90">
        <f t="shared" si="8"/>
        <v>9.9917459866606662E-2</v>
      </c>
      <c r="Q9" s="21">
        <f t="shared" si="9"/>
        <v>1.9983491973321332E-2</v>
      </c>
      <c r="R9" s="94">
        <f t="shared" si="10"/>
        <v>7.7873906959988942E-2</v>
      </c>
      <c r="S9" s="170">
        <f>+R9*'Resumen PFE 2019'!$J$19</f>
        <v>65064.100933731184</v>
      </c>
    </row>
    <row r="10" spans="1:19" x14ac:dyDescent="0.2">
      <c r="A10" s="6">
        <v>8</v>
      </c>
      <c r="B10" s="2" t="s">
        <v>19</v>
      </c>
      <c r="C10" s="13" t="s">
        <v>18</v>
      </c>
      <c r="D10" s="156">
        <v>28</v>
      </c>
      <c r="E10" s="157">
        <v>105</v>
      </c>
      <c r="F10" s="153">
        <f t="shared" si="0"/>
        <v>0.26666666666666666</v>
      </c>
      <c r="G10" s="89">
        <f t="shared" si="1"/>
        <v>5.3658470993039394E-2</v>
      </c>
      <c r="H10" s="92">
        <f t="shared" si="2"/>
        <v>2.6829235496519697E-2</v>
      </c>
      <c r="I10" s="89">
        <f t="shared" si="3"/>
        <v>2.8028028028028028E-2</v>
      </c>
      <c r="J10" s="92">
        <f t="shared" si="4"/>
        <v>8.4084084084084087E-3</v>
      </c>
      <c r="K10" s="6">
        <v>111</v>
      </c>
      <c r="L10" s="6">
        <v>26</v>
      </c>
      <c r="M10" s="11">
        <f t="shared" si="5"/>
        <v>0.23423423423423423</v>
      </c>
      <c r="N10" s="15">
        <f t="shared" si="6"/>
        <v>0.13846153846153841</v>
      </c>
      <c r="O10" s="11">
        <f t="shared" si="7"/>
        <v>0.13846153846153841</v>
      </c>
      <c r="P10" s="90">
        <f t="shared" si="8"/>
        <v>0.14526461472914368</v>
      </c>
      <c r="Q10" s="21">
        <f t="shared" si="9"/>
        <v>2.9052922945828737E-2</v>
      </c>
      <c r="R10" s="94">
        <f t="shared" si="10"/>
        <v>6.4290566850756847E-2</v>
      </c>
      <c r="S10" s="170">
        <f>+R10*'Resumen PFE 2019'!$J$19</f>
        <v>53715.141489095127</v>
      </c>
    </row>
    <row r="11" spans="1:19" x14ac:dyDescent="0.2">
      <c r="A11" s="6">
        <v>9</v>
      </c>
      <c r="B11" s="2" t="s">
        <v>21</v>
      </c>
      <c r="C11" s="13" t="s">
        <v>20</v>
      </c>
      <c r="D11" s="156">
        <v>17</v>
      </c>
      <c r="E11" s="157">
        <v>50</v>
      </c>
      <c r="F11" s="153">
        <f t="shared" si="0"/>
        <v>0.34</v>
      </c>
      <c r="G11" s="89">
        <f t="shared" si="1"/>
        <v>6.841455051612523E-2</v>
      </c>
      <c r="H11" s="92">
        <f t="shared" si="2"/>
        <v>3.4207275258062615E-2</v>
      </c>
      <c r="I11" s="89">
        <f t="shared" si="3"/>
        <v>1.7017017017017019E-2</v>
      </c>
      <c r="J11" s="92">
        <f t="shared" si="4"/>
        <v>5.1051051051051056E-3</v>
      </c>
      <c r="K11" s="6">
        <v>47</v>
      </c>
      <c r="L11" s="6">
        <v>16</v>
      </c>
      <c r="M11" s="11">
        <f t="shared" si="5"/>
        <v>0.34042553191489361</v>
      </c>
      <c r="N11" s="15">
        <f t="shared" si="6"/>
        <v>-1.2499999999998623E-3</v>
      </c>
      <c r="O11" s="11">
        <f t="shared" si="7"/>
        <v>0</v>
      </c>
      <c r="P11" s="90">
        <f t="shared" si="8"/>
        <v>0</v>
      </c>
      <c r="Q11" s="21">
        <f t="shared" si="9"/>
        <v>0</v>
      </c>
      <c r="R11" s="94">
        <f t="shared" si="10"/>
        <v>3.9312380363167719E-2</v>
      </c>
      <c r="S11" s="170">
        <f>+R11*'Resumen PFE 2019'!$J$19</f>
        <v>32845.721805232766</v>
      </c>
    </row>
    <row r="12" spans="1:19" x14ac:dyDescent="0.2">
      <c r="A12" s="6">
        <v>10</v>
      </c>
      <c r="B12" s="2" t="s">
        <v>23</v>
      </c>
      <c r="C12" s="13" t="s">
        <v>22</v>
      </c>
      <c r="D12" s="156">
        <v>42</v>
      </c>
      <c r="E12" s="157">
        <v>147</v>
      </c>
      <c r="F12" s="153">
        <f t="shared" si="0"/>
        <v>0.2857142857142857</v>
      </c>
      <c r="G12" s="89">
        <f t="shared" si="1"/>
        <v>5.7491218921113633E-2</v>
      </c>
      <c r="H12" s="92">
        <f t="shared" si="2"/>
        <v>2.8745609460556817E-2</v>
      </c>
      <c r="I12" s="89">
        <f t="shared" si="3"/>
        <v>4.2042042042042045E-2</v>
      </c>
      <c r="J12" s="92">
        <f t="shared" si="4"/>
        <v>1.2612612612612614E-2</v>
      </c>
      <c r="K12" s="6">
        <v>135</v>
      </c>
      <c r="L12" s="6">
        <v>35</v>
      </c>
      <c r="M12" s="11">
        <f t="shared" si="5"/>
        <v>0.25925925925925924</v>
      </c>
      <c r="N12" s="15">
        <f t="shared" si="6"/>
        <v>0.1020408163265305</v>
      </c>
      <c r="O12" s="11">
        <f t="shared" si="7"/>
        <v>0.1020408163265305</v>
      </c>
      <c r="P12" s="90">
        <f t="shared" si="8"/>
        <v>0.10705442128565001</v>
      </c>
      <c r="Q12" s="21">
        <f t="shared" si="9"/>
        <v>2.1410884257130003E-2</v>
      </c>
      <c r="R12" s="94">
        <f t="shared" si="10"/>
        <v>6.2769106330299432E-2</v>
      </c>
      <c r="S12" s="170">
        <f>+R12*'Resumen PFE 2019'!$J$19</f>
        <v>52443.952399781934</v>
      </c>
    </row>
    <row r="13" spans="1:19" x14ac:dyDescent="0.2">
      <c r="A13" s="6">
        <v>11</v>
      </c>
      <c r="B13" s="2" t="s">
        <v>25</v>
      </c>
      <c r="C13" s="13" t="s">
        <v>24</v>
      </c>
      <c r="D13" s="156">
        <v>112</v>
      </c>
      <c r="E13" s="157">
        <v>426</v>
      </c>
      <c r="F13" s="153">
        <f t="shared" si="0"/>
        <v>0.26291079812206575</v>
      </c>
      <c r="G13" s="89">
        <f t="shared" si="1"/>
        <v>5.2902717880461379E-2</v>
      </c>
      <c r="H13" s="92">
        <f t="shared" si="2"/>
        <v>2.645135894023069E-2</v>
      </c>
      <c r="I13" s="89">
        <f t="shared" si="3"/>
        <v>0.11211211211211211</v>
      </c>
      <c r="J13" s="92">
        <f t="shared" si="4"/>
        <v>3.3633633633633635E-2</v>
      </c>
      <c r="K13" s="6">
        <v>405</v>
      </c>
      <c r="L13" s="6">
        <v>106</v>
      </c>
      <c r="M13" s="11">
        <f t="shared" si="5"/>
        <v>0.2617283950617284</v>
      </c>
      <c r="N13" s="15">
        <f t="shared" si="6"/>
        <v>4.5176720701567419E-3</v>
      </c>
      <c r="O13" s="11">
        <f t="shared" si="7"/>
        <v>4.5176720701567419E-3</v>
      </c>
      <c r="P13" s="90">
        <f t="shared" si="8"/>
        <v>4.7396403364839551E-3</v>
      </c>
      <c r="Q13" s="21">
        <f t="shared" si="9"/>
        <v>9.4792806729679109E-4</v>
      </c>
      <c r="R13" s="94">
        <f t="shared" si="10"/>
        <v>6.1032920641161115E-2</v>
      </c>
      <c r="S13" s="170">
        <f>+R13*'Resumen PFE 2019'!$J$19</f>
        <v>50993.359186629874</v>
      </c>
    </row>
    <row r="14" spans="1:19" x14ac:dyDescent="0.2">
      <c r="A14" s="6">
        <v>12</v>
      </c>
      <c r="B14" s="2" t="s">
        <v>27</v>
      </c>
      <c r="C14" s="13" t="s">
        <v>26</v>
      </c>
      <c r="D14" s="156">
        <v>68</v>
      </c>
      <c r="E14" s="157">
        <v>192</v>
      </c>
      <c r="F14" s="153">
        <f t="shared" si="0"/>
        <v>0.35416666666666669</v>
      </c>
      <c r="G14" s="89">
        <f t="shared" si="1"/>
        <v>7.1265156787630457E-2</v>
      </c>
      <c r="H14" s="92">
        <f t="shared" si="2"/>
        <v>3.5632578393815229E-2</v>
      </c>
      <c r="I14" s="89">
        <f t="shared" si="3"/>
        <v>6.8068068068068074E-2</v>
      </c>
      <c r="J14" s="92">
        <f t="shared" si="4"/>
        <v>2.0420420420420422E-2</v>
      </c>
      <c r="K14" s="6">
        <v>185</v>
      </c>
      <c r="L14" s="6">
        <v>65</v>
      </c>
      <c r="M14" s="11">
        <f t="shared" si="5"/>
        <v>0.35135135135135137</v>
      </c>
      <c r="N14" s="15">
        <f t="shared" si="6"/>
        <v>8.0128205128204844E-3</v>
      </c>
      <c r="O14" s="11">
        <f t="shared" si="7"/>
        <v>8.0128205128204844E-3</v>
      </c>
      <c r="P14" s="90">
        <f t="shared" si="8"/>
        <v>8.4065170560846756E-3</v>
      </c>
      <c r="Q14" s="21">
        <f t="shared" si="9"/>
        <v>1.6813034112169352E-3</v>
      </c>
      <c r="R14" s="94">
        <f t="shared" si="10"/>
        <v>5.7734302225452588E-2</v>
      </c>
      <c r="S14" s="170">
        <f>+R14*'Resumen PFE 2019'!$J$19</f>
        <v>48237.344368318591</v>
      </c>
    </row>
    <row r="15" spans="1:19" x14ac:dyDescent="0.2">
      <c r="A15" s="6">
        <v>13</v>
      </c>
      <c r="B15" s="2" t="s">
        <v>29</v>
      </c>
      <c r="C15" s="13" t="s">
        <v>28</v>
      </c>
      <c r="D15" s="156">
        <v>46</v>
      </c>
      <c r="E15" s="157">
        <v>243</v>
      </c>
      <c r="F15" s="153">
        <f t="shared" si="0"/>
        <v>0.18930041152263374</v>
      </c>
      <c r="G15" s="89">
        <f t="shared" si="1"/>
        <v>3.8090889902466236E-2</v>
      </c>
      <c r="H15" s="92">
        <f t="shared" si="2"/>
        <v>1.9045444951233118E-2</v>
      </c>
      <c r="I15" s="89">
        <f t="shared" si="3"/>
        <v>4.6046046046046049E-2</v>
      </c>
      <c r="J15" s="92">
        <f t="shared" si="4"/>
        <v>1.3813813813813814E-2</v>
      </c>
      <c r="K15" s="6">
        <v>213</v>
      </c>
      <c r="L15" s="6">
        <v>34</v>
      </c>
      <c r="M15" s="11">
        <f t="shared" si="5"/>
        <v>0.15962441314553991</v>
      </c>
      <c r="N15" s="15">
        <f t="shared" si="6"/>
        <v>0.18591140159767616</v>
      </c>
      <c r="O15" s="11">
        <f t="shared" si="7"/>
        <v>0.18591140159767616</v>
      </c>
      <c r="P15" s="90">
        <f t="shared" si="8"/>
        <v>0.19504584758274446</v>
      </c>
      <c r="Q15" s="21">
        <f t="shared" si="9"/>
        <v>3.9009169516548897E-2</v>
      </c>
      <c r="R15" s="94">
        <f t="shared" si="10"/>
        <v>7.1868428281595828E-2</v>
      </c>
      <c r="S15" s="170">
        <f>+R15*'Resumen PFE 2019'!$J$19</f>
        <v>60046.488666157398</v>
      </c>
    </row>
    <row r="16" spans="1:19" x14ac:dyDescent="0.2">
      <c r="A16" s="6">
        <v>14</v>
      </c>
      <c r="B16" s="2" t="s">
        <v>31</v>
      </c>
      <c r="C16" s="13" t="s">
        <v>30</v>
      </c>
      <c r="D16" s="156">
        <v>29</v>
      </c>
      <c r="E16" s="157">
        <v>128</v>
      </c>
      <c r="F16" s="153">
        <f t="shared" si="0"/>
        <v>0.2265625</v>
      </c>
      <c r="G16" s="89">
        <f t="shared" si="1"/>
        <v>4.5588740003851831E-2</v>
      </c>
      <c r="H16" s="92">
        <f t="shared" si="2"/>
        <v>2.2794370001925916E-2</v>
      </c>
      <c r="I16" s="89">
        <f t="shared" si="3"/>
        <v>2.9029029029029031E-2</v>
      </c>
      <c r="J16" s="92">
        <f t="shared" si="4"/>
        <v>8.7087087087087088E-3</v>
      </c>
      <c r="K16" s="6">
        <v>124</v>
      </c>
      <c r="L16" s="6">
        <v>29</v>
      </c>
      <c r="M16" s="11">
        <f t="shared" si="5"/>
        <v>0.23387096774193547</v>
      </c>
      <c r="N16" s="15">
        <f t="shared" si="6"/>
        <v>-3.1249999999999889E-2</v>
      </c>
      <c r="O16" s="11">
        <f t="shared" si="7"/>
        <v>0</v>
      </c>
      <c r="P16" s="90">
        <f t="shared" si="8"/>
        <v>0</v>
      </c>
      <c r="Q16" s="21">
        <f t="shared" si="9"/>
        <v>0</v>
      </c>
      <c r="R16" s="94">
        <f t="shared" si="10"/>
        <v>3.1503078710634624E-2</v>
      </c>
      <c r="S16" s="170">
        <f>+R16*'Resumen PFE 2019'!$J$19</f>
        <v>26321.004980591773</v>
      </c>
    </row>
    <row r="17" spans="1:19" x14ac:dyDescent="0.2">
      <c r="A17" s="6">
        <v>15</v>
      </c>
      <c r="B17" s="2" t="s">
        <v>33</v>
      </c>
      <c r="C17" s="13" t="s">
        <v>32</v>
      </c>
      <c r="D17" s="156">
        <v>51</v>
      </c>
      <c r="E17" s="157">
        <v>241</v>
      </c>
      <c r="F17" s="153">
        <f t="shared" si="0"/>
        <v>0.21161825726141079</v>
      </c>
      <c r="G17" s="89">
        <f t="shared" si="1"/>
        <v>4.2581670445721094E-2</v>
      </c>
      <c r="H17" s="92">
        <f t="shared" si="2"/>
        <v>2.1290835222860547E-2</v>
      </c>
      <c r="I17" s="89">
        <f t="shared" si="3"/>
        <v>5.1051051051051052E-2</v>
      </c>
      <c r="J17" s="92">
        <f t="shared" si="4"/>
        <v>1.5315315315315315E-2</v>
      </c>
      <c r="K17" s="6">
        <v>217</v>
      </c>
      <c r="L17" s="6">
        <v>51</v>
      </c>
      <c r="M17" s="11">
        <f t="shared" si="5"/>
        <v>0.23502304147465439</v>
      </c>
      <c r="N17" s="15">
        <f t="shared" si="6"/>
        <v>-9.9585062240663991E-2</v>
      </c>
      <c r="O17" s="11">
        <f t="shared" si="7"/>
        <v>0</v>
      </c>
      <c r="P17" s="90">
        <f t="shared" si="8"/>
        <v>0</v>
      </c>
      <c r="Q17" s="21">
        <f t="shared" si="9"/>
        <v>0</v>
      </c>
      <c r="R17" s="94">
        <f t="shared" si="10"/>
        <v>3.6606150538175862E-2</v>
      </c>
      <c r="S17" s="170">
        <f>+R17*'Resumen PFE 2019'!$J$19</f>
        <v>30584.651090319083</v>
      </c>
    </row>
    <row r="18" spans="1:19" x14ac:dyDescent="0.2">
      <c r="A18" s="6">
        <v>16</v>
      </c>
      <c r="B18" s="2" t="s">
        <v>35</v>
      </c>
      <c r="C18" s="13" t="s">
        <v>34</v>
      </c>
      <c r="D18" s="156">
        <v>31</v>
      </c>
      <c r="E18" s="157">
        <v>67</v>
      </c>
      <c r="F18" s="153">
        <f t="shared" si="0"/>
        <v>0.46268656716417911</v>
      </c>
      <c r="G18" s="89">
        <f t="shared" si="1"/>
        <v>9.3101451536430291E-2</v>
      </c>
      <c r="H18" s="92">
        <f t="shared" si="2"/>
        <v>4.6550725768215145E-2</v>
      </c>
      <c r="I18" s="89">
        <f t="shared" si="3"/>
        <v>3.1031031031031032E-2</v>
      </c>
      <c r="J18" s="92">
        <f t="shared" si="4"/>
        <v>9.3093093093093091E-3</v>
      </c>
      <c r="K18" s="6">
        <v>60</v>
      </c>
      <c r="L18" s="6">
        <v>30</v>
      </c>
      <c r="M18" s="11">
        <f t="shared" si="5"/>
        <v>0.5</v>
      </c>
      <c r="N18" s="15">
        <f>F18/M18-1</f>
        <v>-7.4626865671641784E-2</v>
      </c>
      <c r="O18" s="11">
        <f t="shared" si="7"/>
        <v>0</v>
      </c>
      <c r="P18" s="90">
        <f t="shared" si="8"/>
        <v>0</v>
      </c>
      <c r="Q18" s="21">
        <f t="shared" si="9"/>
        <v>0</v>
      </c>
      <c r="R18" s="94">
        <f>H18+J18+Q18</f>
        <v>5.5860035077524454E-2</v>
      </c>
      <c r="S18" s="170">
        <f>+R18*'Resumen PFE 2019'!$J$19</f>
        <v>46671.383295475171</v>
      </c>
    </row>
    <row r="19" spans="1:19" x14ac:dyDescent="0.2">
      <c r="A19" s="61"/>
      <c r="B19" s="61"/>
      <c r="C19" s="151"/>
      <c r="D19" s="156">
        <f t="shared" ref="D19:L19" si="11">SUM(D3:D18)</f>
        <v>999</v>
      </c>
      <c r="E19" s="157">
        <f t="shared" si="11"/>
        <v>3340</v>
      </c>
      <c r="F19" s="153">
        <f t="shared" si="11"/>
        <v>4.9697030446741355</v>
      </c>
      <c r="G19" s="89">
        <f t="shared" si="11"/>
        <v>1</v>
      </c>
      <c r="H19" s="92">
        <f>SUM(H3:H18)</f>
        <v>0.5</v>
      </c>
      <c r="I19" s="89">
        <f t="shared" si="11"/>
        <v>1</v>
      </c>
      <c r="J19" s="92">
        <f>SUM(J3:J18)</f>
        <v>0.3</v>
      </c>
      <c r="K19" s="6">
        <f t="shared" si="11"/>
        <v>3132</v>
      </c>
      <c r="L19" s="6">
        <f t="shared" si="11"/>
        <v>907</v>
      </c>
      <c r="M19" s="11">
        <f t="shared" ref="M19:R19" si="12">SUM(M3:M18)</f>
        <v>4.8099383532990281</v>
      </c>
      <c r="N19" s="11">
        <f t="shared" si="12"/>
        <v>0.70302719892968901</v>
      </c>
      <c r="O19" s="11">
        <f t="shared" si="12"/>
        <v>0.95316769827056591</v>
      </c>
      <c r="P19" s="89">
        <f t="shared" si="12"/>
        <v>1</v>
      </c>
      <c r="Q19" s="91">
        <f>SUM(Q3:Q18)</f>
        <v>0.2</v>
      </c>
      <c r="R19" s="94">
        <f t="shared" si="12"/>
        <v>1</v>
      </c>
      <c r="S19" s="170">
        <f>+R19*'Resumen PFE 2019'!$J$19</f>
        <v>835505.80000000075</v>
      </c>
    </row>
    <row r="20" spans="1:19" x14ac:dyDescent="0.2">
      <c r="D20" s="104"/>
      <c r="E20" s="106"/>
    </row>
    <row r="21" spans="1:19" x14ac:dyDescent="0.2">
      <c r="C21" s="62">
        <v>1</v>
      </c>
      <c r="D21" s="158">
        <v>2</v>
      </c>
      <c r="E21" s="159">
        <v>3</v>
      </c>
      <c r="F21" s="95">
        <v>4</v>
      </c>
      <c r="G21" s="62">
        <v>5</v>
      </c>
      <c r="H21" s="95">
        <v>6</v>
      </c>
      <c r="I21" s="62">
        <v>7</v>
      </c>
      <c r="J21" s="95">
        <v>8</v>
      </c>
      <c r="K21" s="62">
        <v>9</v>
      </c>
      <c r="L21" s="95">
        <v>10</v>
      </c>
      <c r="M21" s="62">
        <v>11</v>
      </c>
      <c r="N21" s="95">
        <v>12</v>
      </c>
      <c r="O21" s="62">
        <v>13</v>
      </c>
      <c r="P21" s="95">
        <v>14</v>
      </c>
      <c r="Q21" s="62">
        <v>15</v>
      </c>
      <c r="R21" s="95">
        <v>16</v>
      </c>
    </row>
    <row r="22" spans="1:19" x14ac:dyDescent="0.2">
      <c r="D22" s="104"/>
      <c r="E22" s="106"/>
    </row>
    <row r="23" spans="1:19" x14ac:dyDescent="0.2">
      <c r="D23" s="160" t="s">
        <v>168</v>
      </c>
      <c r="E23" s="109" t="s">
        <v>161</v>
      </c>
      <c r="F23" t="s">
        <v>162</v>
      </c>
      <c r="G23" t="s">
        <v>166</v>
      </c>
      <c r="H23" t="s">
        <v>167</v>
      </c>
      <c r="I23" t="s">
        <v>194</v>
      </c>
      <c r="J23" t="s">
        <v>195</v>
      </c>
      <c r="K23" t="s">
        <v>196</v>
      </c>
      <c r="L23" s="162" t="s">
        <v>197</v>
      </c>
      <c r="M23" s="162" t="s">
        <v>198</v>
      </c>
      <c r="N23" s="162" t="s">
        <v>199</v>
      </c>
      <c r="O23" s="162" t="s">
        <v>200</v>
      </c>
      <c r="P23" s="162" t="s">
        <v>202</v>
      </c>
      <c r="Q23" s="162" t="s">
        <v>203</v>
      </c>
      <c r="R23" s="162" t="s">
        <v>204</v>
      </c>
    </row>
    <row r="25" spans="1:19" x14ac:dyDescent="0.2">
      <c r="F25" t="s">
        <v>165</v>
      </c>
      <c r="O25" t="s">
        <v>201</v>
      </c>
    </row>
    <row r="26" spans="1:19" x14ac:dyDescent="0.2">
      <c r="D26" t="s">
        <v>183</v>
      </c>
    </row>
    <row r="27" spans="1:19" x14ac:dyDescent="0.2">
      <c r="D27" s="171" t="s">
        <v>184</v>
      </c>
    </row>
  </sheetData>
  <mergeCells count="1">
    <mergeCell ref="R1:R2"/>
  </mergeCells>
  <pageMargins left="0.70866141732283472" right="0.70866141732283472" top="0.74803149606299213" bottom="0.74803149606299213" header="0.31496062992125984" footer="0.31496062992125984"/>
  <pageSetup paperSize="14" scale="63" orientation="landscape" verticalDpi="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PFE 2019</vt:lpstr>
      <vt:lpstr>1) Zonas Extremas</vt:lpstr>
      <vt:lpstr>3) Compensación</vt:lpstr>
      <vt:lpstr>4) Investigación Avanzada</vt:lpstr>
      <vt:lpstr>5) Efectividad Académica</vt:lpstr>
      <vt:lpstr>6) Género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Usuario de Microsoft Office</cp:lastModifiedBy>
  <cp:lastPrinted>2019-10-09T20:12:56Z</cp:lastPrinted>
  <dcterms:created xsi:type="dcterms:W3CDTF">2019-05-13T16:14:52Z</dcterms:created>
  <dcterms:modified xsi:type="dcterms:W3CDTF">2019-11-08T19:35:41Z</dcterms:modified>
</cp:coreProperties>
</file>