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/>
  <mc:AlternateContent xmlns:mc="http://schemas.openxmlformats.org/markup-compatibility/2006">
    <mc:Choice Requires="x15">
      <x15ac:absPath xmlns:x15ac="http://schemas.microsoft.com/office/spreadsheetml/2010/11/ac" url="/Users/carlos.gatica/Documents/DFI/2018/Instrumentos/PFUES/"/>
    </mc:Choice>
  </mc:AlternateContent>
  <bookViews>
    <workbookView xWindow="0" yWindow="460" windowWidth="34960" windowHeight="17940"/>
  </bookViews>
  <sheets>
    <sheet name="PFE2018 Distribución" sheetId="6" r:id="rId1"/>
    <sheet name="PPTO" sheetId="1" r:id="rId2"/>
    <sheet name="1 AFD" sheetId="3" r:id="rId3"/>
    <sheet name="2 Gratuidad" sheetId="4" r:id="rId4"/>
    <sheet name="3 Investigación" sheetId="5" r:id="rId5"/>
  </sheet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F10" i="3"/>
  <c r="B10" i="5"/>
  <c r="B11" i="6"/>
  <c r="B10" i="4"/>
  <c r="D24" i="4"/>
  <c r="F14" i="3"/>
  <c r="B14" i="5"/>
  <c r="B15" i="6"/>
  <c r="B14" i="4"/>
  <c r="F18" i="3"/>
  <c r="B18" i="5"/>
  <c r="B19" i="6"/>
  <c r="B18" i="4"/>
  <c r="F22" i="3"/>
  <c r="B22" i="5"/>
  <c r="B23" i="6"/>
  <c r="B22" i="4"/>
  <c r="F11" i="3"/>
  <c r="B11" i="5"/>
  <c r="R11" i="5"/>
  <c r="B12" i="6"/>
  <c r="B11" i="4"/>
  <c r="G11" i="4"/>
  <c r="F15" i="3"/>
  <c r="B15" i="5"/>
  <c r="R15" i="5"/>
  <c r="B16" i="6"/>
  <c r="B15" i="4"/>
  <c r="F19" i="3"/>
  <c r="B19" i="5"/>
  <c r="R19" i="5"/>
  <c r="B20" i="6"/>
  <c r="B19" i="4"/>
  <c r="F23" i="3"/>
  <c r="B23" i="5"/>
  <c r="R23" i="5"/>
  <c r="B24" i="6"/>
  <c r="B23" i="4"/>
  <c r="F8" i="3"/>
  <c r="B9" i="6"/>
  <c r="B8" i="4"/>
  <c r="B8" i="5"/>
  <c r="R8" i="5"/>
  <c r="F12" i="3"/>
  <c r="B13" i="6"/>
  <c r="B12" i="4"/>
  <c r="B12" i="5"/>
  <c r="R12" i="5"/>
  <c r="F16" i="3"/>
  <c r="B17" i="6"/>
  <c r="B16" i="4"/>
  <c r="B16" i="5"/>
  <c r="R16" i="5"/>
  <c r="F20" i="3"/>
  <c r="B21" i="6"/>
  <c r="M21" i="6"/>
  <c r="B20" i="4"/>
  <c r="J20" i="4"/>
  <c r="B20" i="5"/>
  <c r="N20" i="5"/>
  <c r="F24" i="3"/>
  <c r="B25" i="6"/>
  <c r="B24" i="4"/>
  <c r="G24" i="4"/>
  <c r="B24" i="5"/>
  <c r="N24" i="5"/>
  <c r="F9" i="3"/>
  <c r="B10" i="6"/>
  <c r="B9" i="4"/>
  <c r="D9" i="4"/>
  <c r="B9" i="5"/>
  <c r="R9" i="5"/>
  <c r="F13" i="3"/>
  <c r="B14" i="6"/>
  <c r="B13" i="4"/>
  <c r="B13" i="5"/>
  <c r="R13" i="5"/>
  <c r="F17" i="3"/>
  <c r="B18" i="6"/>
  <c r="B17" i="4"/>
  <c r="B17" i="5"/>
  <c r="R17" i="5"/>
  <c r="F21" i="3"/>
  <c r="B22" i="6"/>
  <c r="M22" i="6"/>
  <c r="B21" i="4"/>
  <c r="J21" i="4"/>
  <c r="F22" i="6"/>
  <c r="B21" i="5"/>
  <c r="R21" i="5"/>
  <c r="F25" i="3"/>
  <c r="B26" i="6"/>
  <c r="B25" i="4"/>
  <c r="B25" i="5"/>
  <c r="R25" i="5"/>
  <c r="I25" i="5"/>
  <c r="H25" i="5"/>
  <c r="J25" i="5"/>
  <c r="I24" i="5"/>
  <c r="H24" i="5"/>
  <c r="J24" i="5"/>
  <c r="I23" i="5"/>
  <c r="H23" i="5"/>
  <c r="R22" i="5"/>
  <c r="I22" i="5"/>
  <c r="H22" i="5"/>
  <c r="I21" i="5"/>
  <c r="H21" i="5"/>
  <c r="I20" i="5"/>
  <c r="H20" i="5"/>
  <c r="I19" i="5"/>
  <c r="H19" i="5"/>
  <c r="R18" i="5"/>
  <c r="I18" i="5"/>
  <c r="H18" i="5"/>
  <c r="I17" i="5"/>
  <c r="H17" i="5"/>
  <c r="I16" i="5"/>
  <c r="H16" i="5"/>
  <c r="I15" i="5"/>
  <c r="H15" i="5"/>
  <c r="R14" i="5"/>
  <c r="I14" i="5"/>
  <c r="H14" i="5"/>
  <c r="I13" i="5"/>
  <c r="H13" i="5"/>
  <c r="I12" i="5"/>
  <c r="H12" i="5"/>
  <c r="I11" i="5"/>
  <c r="H11" i="5"/>
  <c r="R10" i="5"/>
  <c r="I10" i="5"/>
  <c r="H10" i="5"/>
  <c r="I9" i="5"/>
  <c r="H9" i="5"/>
  <c r="I8" i="5"/>
  <c r="H8" i="5"/>
  <c r="D22" i="4"/>
  <c r="F21" i="6"/>
  <c r="G13" i="4"/>
  <c r="D13" i="4"/>
  <c r="G9" i="4"/>
  <c r="D19" i="4"/>
  <c r="D17" i="4"/>
  <c r="G17" i="4"/>
  <c r="D15" i="4"/>
  <c r="R24" i="5"/>
  <c r="R20" i="5"/>
  <c r="D11" i="4"/>
  <c r="D21" i="4"/>
  <c r="N8" i="5"/>
  <c r="D20" i="5"/>
  <c r="N16" i="5"/>
  <c r="N12" i="5"/>
  <c r="D8" i="5"/>
  <c r="D12" i="5"/>
  <c r="D16" i="5"/>
  <c r="D24" i="5"/>
  <c r="N9" i="5"/>
  <c r="N13" i="5"/>
  <c r="N17" i="5"/>
  <c r="S21" i="5"/>
  <c r="N25" i="5"/>
  <c r="N10" i="5"/>
  <c r="D13" i="5"/>
  <c r="D17" i="5"/>
  <c r="D22" i="5"/>
  <c r="G15" i="4"/>
  <c r="G19" i="4"/>
  <c r="G22" i="4"/>
  <c r="D9" i="5"/>
  <c r="N14" i="5"/>
  <c r="N18" i="5"/>
  <c r="S20" i="5"/>
  <c r="U21" i="5"/>
  <c r="K22" i="6"/>
  <c r="N22" i="5"/>
  <c r="D25" i="5"/>
  <c r="D8" i="4"/>
  <c r="D10" i="4"/>
  <c r="D12" i="4"/>
  <c r="D14" i="4"/>
  <c r="D16" i="4"/>
  <c r="D18" i="4"/>
  <c r="D20" i="4"/>
  <c r="G21" i="4"/>
  <c r="D23" i="4"/>
  <c r="D25" i="4"/>
  <c r="D10" i="5"/>
  <c r="N11" i="5"/>
  <c r="D14" i="5"/>
  <c r="N15" i="5"/>
  <c r="D18" i="5"/>
  <c r="N19" i="5"/>
  <c r="U20" i="5"/>
  <c r="K21" i="6"/>
  <c r="N21" i="5"/>
  <c r="N23" i="5"/>
  <c r="G8" i="4"/>
  <c r="G10" i="4"/>
  <c r="G12" i="4"/>
  <c r="G14" i="4"/>
  <c r="G16" i="4"/>
  <c r="G18" i="4"/>
  <c r="G20" i="4"/>
  <c r="G23" i="4"/>
  <c r="G25" i="4"/>
  <c r="D11" i="5"/>
  <c r="J14" i="5"/>
  <c r="D15" i="5"/>
  <c r="J18" i="5"/>
  <c r="D19" i="5"/>
  <c r="D21" i="5"/>
  <c r="D23" i="5"/>
  <c r="J10" i="5"/>
  <c r="S15" i="5"/>
  <c r="J17" i="5"/>
  <c r="J13" i="5"/>
  <c r="J8" i="5"/>
  <c r="J23" i="5"/>
  <c r="S19" i="5"/>
  <c r="J16" i="5"/>
  <c r="J19" i="5"/>
  <c r="J21" i="5"/>
  <c r="J9" i="5"/>
  <c r="J11" i="5"/>
  <c r="J12" i="5"/>
  <c r="J15" i="5"/>
  <c r="J20" i="5"/>
  <c r="J22" i="5"/>
  <c r="S16" i="5"/>
  <c r="S11" i="5"/>
  <c r="G10" i="3"/>
  <c r="S10" i="5"/>
  <c r="S14" i="5"/>
  <c r="S18" i="5"/>
  <c r="S22" i="5"/>
  <c r="S24" i="5"/>
  <c r="S9" i="5"/>
  <c r="S13" i="5"/>
  <c r="S17" i="5"/>
  <c r="S23" i="5"/>
  <c r="S25" i="5"/>
  <c r="S8" i="5"/>
  <c r="S12" i="5"/>
  <c r="G9" i="3"/>
  <c r="G14" i="3"/>
  <c r="G18" i="3"/>
  <c r="G13" i="3"/>
  <c r="G15" i="3"/>
  <c r="G16" i="3"/>
  <c r="G19" i="3"/>
  <c r="G20" i="3"/>
  <c r="G25" i="3"/>
  <c r="G24" i="3"/>
  <c r="G23" i="3"/>
  <c r="G22" i="3"/>
  <c r="G21" i="3"/>
  <c r="G8" i="3"/>
  <c r="G12" i="3"/>
  <c r="G11" i="3"/>
  <c r="G17" i="3"/>
  <c r="I7" i="1"/>
  <c r="G26" i="4"/>
  <c r="H13" i="4"/>
  <c r="I9" i="1"/>
  <c r="I16" i="1"/>
  <c r="I11" i="1"/>
  <c r="J26" i="5"/>
  <c r="K25" i="5"/>
  <c r="K15" i="5"/>
  <c r="G26" i="3"/>
  <c r="H16" i="4"/>
  <c r="H23" i="4"/>
  <c r="H18" i="4"/>
  <c r="H12" i="4"/>
  <c r="H8" i="4"/>
  <c r="H15" i="4"/>
  <c r="H25" i="4"/>
  <c r="H19" i="4"/>
  <c r="H11" i="4"/>
  <c r="H24" i="4"/>
  <c r="H14" i="4"/>
  <c r="H10" i="4"/>
  <c r="H22" i="4"/>
  <c r="H17" i="4"/>
  <c r="H21" i="4"/>
  <c r="H20" i="4"/>
  <c r="K12" i="5"/>
  <c r="H9" i="4"/>
  <c r="K16" i="5"/>
  <c r="K9" i="5"/>
  <c r="K23" i="5"/>
  <c r="K8" i="5"/>
  <c r="K18" i="5"/>
  <c r="K13" i="5"/>
  <c r="K22" i="5"/>
  <c r="K24" i="5"/>
  <c r="K21" i="5"/>
  <c r="K20" i="5"/>
  <c r="K14" i="5"/>
  <c r="K19" i="5"/>
  <c r="K17" i="5"/>
  <c r="K10" i="5"/>
  <c r="K11" i="5"/>
  <c r="H10" i="3"/>
  <c r="H21" i="3"/>
  <c r="H20" i="3"/>
  <c r="H25" i="3"/>
  <c r="H13" i="3"/>
  <c r="H19" i="3"/>
  <c r="H16" i="3"/>
  <c r="H23" i="3"/>
  <c r="H15" i="3"/>
  <c r="H24" i="3"/>
  <c r="H17" i="3"/>
  <c r="H22" i="3"/>
  <c r="H12" i="3"/>
  <c r="H9" i="3"/>
  <c r="H8" i="3"/>
  <c r="H14" i="3"/>
  <c r="H18" i="3"/>
  <c r="H11" i="3"/>
  <c r="I17" i="4"/>
  <c r="I19" i="4"/>
  <c r="I23" i="4"/>
  <c r="I8" i="4"/>
  <c r="I22" i="3"/>
  <c r="C23" i="6"/>
  <c r="I18" i="3"/>
  <c r="C19" i="6"/>
  <c r="I14" i="3"/>
  <c r="C15" i="6"/>
  <c r="I10" i="3"/>
  <c r="C11" i="6"/>
  <c r="I21" i="3"/>
  <c r="C22" i="6"/>
  <c r="I13" i="3"/>
  <c r="C14" i="6"/>
  <c r="I23" i="3"/>
  <c r="C24" i="6"/>
  <c r="I25" i="3"/>
  <c r="C26" i="6"/>
  <c r="I17" i="3"/>
  <c r="C18" i="6"/>
  <c r="I9" i="3"/>
  <c r="C10" i="6"/>
  <c r="I19" i="3"/>
  <c r="C20" i="6"/>
  <c r="I11" i="3"/>
  <c r="C12" i="6"/>
  <c r="I24" i="3"/>
  <c r="C25" i="6"/>
  <c r="I20" i="3"/>
  <c r="C21" i="6"/>
  <c r="I16" i="3"/>
  <c r="C17" i="6"/>
  <c r="I12" i="3"/>
  <c r="C13" i="6"/>
  <c r="I8" i="3"/>
  <c r="C9" i="6"/>
  <c r="I15" i="3"/>
  <c r="C16" i="6"/>
  <c r="I21" i="1"/>
  <c r="I20" i="1"/>
  <c r="I19" i="1"/>
  <c r="L13" i="5"/>
  <c r="H14" i="6"/>
  <c r="I18" i="1"/>
  <c r="I13" i="1"/>
  <c r="I14" i="1"/>
  <c r="I13" i="4"/>
  <c r="I11" i="4"/>
  <c r="I15" i="4"/>
  <c r="I14" i="4"/>
  <c r="E15" i="6"/>
  <c r="I9" i="4"/>
  <c r="E10" i="6"/>
  <c r="E11" i="4"/>
  <c r="J11" i="4"/>
  <c r="E24" i="4"/>
  <c r="E15" i="4"/>
  <c r="J15" i="4"/>
  <c r="E9" i="4"/>
  <c r="J9" i="4"/>
  <c r="E19" i="4"/>
  <c r="J19" i="4"/>
  <c r="E13" i="4"/>
  <c r="J13" i="4"/>
  <c r="E21" i="4"/>
  <c r="E22" i="4"/>
  <c r="J22" i="4"/>
  <c r="E17" i="4"/>
  <c r="J17" i="4"/>
  <c r="E8" i="4"/>
  <c r="J8" i="4"/>
  <c r="E20" i="4"/>
  <c r="E18" i="4"/>
  <c r="J18" i="4"/>
  <c r="E12" i="4"/>
  <c r="E10" i="4"/>
  <c r="E14" i="4"/>
  <c r="J14" i="4"/>
  <c r="E16" i="4"/>
  <c r="J16" i="4"/>
  <c r="E23" i="4"/>
  <c r="J23" i="4"/>
  <c r="E25" i="4"/>
  <c r="I10" i="4"/>
  <c r="E11" i="6"/>
  <c r="I24" i="4"/>
  <c r="E25" i="6"/>
  <c r="I18" i="4"/>
  <c r="I12" i="4"/>
  <c r="I16" i="4"/>
  <c r="I20" i="4"/>
  <c r="E21" i="6"/>
  <c r="I22" i="4"/>
  <c r="I25" i="4"/>
  <c r="I21" i="4"/>
  <c r="E22" i="6"/>
  <c r="E8" i="5"/>
  <c r="E16" i="5"/>
  <c r="E24" i="5"/>
  <c r="E14" i="5"/>
  <c r="E22" i="5"/>
  <c r="E13" i="5"/>
  <c r="E23" i="5"/>
  <c r="E12" i="5"/>
  <c r="E10" i="5"/>
  <c r="E9" i="5"/>
  <c r="E25" i="5"/>
  <c r="E15" i="5"/>
  <c r="E21" i="5"/>
  <c r="G22" i="6"/>
  <c r="E11" i="5"/>
  <c r="E19" i="5"/>
  <c r="G20" i="6"/>
  <c r="E20" i="5"/>
  <c r="G21" i="6"/>
  <c r="E18" i="5"/>
  <c r="E17" i="5"/>
  <c r="L22" i="5"/>
  <c r="H23" i="6"/>
  <c r="L24" i="5"/>
  <c r="H25" i="6"/>
  <c r="L21" i="5"/>
  <c r="H22" i="6"/>
  <c r="E14" i="6"/>
  <c r="E18" i="6"/>
  <c r="E13" i="6"/>
  <c r="E20" i="6"/>
  <c r="E17" i="6"/>
  <c r="E9" i="6"/>
  <c r="E12" i="6"/>
  <c r="E23" i="6"/>
  <c r="E24" i="6"/>
  <c r="E16" i="6"/>
  <c r="E19" i="6"/>
  <c r="E26" i="6"/>
  <c r="O8" i="5"/>
  <c r="I9" i="6"/>
  <c r="O16" i="5"/>
  <c r="I17" i="6"/>
  <c r="O12" i="5"/>
  <c r="I13" i="6"/>
  <c r="O23" i="5"/>
  <c r="I24" i="6"/>
  <c r="O13" i="5"/>
  <c r="I14" i="6"/>
  <c r="O11" i="5"/>
  <c r="I12" i="6"/>
  <c r="O19" i="5"/>
  <c r="I20" i="6"/>
  <c r="O10" i="5"/>
  <c r="I11" i="6"/>
  <c r="O18" i="5"/>
  <c r="I19" i="6"/>
  <c r="O9" i="5"/>
  <c r="I10" i="6"/>
  <c r="O17" i="5"/>
  <c r="I18" i="6"/>
  <c r="O25" i="5"/>
  <c r="I26" i="6"/>
  <c r="O15" i="5"/>
  <c r="I16" i="6"/>
  <c r="O14" i="5"/>
  <c r="I15" i="6"/>
  <c r="O22" i="5"/>
  <c r="I23" i="6"/>
  <c r="O24" i="5"/>
  <c r="I25" i="6"/>
  <c r="O21" i="5"/>
  <c r="I22" i="6"/>
  <c r="O20" i="5"/>
  <c r="I21" i="6"/>
  <c r="L20" i="5"/>
  <c r="H21" i="6"/>
  <c r="L14" i="5"/>
  <c r="H15" i="6"/>
  <c r="L19" i="5"/>
  <c r="L17" i="5"/>
  <c r="H18" i="6"/>
  <c r="D21" i="6"/>
  <c r="D22" i="6"/>
  <c r="T20" i="5"/>
  <c r="J21" i="6"/>
  <c r="T21" i="5"/>
  <c r="J22" i="6"/>
  <c r="T24" i="5"/>
  <c r="J25" i="6"/>
  <c r="T22" i="5"/>
  <c r="J23" i="6"/>
  <c r="T11" i="5"/>
  <c r="J12" i="6"/>
  <c r="T25" i="5"/>
  <c r="J26" i="6"/>
  <c r="T10" i="5"/>
  <c r="J11" i="6"/>
  <c r="T19" i="5"/>
  <c r="J20" i="6"/>
  <c r="T8" i="5"/>
  <c r="J9" i="6"/>
  <c r="T15" i="5"/>
  <c r="J16" i="6"/>
  <c r="T14" i="5"/>
  <c r="J15" i="6"/>
  <c r="T12" i="5"/>
  <c r="J13" i="6"/>
  <c r="T9" i="5"/>
  <c r="J10" i="6"/>
  <c r="T13" i="5"/>
  <c r="J14" i="6"/>
  <c r="T23" i="5"/>
  <c r="J24" i="6"/>
  <c r="T17" i="5"/>
  <c r="J18" i="6"/>
  <c r="T16" i="5"/>
  <c r="J17" i="6"/>
  <c r="T18" i="5"/>
  <c r="J19" i="6"/>
  <c r="L10" i="5"/>
  <c r="H11" i="6"/>
  <c r="L11" i="5"/>
  <c r="H12" i="6"/>
  <c r="L16" i="5"/>
  <c r="H17" i="6"/>
  <c r="L9" i="5"/>
  <c r="H10" i="6"/>
  <c r="L23" i="5"/>
  <c r="H24" i="6"/>
  <c r="L8" i="5"/>
  <c r="H9" i="6"/>
  <c r="L18" i="5"/>
  <c r="H19" i="6"/>
  <c r="C27" i="6"/>
  <c r="L25" i="5"/>
  <c r="H26" i="6"/>
  <c r="L15" i="5"/>
  <c r="H16" i="6"/>
  <c r="L12" i="5"/>
  <c r="H13" i="6"/>
  <c r="J25" i="4"/>
  <c r="J10" i="4"/>
  <c r="F11" i="6"/>
  <c r="J24" i="4"/>
  <c r="J12" i="4"/>
  <c r="D17" i="6"/>
  <c r="F17" i="6"/>
  <c r="D13" i="6"/>
  <c r="F13" i="6"/>
  <c r="J27" i="6"/>
  <c r="D24" i="6"/>
  <c r="F24" i="6"/>
  <c r="D26" i="6"/>
  <c r="F26" i="6"/>
  <c r="D15" i="6"/>
  <c r="F15" i="6"/>
  <c r="D23" i="6"/>
  <c r="F23" i="6"/>
  <c r="D18" i="6"/>
  <c r="F18" i="6"/>
  <c r="G26" i="6"/>
  <c r="U25" i="5"/>
  <c r="K26" i="6"/>
  <c r="G24" i="6"/>
  <c r="U23" i="5"/>
  <c r="K24" i="6"/>
  <c r="G25" i="6"/>
  <c r="U24" i="5"/>
  <c r="K25" i="6"/>
  <c r="I27" i="6"/>
  <c r="D19" i="6"/>
  <c r="F19" i="6"/>
  <c r="D20" i="6"/>
  <c r="F20" i="6"/>
  <c r="D25" i="6"/>
  <c r="F25" i="6"/>
  <c r="D14" i="6"/>
  <c r="F14" i="6"/>
  <c r="D10" i="6"/>
  <c r="F10" i="6"/>
  <c r="E27" i="6"/>
  <c r="G18" i="6"/>
  <c r="U17" i="5"/>
  <c r="K18" i="6"/>
  <c r="G12" i="6"/>
  <c r="U11" i="5"/>
  <c r="K12" i="6"/>
  <c r="G10" i="6"/>
  <c r="U9" i="5"/>
  <c r="K10" i="6"/>
  <c r="G14" i="6"/>
  <c r="U13" i="5"/>
  <c r="K14" i="6"/>
  <c r="G17" i="6"/>
  <c r="U16" i="5"/>
  <c r="K17" i="6"/>
  <c r="D16" i="6"/>
  <c r="F16" i="6"/>
  <c r="G19" i="6"/>
  <c r="U18" i="5"/>
  <c r="K19" i="6"/>
  <c r="G11" i="6"/>
  <c r="U10" i="5"/>
  <c r="K11" i="6"/>
  <c r="G23" i="6"/>
  <c r="U22" i="5"/>
  <c r="K23" i="6"/>
  <c r="G9" i="6"/>
  <c r="U8" i="5"/>
  <c r="K9" i="6"/>
  <c r="D12" i="6"/>
  <c r="F12" i="6"/>
  <c r="D9" i="6"/>
  <c r="D11" i="6"/>
  <c r="U19" i="5"/>
  <c r="K20" i="6"/>
  <c r="H20" i="6"/>
  <c r="H27" i="6"/>
  <c r="G16" i="6"/>
  <c r="U15" i="5"/>
  <c r="K16" i="6"/>
  <c r="G13" i="6"/>
  <c r="U12" i="5"/>
  <c r="K13" i="6"/>
  <c r="G15" i="6"/>
  <c r="U14" i="5"/>
  <c r="K15" i="6"/>
  <c r="M26" i="6"/>
  <c r="M16" i="6"/>
  <c r="M12" i="6"/>
  <c r="M23" i="6"/>
  <c r="M10" i="6"/>
  <c r="M25" i="6"/>
  <c r="M11" i="6"/>
  <c r="M19" i="6"/>
  <c r="M17" i="6"/>
  <c r="M13" i="6"/>
  <c r="F9" i="6"/>
  <c r="J26" i="4"/>
  <c r="G27" i="6"/>
  <c r="M14" i="6"/>
  <c r="M20" i="6"/>
  <c r="M18" i="6"/>
  <c r="M15" i="6"/>
  <c r="M24" i="6"/>
  <c r="K27" i="6"/>
  <c r="D27" i="6"/>
  <c r="F27" i="6"/>
  <c r="M9" i="6"/>
  <c r="M27" i="6"/>
</calcChain>
</file>

<file path=xl/sharedStrings.xml><?xml version="1.0" encoding="utf-8"?>
<sst xmlns="http://schemas.openxmlformats.org/spreadsheetml/2006/main" count="191" uniqueCount="95">
  <si>
    <t>PRESUPUESTO</t>
  </si>
  <si>
    <t>Part</t>
  </si>
  <si>
    <t>Cap</t>
  </si>
  <si>
    <t>Prog</t>
  </si>
  <si>
    <t>Subtit</t>
  </si>
  <si>
    <t>ítem</t>
  </si>
  <si>
    <t>Asign</t>
  </si>
  <si>
    <t>Glosa</t>
  </si>
  <si>
    <t>Presupuesto</t>
  </si>
  <si>
    <t>Transf. Corrientes</t>
  </si>
  <si>
    <t>09</t>
  </si>
  <si>
    <t>01</t>
  </si>
  <si>
    <t>03</t>
  </si>
  <si>
    <t>Transf. de Capital</t>
  </si>
  <si>
    <t>PLAN DE FORTALECIMIENTO UNIVERSIDADES ESTATALES (PFE)</t>
  </si>
  <si>
    <t>08</t>
  </si>
  <si>
    <t>[2] Gratuidad</t>
  </si>
  <si>
    <t>[3] Investigación Avanzada</t>
  </si>
  <si>
    <t>[1] AFD 2017</t>
  </si>
  <si>
    <t>Participa</t>
  </si>
  <si>
    <t>TOTAL</t>
  </si>
  <si>
    <t>Bajo Promedio</t>
  </si>
  <si>
    <t>M$</t>
  </si>
  <si>
    <t>Parte 2.1</t>
  </si>
  <si>
    <t>Parte 2.2</t>
  </si>
  <si>
    <t>Diferencia</t>
  </si>
  <si>
    <t>% bajo prom</t>
  </si>
  <si>
    <t>Matr. con Gratuidad</t>
  </si>
  <si>
    <t>% Gratuidad U. Estatales</t>
  </si>
  <si>
    <t>Matr. Pregrado presencial</t>
  </si>
  <si>
    <t>% Matr Preg con gratuidad</t>
  </si>
  <si>
    <t>% Prop Grat</t>
  </si>
  <si>
    <t>Publ. Citables Scopus</t>
  </si>
  <si>
    <t>% U. Estatales</t>
  </si>
  <si>
    <t>N° Áreas Acreditadas</t>
  </si>
  <si>
    <t>Acred. en Investigación</t>
  </si>
  <si>
    <t>Ptje Acred N° Áreas</t>
  </si>
  <si>
    <t>Ptje Acred en INV.</t>
  </si>
  <si>
    <t>Ptje TOTAL</t>
  </si>
  <si>
    <t>% Ptje U. Estatales</t>
  </si>
  <si>
    <t>N° Acad JC con PhD</t>
  </si>
  <si>
    <t>N° Doctorados Acreditados</t>
  </si>
  <si>
    <t>Propios</t>
  </si>
  <si>
    <t>Asoc +5 Años Acred</t>
  </si>
  <si>
    <t>Total</t>
  </si>
  <si>
    <t>ANT</t>
  </si>
  <si>
    <t>ATA</t>
  </si>
  <si>
    <t>FRO</t>
  </si>
  <si>
    <t>MAG</t>
  </si>
  <si>
    <t>TAL</t>
  </si>
  <si>
    <t>UAP</t>
  </si>
  <si>
    <t>UBB</t>
  </si>
  <si>
    <t>UCH</t>
  </si>
  <si>
    <t>ULA</t>
  </si>
  <si>
    <t>ULS</t>
  </si>
  <si>
    <t>UMC</t>
  </si>
  <si>
    <t>UPA</t>
  </si>
  <si>
    <t>URO</t>
  </si>
  <si>
    <t>URY</t>
  </si>
  <si>
    <t>USA</t>
  </si>
  <si>
    <t>UTA</t>
  </si>
  <si>
    <t>UTM</t>
  </si>
  <si>
    <t>UVA</t>
  </si>
  <si>
    <t>PRESUPUESTO INICIAL</t>
  </si>
  <si>
    <t>Acred. INST</t>
  </si>
  <si>
    <t>5</t>
  </si>
  <si>
    <t>3</t>
  </si>
  <si>
    <t>4</t>
  </si>
  <si>
    <t>7</t>
  </si>
  <si>
    <t>6</t>
  </si>
  <si>
    <t>3.1 Publicaciones</t>
  </si>
  <si>
    <t>3.2 Acred. Institucional</t>
  </si>
  <si>
    <t>3.3 Acad. JC con PhD</t>
  </si>
  <si>
    <t>3.4 Progr. Doctorado Acred.</t>
  </si>
  <si>
    <t>2.1 % U. Estatales</t>
  </si>
  <si>
    <t>2.2 % Matr Pregr</t>
  </si>
  <si>
    <t>IES</t>
  </si>
  <si>
    <t>Total
M$</t>
  </si>
  <si>
    <t>3.1 Publ
M$</t>
  </si>
  <si>
    <t>3.2 Acred. INST
M$</t>
  </si>
  <si>
    <t>3.3 Acad JC PhD
M$</t>
  </si>
  <si>
    <t>3.4 Doct Acr
M$</t>
  </si>
  <si>
    <t>[1] AFD 2017
M$</t>
  </si>
  <si>
    <t>TOTAL PFE
M$</t>
  </si>
  <si>
    <t>2.1 % U. Estatales
M$</t>
  </si>
  <si>
    <t>2.2 % Matr Pregr
M$</t>
  </si>
  <si>
    <r>
      <t xml:space="preserve">Parte 3.1: </t>
    </r>
    <r>
      <rPr>
        <b/>
        <sz val="9"/>
        <color theme="1"/>
        <rFont val="Calibri"/>
        <family val="2"/>
        <scheme val="minor"/>
      </rPr>
      <t>Publicaciones</t>
    </r>
  </si>
  <si>
    <r>
      <t xml:space="preserve">Parte 3.2: </t>
    </r>
    <r>
      <rPr>
        <b/>
        <sz val="9"/>
        <color theme="1"/>
        <rFont val="Calibri"/>
        <family val="2"/>
        <scheme val="minor"/>
      </rPr>
      <t>Acreditación Institucional</t>
    </r>
  </si>
  <si>
    <r>
      <t xml:space="preserve">Parte 3.3: </t>
    </r>
    <r>
      <rPr>
        <b/>
        <sz val="9"/>
        <color theme="1"/>
        <rFont val="Calibri"/>
        <family val="2"/>
        <scheme val="minor"/>
      </rPr>
      <t>Académicos JC con Doctorado</t>
    </r>
  </si>
  <si>
    <r>
      <t xml:space="preserve">Parte 3.4: </t>
    </r>
    <r>
      <rPr>
        <b/>
        <sz val="9"/>
        <color theme="1"/>
        <rFont val="Calibri"/>
        <family val="2"/>
        <scheme val="minor"/>
      </rPr>
      <t>Doctorados Acreditados</t>
    </r>
  </si>
  <si>
    <t>UdA-DFI</t>
  </si>
  <si>
    <t>04 de julio de 2018</t>
  </si>
  <si>
    <t>3. Investigación</t>
  </si>
  <si>
    <t>2. Gratuidad</t>
  </si>
  <si>
    <t>1. AFD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</si>
</sst>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7" tint="0.79998168889431442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dashed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ash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ashed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ash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ashed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ashed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3" fontId="5" fillId="3" borderId="1" xfId="0" applyNumberFormat="1" applyFont="1" applyFill="1" applyBorder="1"/>
    <xf numFmtId="3" fontId="4" fillId="4" borderId="1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3" fontId="4" fillId="2" borderId="0" xfId="0" applyNumberFormat="1" applyFont="1" applyFill="1" applyBorder="1"/>
    <xf numFmtId="9" fontId="6" fillId="4" borderId="1" xfId="0" applyNumberFormat="1" applyFont="1" applyFill="1" applyBorder="1" applyAlignment="1">
      <alignment horizontal="center"/>
    </xf>
    <xf numFmtId="3" fontId="7" fillId="4" borderId="1" xfId="0" applyNumberFormat="1" applyFont="1" applyFill="1" applyBorder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quotePrefix="1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2" fillId="2" borderId="0" xfId="0" applyFont="1" applyFill="1" applyBorder="1"/>
    <xf numFmtId="3" fontId="9" fillId="4" borderId="21" xfId="0" applyNumberFormat="1" applyFont="1" applyFill="1" applyBorder="1"/>
    <xf numFmtId="9" fontId="2" fillId="2" borderId="0" xfId="0" applyNumberFormat="1" applyFont="1" applyFill="1"/>
    <xf numFmtId="9" fontId="11" fillId="2" borderId="0" xfId="0" applyNumberFormat="1" applyFont="1" applyFill="1" applyBorder="1"/>
    <xf numFmtId="0" fontId="12" fillId="2" borderId="0" xfId="0" applyFont="1" applyFill="1" applyAlignment="1">
      <alignment horizontal="right"/>
    </xf>
    <xf numFmtId="3" fontId="12" fillId="4" borderId="56" xfId="0" applyNumberFormat="1" applyFont="1" applyFill="1" applyBorder="1"/>
    <xf numFmtId="3" fontId="12" fillId="4" borderId="49" xfId="0" applyNumberFormat="1" applyFont="1" applyFill="1" applyBorder="1"/>
    <xf numFmtId="3" fontId="12" fillId="4" borderId="40" xfId="0" applyNumberFormat="1" applyFont="1" applyFill="1" applyBorder="1"/>
    <xf numFmtId="3" fontId="12" fillId="4" borderId="32" xfId="0" applyNumberFormat="1" applyFont="1" applyFill="1" applyBorder="1"/>
    <xf numFmtId="3" fontId="3" fillId="3" borderId="40" xfId="0" applyNumberFormat="1" applyFont="1" applyFill="1" applyBorder="1"/>
    <xf numFmtId="3" fontId="3" fillId="4" borderId="41" xfId="0" applyNumberFormat="1" applyFont="1" applyFill="1" applyBorder="1"/>
    <xf numFmtId="3" fontId="3" fillId="4" borderId="42" xfId="0" applyNumberFormat="1" applyFont="1" applyFill="1" applyBorder="1"/>
    <xf numFmtId="10" fontId="3" fillId="4" borderId="43" xfId="1" applyNumberFormat="1" applyFont="1" applyFill="1" applyBorder="1"/>
    <xf numFmtId="3" fontId="3" fillId="3" borderId="49" xfId="0" applyNumberFormat="1" applyFont="1" applyFill="1" applyBorder="1"/>
    <xf numFmtId="3" fontId="3" fillId="4" borderId="50" xfId="0" applyNumberFormat="1" applyFont="1" applyFill="1" applyBorder="1"/>
    <xf numFmtId="3" fontId="3" fillId="4" borderId="53" xfId="0" applyNumberFormat="1" applyFont="1" applyFill="1" applyBorder="1"/>
    <xf numFmtId="10" fontId="3" fillId="4" borderId="51" xfId="1" applyNumberFormat="1" applyFont="1" applyFill="1" applyBorder="1"/>
    <xf numFmtId="3" fontId="3" fillId="2" borderId="0" xfId="0" applyNumberFormat="1" applyFont="1" applyFill="1" applyBorder="1"/>
    <xf numFmtId="3" fontId="3" fillId="3" borderId="45" xfId="0" applyNumberFormat="1" applyFont="1" applyFill="1" applyBorder="1"/>
    <xf numFmtId="3" fontId="3" fillId="3" borderId="52" xfId="0" applyNumberFormat="1" applyFont="1" applyFill="1" applyBorder="1"/>
    <xf numFmtId="0" fontId="7" fillId="2" borderId="6" xfId="0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0" fontId="3" fillId="2" borderId="0" xfId="0" quotePrefix="1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/>
    </xf>
    <xf numFmtId="3" fontId="5" fillId="4" borderId="3" xfId="0" applyNumberFormat="1" applyFont="1" applyFill="1" applyBorder="1"/>
    <xf numFmtId="3" fontId="13" fillId="4" borderId="71" xfId="0" applyNumberFormat="1" applyFont="1" applyFill="1" applyBorder="1"/>
    <xf numFmtId="3" fontId="13" fillId="4" borderId="45" xfId="0" applyNumberFormat="1" applyFont="1" applyFill="1" applyBorder="1"/>
    <xf numFmtId="3" fontId="5" fillId="4" borderId="47" xfId="0" applyNumberFormat="1" applyFont="1" applyFill="1" applyBorder="1"/>
    <xf numFmtId="3" fontId="13" fillId="4" borderId="44" xfId="0" applyNumberFormat="1" applyFont="1" applyFill="1" applyBorder="1"/>
    <xf numFmtId="3" fontId="4" fillId="4" borderId="3" xfId="0" applyNumberFormat="1" applyFont="1" applyFill="1" applyBorder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3" fontId="5" fillId="4" borderId="4" xfId="0" applyNumberFormat="1" applyFont="1" applyFill="1" applyBorder="1"/>
    <xf numFmtId="3" fontId="13" fillId="4" borderId="68" xfId="0" applyNumberFormat="1" applyFont="1" applyFill="1" applyBorder="1"/>
    <xf numFmtId="3" fontId="13" fillId="4" borderId="30" xfId="0" applyNumberFormat="1" applyFont="1" applyFill="1" applyBorder="1"/>
    <xf numFmtId="3" fontId="5" fillId="4" borderId="69" xfId="0" applyNumberFormat="1" applyFont="1" applyFill="1" applyBorder="1"/>
    <xf numFmtId="3" fontId="13" fillId="4" borderId="29" xfId="0" applyNumberFormat="1" applyFont="1" applyFill="1" applyBorder="1"/>
    <xf numFmtId="3" fontId="5" fillId="4" borderId="55" xfId="0" applyNumberFormat="1" applyFont="1" applyFill="1" applyBorder="1"/>
    <xf numFmtId="3" fontId="4" fillId="4" borderId="4" xfId="0" applyNumberFormat="1" applyFont="1" applyFill="1" applyBorder="1"/>
    <xf numFmtId="3" fontId="4" fillId="4" borderId="7" xfId="0" applyNumberFormat="1" applyFont="1" applyFill="1" applyBorder="1"/>
    <xf numFmtId="3" fontId="4" fillId="4" borderId="72" xfId="0" applyNumberFormat="1" applyFont="1" applyFill="1" applyBorder="1"/>
    <xf numFmtId="3" fontId="4" fillId="4" borderId="9" xfId="0" applyNumberFormat="1" applyFont="1" applyFill="1" applyBorder="1"/>
    <xf numFmtId="3" fontId="4" fillId="4" borderId="8" xfId="0" applyNumberFormat="1" applyFont="1" applyFill="1" applyBorder="1"/>
    <xf numFmtId="0" fontId="3" fillId="2" borderId="7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/>
    </xf>
    <xf numFmtId="3" fontId="3" fillId="3" borderId="39" xfId="0" applyNumberFormat="1" applyFont="1" applyFill="1" applyBorder="1"/>
    <xf numFmtId="10" fontId="3" fillId="4" borderId="45" xfId="1" applyNumberFormat="1" applyFont="1" applyFill="1" applyBorder="1"/>
    <xf numFmtId="3" fontId="5" fillId="4" borderId="41" xfId="0" applyNumberFormat="1" applyFont="1" applyFill="1" applyBorder="1"/>
    <xf numFmtId="0" fontId="3" fillId="0" borderId="39" xfId="0" applyFont="1" applyBorder="1"/>
    <xf numFmtId="0" fontId="3" fillId="0" borderId="40" xfId="0" applyFont="1" applyBorder="1"/>
    <xf numFmtId="0" fontId="3" fillId="4" borderId="40" xfId="0" applyFont="1" applyFill="1" applyBorder="1"/>
    <xf numFmtId="3" fontId="5" fillId="4" borderId="62" xfId="0" applyNumberFormat="1" applyFont="1" applyFill="1" applyBorder="1"/>
    <xf numFmtId="0" fontId="3" fillId="0" borderId="45" xfId="0" applyFont="1" applyBorder="1"/>
    <xf numFmtId="3" fontId="3" fillId="3" borderId="48" xfId="0" applyNumberFormat="1" applyFont="1" applyFill="1" applyBorder="1"/>
    <xf numFmtId="10" fontId="3" fillId="4" borderId="52" xfId="1" applyNumberFormat="1" applyFont="1" applyFill="1" applyBorder="1"/>
    <xf numFmtId="3" fontId="5" fillId="4" borderId="50" xfId="0" applyNumberFormat="1" applyFont="1" applyFill="1" applyBorder="1"/>
    <xf numFmtId="0" fontId="3" fillId="0" borderId="48" xfId="0" applyFont="1" applyBorder="1"/>
    <xf numFmtId="0" fontId="3" fillId="0" borderId="49" xfId="0" applyFont="1" applyBorder="1"/>
    <xf numFmtId="0" fontId="3" fillId="4" borderId="49" xfId="0" applyFont="1" applyFill="1" applyBorder="1"/>
    <xf numFmtId="3" fontId="5" fillId="4" borderId="63" xfId="0" applyNumberFormat="1" applyFont="1" applyFill="1" applyBorder="1"/>
    <xf numFmtId="0" fontId="3" fillId="0" borderId="52" xfId="0" applyFont="1" applyBorder="1"/>
    <xf numFmtId="3" fontId="3" fillId="3" borderId="42" xfId="0" applyNumberFormat="1" applyFont="1" applyFill="1" applyBorder="1"/>
    <xf numFmtId="3" fontId="5" fillId="4" borderId="43" xfId="0" applyNumberFormat="1" applyFont="1" applyFill="1" applyBorder="1"/>
    <xf numFmtId="3" fontId="5" fillId="4" borderId="27" xfId="0" applyNumberFormat="1" applyFont="1" applyFill="1" applyBorder="1"/>
    <xf numFmtId="3" fontId="3" fillId="3" borderId="53" xfId="0" applyNumberFormat="1" applyFont="1" applyFill="1" applyBorder="1"/>
    <xf numFmtId="3" fontId="5" fillId="4" borderId="24" xfId="0" applyNumberFormat="1" applyFont="1" applyFill="1" applyBorder="1"/>
    <xf numFmtId="3" fontId="3" fillId="2" borderId="14" xfId="0" applyNumberFormat="1" applyFont="1" applyFill="1" applyBorder="1"/>
    <xf numFmtId="3" fontId="3" fillId="2" borderId="57" xfId="0" applyNumberFormat="1" applyFont="1" applyFill="1" applyBorder="1"/>
    <xf numFmtId="10" fontId="7" fillId="4" borderId="65" xfId="1" applyNumberFormat="1" applyFont="1" applyFill="1" applyBorder="1"/>
    <xf numFmtId="9" fontId="6" fillId="3" borderId="1" xfId="0" applyNumberFormat="1" applyFont="1" applyFill="1" applyBorder="1" applyAlignment="1">
      <alignment horizontal="center"/>
    </xf>
    <xf numFmtId="0" fontId="14" fillId="2" borderId="0" xfId="0" quotePrefix="1" applyFont="1" applyFill="1" applyAlignment="1">
      <alignment horizontal="center" vertical="center"/>
    </xf>
    <xf numFmtId="164" fontId="4" fillId="4" borderId="47" xfId="0" applyNumberFormat="1" applyFont="1" applyFill="1" applyBorder="1"/>
    <xf numFmtId="164" fontId="4" fillId="4" borderId="55" xfId="0" applyNumberFormat="1" applyFont="1" applyFill="1" applyBorder="1"/>
    <xf numFmtId="164" fontId="4" fillId="4" borderId="46" xfId="0" applyNumberFormat="1" applyFont="1" applyFill="1" applyBorder="1"/>
    <xf numFmtId="164" fontId="4" fillId="4" borderId="54" xfId="0" applyNumberFormat="1" applyFont="1" applyFill="1" applyBorder="1"/>
    <xf numFmtId="164" fontId="4" fillId="4" borderId="9" xfId="0" applyNumberFormat="1" applyFont="1" applyFill="1" applyBorder="1"/>
    <xf numFmtId="164" fontId="2" fillId="0" borderId="0" xfId="0" applyNumberFormat="1" applyFont="1"/>
    <xf numFmtId="0" fontId="15" fillId="2" borderId="0" xfId="0" applyFont="1" applyFill="1"/>
    <xf numFmtId="0" fontId="16" fillId="2" borderId="0" xfId="0" applyFont="1" applyFill="1"/>
    <xf numFmtId="0" fontId="16" fillId="2" borderId="0" xfId="0" quotePrefix="1" applyFont="1" applyFill="1" applyAlignment="1">
      <alignment horizontal="center"/>
    </xf>
    <xf numFmtId="0" fontId="16" fillId="0" borderId="0" xfId="0" applyFont="1"/>
    <xf numFmtId="0" fontId="17" fillId="2" borderId="0" xfId="0" applyFont="1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 wrapText="1"/>
    </xf>
    <xf numFmtId="0" fontId="3" fillId="2" borderId="20" xfId="0" quotePrefix="1" applyFont="1" applyFill="1" applyBorder="1" applyAlignment="1">
      <alignment horizontal="center" vertical="center" wrapText="1"/>
    </xf>
    <xf numFmtId="0" fontId="3" fillId="2" borderId="64" xfId="0" quotePrefix="1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9" fontId="3" fillId="2" borderId="60" xfId="0" applyNumberFormat="1" applyFont="1" applyFill="1" applyBorder="1" applyAlignment="1">
      <alignment horizontal="center" vertical="center" wrapText="1"/>
    </xf>
    <xf numFmtId="9" fontId="3" fillId="2" borderId="61" xfId="0" applyNumberFormat="1" applyFont="1" applyFill="1" applyBorder="1" applyAlignment="1">
      <alignment horizontal="center" vertical="center" wrapText="1"/>
    </xf>
    <xf numFmtId="9" fontId="3" fillId="2" borderId="38" xfId="0" applyNumberFormat="1" applyFont="1" applyFill="1" applyBorder="1" applyAlignment="1">
      <alignment horizontal="center" vertical="center" wrapText="1"/>
    </xf>
    <xf numFmtId="9" fontId="3" fillId="2" borderId="10" xfId="0" applyNumberFormat="1" applyFont="1" applyFill="1" applyBorder="1" applyAlignment="1">
      <alignment horizontal="center" vertical="center" wrapText="1"/>
    </xf>
    <xf numFmtId="9" fontId="3" fillId="2" borderId="21" xfId="0" applyNumberFormat="1" applyFont="1" applyFill="1" applyBorder="1" applyAlignment="1">
      <alignment horizontal="center" vertical="center" wrapText="1"/>
    </xf>
    <xf numFmtId="9" fontId="3" fillId="2" borderId="3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00CC"/>
      <color rgb="FF0000FF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FF00"/>
  </sheetPr>
  <dimension ref="A1:Y28"/>
  <sheetViews>
    <sheetView tabSelected="1" workbookViewId="0">
      <pane xSplit="2" ySplit="8" topLeftCell="C9" activePane="bottomRight" state="frozen"/>
      <selection pane="topRight" activeCell="C1" sqref="C1"/>
      <selection pane="bottomLeft" activeCell="A18" sqref="A18"/>
      <selection pane="bottomRight" activeCell="D9" sqref="D9"/>
    </sheetView>
  </sheetViews>
  <sheetFormatPr baseColWidth="10" defaultColWidth="0" defaultRowHeight="14" zeroHeight="1" x14ac:dyDescent="0.2"/>
  <cols>
    <col min="1" max="2" width="8.6640625" style="1" customWidth="1"/>
    <col min="3" max="11" width="15.6640625" style="1" customWidth="1"/>
    <col min="12" max="12" width="1.6640625" style="1" customWidth="1"/>
    <col min="13" max="13" width="15.6640625" style="1" customWidth="1"/>
    <col min="14" max="14" width="5.6640625" style="1" customWidth="1"/>
    <col min="15" max="25" width="12.6640625" style="1" hidden="1" customWidth="1"/>
    <col min="26" max="16384" width="11.5" style="1" hidden="1"/>
  </cols>
  <sheetData>
    <row r="1" spans="1:14" s="114" customFormat="1" ht="16" x14ac:dyDescent="0.2">
      <c r="A1" s="111" t="s">
        <v>14</v>
      </c>
      <c r="B1" s="112"/>
      <c r="C1" s="113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s="114" customFormat="1" ht="15" x14ac:dyDescent="0.2">
      <c r="A2" s="115" t="s">
        <v>90</v>
      </c>
      <c r="B2" s="112"/>
      <c r="C2" s="113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s="114" customFormat="1" ht="15" x14ac:dyDescent="0.2">
      <c r="A3" s="115" t="s">
        <v>91</v>
      </c>
      <c r="B3" s="112"/>
      <c r="C3" s="113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15" x14ac:dyDescent="0.2">
      <c r="A4" s="19"/>
      <c r="B4" s="20"/>
      <c r="C4" s="22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">
      <c r="A5" s="104">
        <v>1</v>
      </c>
      <c r="B5" s="104">
        <v>2</v>
      </c>
      <c r="C5" s="104">
        <v>3</v>
      </c>
      <c r="D5" s="104">
        <v>4</v>
      </c>
      <c r="E5" s="104">
        <v>5</v>
      </c>
      <c r="F5" s="104">
        <v>6</v>
      </c>
      <c r="G5" s="104">
        <v>7</v>
      </c>
      <c r="H5" s="104">
        <v>8</v>
      </c>
      <c r="I5" s="104">
        <v>9</v>
      </c>
      <c r="J5" s="104">
        <v>10</v>
      </c>
      <c r="K5" s="104">
        <v>11</v>
      </c>
      <c r="L5" s="104">
        <v>12</v>
      </c>
      <c r="M5" s="104">
        <v>13</v>
      </c>
      <c r="N5" s="20"/>
    </row>
    <row r="6" spans="1:14" s="2" customFormat="1" ht="15" customHeight="1" x14ac:dyDescent="0.15">
      <c r="A6" s="121" t="s">
        <v>76</v>
      </c>
      <c r="B6" s="121" t="s">
        <v>19</v>
      </c>
      <c r="C6" s="54" t="s">
        <v>82</v>
      </c>
      <c r="D6" s="127" t="s">
        <v>16</v>
      </c>
      <c r="E6" s="127"/>
      <c r="F6" s="124"/>
      <c r="G6" s="126" t="s">
        <v>17</v>
      </c>
      <c r="H6" s="127"/>
      <c r="I6" s="127"/>
      <c r="J6" s="127"/>
      <c r="K6" s="124"/>
      <c r="L6" s="4"/>
      <c r="M6" s="116" t="s">
        <v>83</v>
      </c>
      <c r="N6" s="4"/>
    </row>
    <row r="7" spans="1:14" s="2" customFormat="1" ht="15" customHeight="1" x14ac:dyDescent="0.15">
      <c r="A7" s="122"/>
      <c r="B7" s="122"/>
      <c r="C7" s="128" t="s">
        <v>77</v>
      </c>
      <c r="D7" s="133" t="s">
        <v>84</v>
      </c>
      <c r="E7" s="119" t="s">
        <v>85</v>
      </c>
      <c r="F7" s="124" t="s">
        <v>77</v>
      </c>
      <c r="G7" s="133" t="s">
        <v>78</v>
      </c>
      <c r="H7" s="130" t="s">
        <v>79</v>
      </c>
      <c r="I7" s="130" t="s">
        <v>80</v>
      </c>
      <c r="J7" s="119" t="s">
        <v>81</v>
      </c>
      <c r="K7" s="124" t="s">
        <v>44</v>
      </c>
      <c r="L7" s="4"/>
      <c r="M7" s="117"/>
      <c r="N7" s="4"/>
    </row>
    <row r="8" spans="1:14" s="2" customFormat="1" ht="15" customHeight="1" x14ac:dyDescent="0.15">
      <c r="A8" s="123"/>
      <c r="B8" s="122"/>
      <c r="C8" s="129"/>
      <c r="D8" s="134"/>
      <c r="E8" s="120"/>
      <c r="F8" s="125"/>
      <c r="G8" s="135"/>
      <c r="H8" s="131"/>
      <c r="I8" s="131"/>
      <c r="J8" s="120"/>
      <c r="K8" s="132"/>
      <c r="L8" s="4"/>
      <c r="M8" s="118"/>
      <c r="N8" s="4"/>
    </row>
    <row r="9" spans="1:14" s="2" customFormat="1" ht="12" x14ac:dyDescent="0.15">
      <c r="A9" s="44" t="s">
        <v>45</v>
      </c>
      <c r="B9" s="55" t="str">
        <f>+'1 AFD'!C8</f>
        <v>Sí</v>
      </c>
      <c r="C9" s="56">
        <f>VLOOKUP($A9,'1 AFD'!A8:I25,9,FALSE)</f>
        <v>612919</v>
      </c>
      <c r="D9" s="57">
        <f>VLOOKUP($A9,'2 Gratuidad'!$A$8:$J$25,5,FALSE)</f>
        <v>54160.382427788485</v>
      </c>
      <c r="E9" s="58">
        <f>VLOOKUP($A9,'2 Gratuidad'!$A$8:$J$25,9,FALSE)</f>
        <v>78586.558805670124</v>
      </c>
      <c r="F9" s="59">
        <f>VLOOKUP($A9,'2 Gratuidad'!$A$8:$J$25,10,FALSE)</f>
        <v>132747</v>
      </c>
      <c r="G9" s="57">
        <f>VLOOKUP($A9,'3 Investigación'!$A$8:$U$25,5,FALSE)</f>
        <v>13920.632140440675</v>
      </c>
      <c r="H9" s="60">
        <f>VLOOKUP($A9,'3 Investigación'!$A$8:$U$25,12,FALSE)</f>
        <v>26256.061406250014</v>
      </c>
      <c r="I9" s="60">
        <f>VLOOKUP($A9,'3 Investigación'!$A$8:$U$25,15,FALSE)</f>
        <v>18101.848910788391</v>
      </c>
      <c r="J9" s="58">
        <f>VLOOKUP($A9,'3 Investigación'!$A$8:$U$25,20,FALSE)</f>
        <v>11509.506369863018</v>
      </c>
      <c r="K9" s="59">
        <f>VLOOKUP($A9,'3 Investigación'!$A$8:$U$25,21,FALSE)</f>
        <v>69788</v>
      </c>
      <c r="L9" s="4"/>
      <c r="M9" s="61">
        <f t="shared" ref="M9:M26" si="0">IF(B9="Sí",C9+F9+K9,"")</f>
        <v>815454</v>
      </c>
      <c r="N9" s="4"/>
    </row>
    <row r="10" spans="1:14" s="2" customFormat="1" ht="12" x14ac:dyDescent="0.15">
      <c r="A10" s="47" t="s">
        <v>46</v>
      </c>
      <c r="B10" s="62" t="str">
        <f>+'1 AFD'!C9</f>
        <v>Sí</v>
      </c>
      <c r="C10" s="56">
        <f>VLOOKUP($A10,'1 AFD'!A9:I26,9,FALSE)</f>
        <v>974529</v>
      </c>
      <c r="D10" s="57">
        <f>VLOOKUP($A10,'2 Gratuidad'!$A$8:$J$25,5,FALSE)</f>
        <v>69263.882154420615</v>
      </c>
      <c r="E10" s="58">
        <f>VLOOKUP($A10,'2 Gratuidad'!$A$8:$J$25,9,FALSE)</f>
        <v>106565.45028303011</v>
      </c>
      <c r="F10" s="59">
        <f>VLOOKUP($A10,'2 Gratuidad'!$A$8:$J$25,10,FALSE)</f>
        <v>175829</v>
      </c>
      <c r="G10" s="57">
        <f>VLOOKUP($A10,'3 Investigación'!$A$8:$U$25,5,FALSE)</f>
        <v>3717.0274301700224</v>
      </c>
      <c r="H10" s="60">
        <f>VLOOKUP($A10,'3 Investigación'!$A$8:$U$25,12,FALSE)</f>
        <v>26256.061406250014</v>
      </c>
      <c r="I10" s="60">
        <f>VLOOKUP($A10,'3 Investigación'!$A$8:$U$25,15,FALSE)</f>
        <v>9386.1438796680541</v>
      </c>
      <c r="J10" s="58">
        <f>VLOOKUP($A10,'3 Investigación'!$A$8:$U$25,20,FALSE)</f>
        <v>0</v>
      </c>
      <c r="K10" s="59">
        <f>VLOOKUP($A10,'3 Investigación'!$A$8:$U$25,21,FALSE)</f>
        <v>39359</v>
      </c>
      <c r="L10" s="4"/>
      <c r="M10" s="61">
        <f t="shared" si="0"/>
        <v>1189717</v>
      </c>
      <c r="N10" s="4"/>
    </row>
    <row r="11" spans="1:14" s="2" customFormat="1" ht="12" x14ac:dyDescent="0.15">
      <c r="A11" s="47" t="s">
        <v>47</v>
      </c>
      <c r="B11" s="62" t="str">
        <f>+'1 AFD'!C10</f>
        <v>Sí</v>
      </c>
      <c r="C11" s="56">
        <f>VLOOKUP($A11,'1 AFD'!A10:I27,9,FALSE)</f>
        <v>0</v>
      </c>
      <c r="D11" s="57">
        <f>VLOOKUP($A11,'2 Gratuidad'!$A$8:$J$25,5,FALSE)</f>
        <v>117373.83419844617</v>
      </c>
      <c r="E11" s="58">
        <f>VLOOKUP($A11,'2 Gratuidad'!$A$8:$J$25,9,FALSE)</f>
        <v>129218.20004826121</v>
      </c>
      <c r="F11" s="59">
        <f>VLOOKUP($A11,'2 Gratuidad'!$A$8:$J$25,10,FALSE)</f>
        <v>246592</v>
      </c>
      <c r="G11" s="57">
        <f>VLOOKUP($A11,'3 Investigación'!$A$8:$U$25,5,FALSE)</f>
        <v>33307.481089954905</v>
      </c>
      <c r="H11" s="60">
        <f>VLOOKUP($A11,'3 Investigación'!$A$8:$U$25,12,FALSE)</f>
        <v>52512.122812500027</v>
      </c>
      <c r="I11" s="60">
        <f>VLOOKUP($A11,'3 Investigación'!$A$8:$U$25,15,FALSE)</f>
        <v>24806.237396265573</v>
      </c>
      <c r="J11" s="58">
        <f>VLOOKUP($A11,'3 Investigación'!$A$8:$U$25,20,FALSE)</f>
        <v>34528.519109589055</v>
      </c>
      <c r="K11" s="59">
        <f>VLOOKUP($A11,'3 Investigación'!$A$8:$U$25,21,FALSE)</f>
        <v>145154</v>
      </c>
      <c r="L11" s="4"/>
      <c r="M11" s="61">
        <f t="shared" si="0"/>
        <v>391746</v>
      </c>
      <c r="N11" s="4"/>
    </row>
    <row r="12" spans="1:14" s="2" customFormat="1" ht="12" x14ac:dyDescent="0.15">
      <c r="A12" s="47" t="s">
        <v>48</v>
      </c>
      <c r="B12" s="62" t="str">
        <f>+'1 AFD'!C11</f>
        <v>Sí</v>
      </c>
      <c r="C12" s="56">
        <f>VLOOKUP($A12,'1 AFD'!A11:I28,9,FALSE)</f>
        <v>911325</v>
      </c>
      <c r="D12" s="57">
        <f>VLOOKUP($A12,'2 Gratuidad'!$A$8:$J$25,5,FALSE)</f>
        <v>42420.741384666348</v>
      </c>
      <c r="E12" s="58">
        <f>VLOOKUP($A12,'2 Gratuidad'!$A$8:$J$25,9,FALSE)</f>
        <v>100929.40527615159</v>
      </c>
      <c r="F12" s="59">
        <f>VLOOKUP($A12,'2 Gratuidad'!$A$8:$J$25,10,FALSE)</f>
        <v>143350</v>
      </c>
      <c r="G12" s="57">
        <f>VLOOKUP($A12,'3 Investigación'!$A$8:$U$25,5,FALSE)</f>
        <v>8600.1811129424059</v>
      </c>
      <c r="H12" s="60">
        <f>VLOOKUP($A12,'3 Investigación'!$A$8:$U$25,12,FALSE)</f>
        <v>26256.061406250014</v>
      </c>
      <c r="I12" s="60">
        <f>VLOOKUP($A12,'3 Investigación'!$A$8:$U$25,15,FALSE)</f>
        <v>7643.0028734439875</v>
      </c>
      <c r="J12" s="58">
        <f>VLOOKUP($A12,'3 Investigación'!$A$8:$U$25,20,FALSE)</f>
        <v>0</v>
      </c>
      <c r="K12" s="59">
        <f>VLOOKUP($A12,'3 Investigación'!$A$8:$U$25,21,FALSE)</f>
        <v>42499</v>
      </c>
      <c r="L12" s="4"/>
      <c r="M12" s="61">
        <f t="shared" si="0"/>
        <v>1097174</v>
      </c>
      <c r="N12" s="4"/>
    </row>
    <row r="13" spans="1:14" s="2" customFormat="1" ht="12" x14ac:dyDescent="0.15">
      <c r="A13" s="47" t="s">
        <v>49</v>
      </c>
      <c r="B13" s="62" t="str">
        <f>+'1 AFD'!C12</f>
        <v>Sí</v>
      </c>
      <c r="C13" s="56">
        <f>VLOOKUP($A13,'1 AFD'!A12:I29,9,FALSE)</f>
        <v>0</v>
      </c>
      <c r="D13" s="57">
        <f>VLOOKUP($A13,'2 Gratuidad'!$A$8:$J$25,5,FALSE)</f>
        <v>120782.84534750661</v>
      </c>
      <c r="E13" s="58">
        <f>VLOOKUP($A13,'2 Gratuidad'!$A$8:$J$25,9,FALSE)</f>
        <v>129441.72002249089</v>
      </c>
      <c r="F13" s="59">
        <f>VLOOKUP($A13,'2 Gratuidad'!$A$8:$J$25,10,FALSE)</f>
        <v>250225</v>
      </c>
      <c r="G13" s="57">
        <f>VLOOKUP($A13,'3 Investigación'!$A$8:$U$25,5,FALSE)</f>
        <v>27476.849826943111</v>
      </c>
      <c r="H13" s="60">
        <f>VLOOKUP($A13,'3 Investigación'!$A$8:$U$25,12,FALSE)</f>
        <v>52512.122812500027</v>
      </c>
      <c r="I13" s="60">
        <f>VLOOKUP($A13,'3 Investigación'!$A$8:$U$25,15,FALSE)</f>
        <v>28560.694948132794</v>
      </c>
      <c r="J13" s="58">
        <f>VLOOKUP($A13,'3 Investigación'!$A$8:$U$25,20,FALSE)</f>
        <v>40283.272294520568</v>
      </c>
      <c r="K13" s="59">
        <f>VLOOKUP($A13,'3 Investigación'!$A$8:$U$25,21,FALSE)</f>
        <v>148833</v>
      </c>
      <c r="L13" s="4"/>
      <c r="M13" s="61">
        <f t="shared" si="0"/>
        <v>399058</v>
      </c>
      <c r="N13" s="4"/>
    </row>
    <row r="14" spans="1:14" s="2" customFormat="1" ht="12" x14ac:dyDescent="0.15">
      <c r="A14" s="47" t="s">
        <v>50</v>
      </c>
      <c r="B14" s="62" t="str">
        <f>+'1 AFD'!C13</f>
        <v>Sí</v>
      </c>
      <c r="C14" s="56">
        <f>VLOOKUP($A14,'1 AFD'!A13:I30,9,FALSE)</f>
        <v>854635</v>
      </c>
      <c r="D14" s="57">
        <f>VLOOKUP($A14,'2 Gratuidad'!$A$8:$J$25,5,FALSE)</f>
        <v>118209.15481112983</v>
      </c>
      <c r="E14" s="58">
        <f>VLOOKUP($A14,'2 Gratuidad'!$A$8:$J$25,9,FALSE)</f>
        <v>100461.99298494007</v>
      </c>
      <c r="F14" s="59">
        <f>VLOOKUP($A14,'2 Gratuidad'!$A$8:$J$25,10,FALSE)</f>
        <v>218671</v>
      </c>
      <c r="G14" s="57">
        <f>VLOOKUP($A14,'3 Investigación'!$A$8:$U$25,5,FALSE)</f>
        <v>5466.2168090735622</v>
      </c>
      <c r="H14" s="60">
        <f>VLOOKUP($A14,'3 Investigación'!$A$8:$U$25,12,FALSE)</f>
        <v>0</v>
      </c>
      <c r="I14" s="60">
        <f>VLOOKUP($A14,'3 Investigación'!$A$8:$U$25,15,FALSE)</f>
        <v>8313.441721991705</v>
      </c>
      <c r="J14" s="58">
        <f>VLOOKUP($A14,'3 Investigación'!$A$8:$U$25,20,FALSE)</f>
        <v>0</v>
      </c>
      <c r="K14" s="59">
        <f>VLOOKUP($A14,'3 Investigación'!$A$8:$U$25,21,FALSE)</f>
        <v>13780</v>
      </c>
      <c r="L14" s="4"/>
      <c r="M14" s="61">
        <f t="shared" si="0"/>
        <v>1087086</v>
      </c>
      <c r="N14" s="4"/>
    </row>
    <row r="15" spans="1:14" s="2" customFormat="1" ht="12" x14ac:dyDescent="0.15">
      <c r="A15" s="47" t="s">
        <v>51</v>
      </c>
      <c r="B15" s="62" t="str">
        <f>+'1 AFD'!C14</f>
        <v>Sí</v>
      </c>
      <c r="C15" s="56">
        <f>VLOOKUP($A15,'1 AFD'!A14:I31,9,FALSE)</f>
        <v>248730</v>
      </c>
      <c r="D15" s="57">
        <f>VLOOKUP($A15,'2 Gratuidad'!$A$8:$J$25,5,FALSE)</f>
        <v>161826.43653288364</v>
      </c>
      <c r="E15" s="58">
        <f>VLOOKUP($A15,'2 Gratuidad'!$A$8:$J$25,9,FALSE)</f>
        <v>140636.93475865296</v>
      </c>
      <c r="F15" s="59">
        <f>VLOOKUP($A15,'2 Gratuidad'!$A$8:$J$25,10,FALSE)</f>
        <v>302463</v>
      </c>
      <c r="G15" s="57">
        <f>VLOOKUP($A15,'3 Investigación'!$A$8:$U$25,5,FALSE)</f>
        <v>16544.416208795985</v>
      </c>
      <c r="H15" s="60">
        <f>VLOOKUP($A15,'3 Investigación'!$A$8:$U$25,12,FALSE)</f>
        <v>26256.061406250014</v>
      </c>
      <c r="I15" s="60">
        <f>VLOOKUP($A15,'3 Investigación'!$A$8:$U$25,15,FALSE)</f>
        <v>29231.133796680515</v>
      </c>
      <c r="J15" s="58">
        <f>VLOOKUP($A15,'3 Investigación'!$A$8:$U$25,20,FALSE)</f>
        <v>11509.506369863018</v>
      </c>
      <c r="K15" s="59">
        <f>VLOOKUP($A15,'3 Investigación'!$A$8:$U$25,21,FALSE)</f>
        <v>83541</v>
      </c>
      <c r="L15" s="4"/>
      <c r="M15" s="61">
        <f t="shared" si="0"/>
        <v>634734</v>
      </c>
      <c r="N15" s="4"/>
    </row>
    <row r="16" spans="1:14" s="2" customFormat="1" ht="12" x14ac:dyDescent="0.15">
      <c r="A16" s="47" t="s">
        <v>52</v>
      </c>
      <c r="B16" s="62" t="str">
        <f>+'1 AFD'!C15</f>
        <v>Sí</v>
      </c>
      <c r="C16" s="56">
        <f>VLOOKUP($A16,'1 AFD'!A15:I32,9,FALSE)</f>
        <v>0</v>
      </c>
      <c r="D16" s="57">
        <f>VLOOKUP($A16,'2 Gratuidad'!$A$8:$J$25,5,FALSE)</f>
        <v>229532.55862581305</v>
      </c>
      <c r="E16" s="58">
        <f>VLOOKUP($A16,'2 Gratuidad'!$A$8:$J$25,9,FALSE)</f>
        <v>78681.242682243523</v>
      </c>
      <c r="F16" s="59">
        <f>VLOOKUP($A16,'2 Gratuidad'!$A$8:$J$25,10,FALSE)</f>
        <v>308214</v>
      </c>
      <c r="G16" s="57">
        <f>VLOOKUP($A16,'3 Investigación'!$A$8:$U$25,5,FALSE)</f>
        <v>189349.7502663082</v>
      </c>
      <c r="H16" s="60">
        <f>VLOOKUP($A16,'3 Investigación'!$A$8:$U$25,12,FALSE)</f>
        <v>52512.122812500027</v>
      </c>
      <c r="I16" s="60">
        <f>VLOOKUP($A16,'3 Investigación'!$A$8:$U$25,15,FALSE)</f>
        <v>138244.49057053949</v>
      </c>
      <c r="J16" s="58">
        <f>VLOOKUP($A16,'3 Investigación'!$A$8:$U$25,20,FALSE)</f>
        <v>201416.36147260285</v>
      </c>
      <c r="K16" s="59">
        <f>VLOOKUP($A16,'3 Investigación'!$A$8:$U$25,21,FALSE)</f>
        <v>581523</v>
      </c>
      <c r="L16" s="4"/>
      <c r="M16" s="61">
        <f t="shared" si="0"/>
        <v>889737</v>
      </c>
      <c r="N16" s="4"/>
    </row>
    <row r="17" spans="1:14" s="2" customFormat="1" ht="12" x14ac:dyDescent="0.15">
      <c r="A17" s="47" t="s">
        <v>53</v>
      </c>
      <c r="B17" s="62" t="str">
        <f>+'1 AFD'!C16</f>
        <v>Sí</v>
      </c>
      <c r="C17" s="56">
        <f>VLOOKUP($A17,'1 AFD'!A16:I33,9,FALSE)</f>
        <v>821676</v>
      </c>
      <c r="D17" s="57">
        <f>VLOOKUP($A17,'2 Gratuidad'!$A$8:$J$25,5,FALSE)</f>
        <v>130874.4213980366</v>
      </c>
      <c r="E17" s="58">
        <f>VLOOKUP($A17,'2 Gratuidad'!$A$8:$J$25,9,FALSE)</f>
        <v>149500.98671299458</v>
      </c>
      <c r="F17" s="59">
        <f>VLOOKUP($A17,'2 Gratuidad'!$A$8:$J$25,10,FALSE)</f>
        <v>280375</v>
      </c>
      <c r="G17" s="57">
        <f>VLOOKUP($A17,'3 Investigación'!$A$8:$U$25,5,FALSE)</f>
        <v>7361.171969552398</v>
      </c>
      <c r="H17" s="60">
        <f>VLOOKUP($A17,'3 Investigación'!$A$8:$U$25,12,FALSE)</f>
        <v>0</v>
      </c>
      <c r="I17" s="60">
        <f>VLOOKUP($A17,'3 Investigación'!$A$8:$U$25,15,FALSE)</f>
        <v>11933.811504149384</v>
      </c>
      <c r="J17" s="58">
        <f>VLOOKUP($A17,'3 Investigación'!$A$8:$U$25,20,FALSE)</f>
        <v>5754.7531849315092</v>
      </c>
      <c r="K17" s="59">
        <f>VLOOKUP($A17,'3 Investigación'!$A$8:$U$25,21,FALSE)</f>
        <v>25050</v>
      </c>
      <c r="L17" s="4"/>
      <c r="M17" s="61">
        <f t="shared" si="0"/>
        <v>1127101</v>
      </c>
      <c r="N17" s="4"/>
    </row>
    <row r="18" spans="1:14" s="2" customFormat="1" ht="12" x14ac:dyDescent="0.15">
      <c r="A18" s="47" t="s">
        <v>54</v>
      </c>
      <c r="B18" s="62" t="str">
        <f>+'1 AFD'!C17</f>
        <v>Sí</v>
      </c>
      <c r="C18" s="56">
        <f>VLOOKUP($A18,'1 AFD'!A17:I34,9,FALSE)</f>
        <v>554370</v>
      </c>
      <c r="D18" s="57">
        <f>VLOOKUP($A18,'2 Gratuidad'!$A$8:$J$25,5,FALSE)</f>
        <v>85609.074683690676</v>
      </c>
      <c r="E18" s="58">
        <f>VLOOKUP($A18,'2 Gratuidad'!$A$8:$J$25,9,FALSE)</f>
        <v>123129.0315135821</v>
      </c>
      <c r="F18" s="59">
        <f>VLOOKUP($A18,'2 Gratuidad'!$A$8:$J$25,10,FALSE)</f>
        <v>208738</v>
      </c>
      <c r="G18" s="57">
        <f>VLOOKUP($A18,'3 Investigación'!$A$8:$U$25,5,FALSE)</f>
        <v>9401.8929116065283</v>
      </c>
      <c r="H18" s="60">
        <f>VLOOKUP($A18,'3 Investigación'!$A$8:$U$25,12,FALSE)</f>
        <v>26256.061406250014</v>
      </c>
      <c r="I18" s="60">
        <f>VLOOKUP($A18,'3 Investigación'!$A$8:$U$25,15,FALSE)</f>
        <v>14883.742437759343</v>
      </c>
      <c r="J18" s="58">
        <f>VLOOKUP($A18,'3 Investigación'!$A$8:$U$25,20,FALSE)</f>
        <v>17264.259554794528</v>
      </c>
      <c r="K18" s="59">
        <f>VLOOKUP($A18,'3 Investigación'!$A$8:$U$25,21,FALSE)</f>
        <v>67806</v>
      </c>
      <c r="L18" s="4"/>
      <c r="M18" s="61">
        <f t="shared" si="0"/>
        <v>830914</v>
      </c>
      <c r="N18" s="4"/>
    </row>
    <row r="19" spans="1:14" s="2" customFormat="1" ht="12" x14ac:dyDescent="0.15">
      <c r="A19" s="47" t="s">
        <v>55</v>
      </c>
      <c r="B19" s="62" t="str">
        <f>+'1 AFD'!C18</f>
        <v>Sí</v>
      </c>
      <c r="C19" s="56">
        <f>VLOOKUP($A19,'1 AFD'!A18:I35,9,FALSE)</f>
        <v>557971</v>
      </c>
      <c r="D19" s="57">
        <f>VLOOKUP($A19,'2 Gratuidad'!$A$8:$J$25,5,FALSE)</f>
        <v>41743.454401409297</v>
      </c>
      <c r="E19" s="58">
        <f>VLOOKUP($A19,'2 Gratuidad'!$A$8:$J$25,9,FALSE)</f>
        <v>94648.90807636836</v>
      </c>
      <c r="F19" s="59">
        <f>VLOOKUP($A19,'2 Gratuidad'!$A$8:$J$25,10,FALSE)</f>
        <v>136392</v>
      </c>
      <c r="G19" s="57">
        <f>VLOOKUP($A19,'3 Investigación'!$A$8:$U$25,5,FALSE)</f>
        <v>5466.2168090735622</v>
      </c>
      <c r="H19" s="60">
        <f>VLOOKUP($A19,'3 Investigación'!$A$8:$U$25,12,FALSE)</f>
        <v>0</v>
      </c>
      <c r="I19" s="60">
        <f>VLOOKUP($A19,'3 Investigación'!$A$8:$U$25,15,FALSE)</f>
        <v>8045.2661825726191</v>
      </c>
      <c r="J19" s="58">
        <f>VLOOKUP($A19,'3 Investigación'!$A$8:$U$25,20,FALSE)</f>
        <v>0</v>
      </c>
      <c r="K19" s="59">
        <f>VLOOKUP($A19,'3 Investigación'!$A$8:$U$25,21,FALSE)</f>
        <v>13511</v>
      </c>
      <c r="L19" s="4"/>
      <c r="M19" s="61">
        <f t="shared" si="0"/>
        <v>707874</v>
      </c>
      <c r="N19" s="4"/>
    </row>
    <row r="20" spans="1:14" s="2" customFormat="1" ht="12" x14ac:dyDescent="0.15">
      <c r="A20" s="47" t="s">
        <v>56</v>
      </c>
      <c r="B20" s="62" t="str">
        <f>+'1 AFD'!C19</f>
        <v>Sí</v>
      </c>
      <c r="C20" s="56">
        <f>VLOOKUP($A20,'1 AFD'!A19:I36,9,FALSE)</f>
        <v>786871</v>
      </c>
      <c r="D20" s="57">
        <f>VLOOKUP($A20,'2 Gratuidad'!$A$8:$J$25,5,FALSE)</f>
        <v>102044.57214406168</v>
      </c>
      <c r="E20" s="58">
        <f>VLOOKUP($A20,'2 Gratuidad'!$A$8:$J$25,9,FALSE)</f>
        <v>139537.60462298497</v>
      </c>
      <c r="F20" s="59">
        <f>VLOOKUP($A20,'2 Gratuidad'!$A$8:$J$25,10,FALSE)</f>
        <v>241582</v>
      </c>
      <c r="G20" s="57">
        <f>VLOOKUP($A20,'3 Investigación'!$A$8:$U$25,5,FALSE)</f>
        <v>7506.9377511276934</v>
      </c>
      <c r="H20" s="60">
        <f>VLOOKUP($A20,'3 Investigación'!$A$8:$U$25,12,FALSE)</f>
        <v>0</v>
      </c>
      <c r="I20" s="60">
        <f>VLOOKUP($A20,'3 Investigación'!$A$8:$U$25,15,FALSE)</f>
        <v>14749.6546680498</v>
      </c>
      <c r="J20" s="58">
        <f>VLOOKUP($A20,'3 Investigación'!$A$8:$U$25,20,FALSE)</f>
        <v>5754.7531849315092</v>
      </c>
      <c r="K20" s="59">
        <f>VLOOKUP($A20,'3 Investigación'!$A$8:$U$25,21,FALSE)</f>
        <v>28011</v>
      </c>
      <c r="L20" s="4"/>
      <c r="M20" s="61">
        <f t="shared" si="0"/>
        <v>1056464</v>
      </c>
      <c r="N20" s="4"/>
    </row>
    <row r="21" spans="1:14" s="2" customFormat="1" ht="12" x14ac:dyDescent="0.15">
      <c r="A21" s="47" t="s">
        <v>57</v>
      </c>
      <c r="B21" s="62" t="str">
        <f>+'1 AFD'!C20</f>
        <v>No</v>
      </c>
      <c r="C21" s="56" t="str">
        <f>VLOOKUP($A21,'1 AFD'!A20:I37,9,FALSE)</f>
        <v/>
      </c>
      <c r="D21" s="57" t="str">
        <f>VLOOKUP($A21,'2 Gratuidad'!$A$8:$J$25,5,FALSE)</f>
        <v/>
      </c>
      <c r="E21" s="58" t="str">
        <f>VLOOKUP($A21,'2 Gratuidad'!$A$8:$J$25,9,FALSE)</f>
        <v/>
      </c>
      <c r="F21" s="59" t="str">
        <f>VLOOKUP($A21,'2 Gratuidad'!$A$8:$J$25,10,FALSE)</f>
        <v/>
      </c>
      <c r="G21" s="57" t="str">
        <f>VLOOKUP($A21,'3 Investigación'!$A$8:$U$25,5,FALSE)</f>
        <v/>
      </c>
      <c r="H21" s="60">
        <f>VLOOKUP($A21,'3 Investigación'!$A$8:$U$25,12,FALSE)</f>
        <v>0</v>
      </c>
      <c r="I21" s="60" t="str">
        <f>VLOOKUP($A21,'3 Investigación'!$A$8:$U$25,15,FALSE)</f>
        <v/>
      </c>
      <c r="J21" s="58" t="str">
        <f>VLOOKUP($A21,'3 Investigación'!$A$8:$U$25,20,FALSE)</f>
        <v/>
      </c>
      <c r="K21" s="59" t="str">
        <f>VLOOKUP($A21,'3 Investigación'!$A$8:$U$25,21,FALSE)</f>
        <v/>
      </c>
      <c r="L21" s="4"/>
      <c r="M21" s="61" t="str">
        <f t="shared" si="0"/>
        <v/>
      </c>
      <c r="N21" s="4"/>
    </row>
    <row r="22" spans="1:14" s="2" customFormat="1" ht="12" x14ac:dyDescent="0.15">
      <c r="A22" s="47" t="s">
        <v>58</v>
      </c>
      <c r="B22" s="62" t="str">
        <f>+'1 AFD'!C21</f>
        <v>No</v>
      </c>
      <c r="C22" s="56" t="str">
        <f>VLOOKUP($A22,'1 AFD'!A21:I38,9,FALSE)</f>
        <v/>
      </c>
      <c r="D22" s="57" t="str">
        <f>VLOOKUP($A22,'2 Gratuidad'!$A$8:$J$25,5,FALSE)</f>
        <v/>
      </c>
      <c r="E22" s="58" t="str">
        <f>VLOOKUP($A22,'2 Gratuidad'!$A$8:$J$25,9,FALSE)</f>
        <v/>
      </c>
      <c r="F22" s="59" t="str">
        <f>VLOOKUP($A22,'2 Gratuidad'!$A$8:$J$25,10,FALSE)</f>
        <v/>
      </c>
      <c r="G22" s="57" t="str">
        <f>VLOOKUP($A22,'3 Investigación'!$A$8:$U$25,5,FALSE)</f>
        <v/>
      </c>
      <c r="H22" s="60">
        <f>VLOOKUP($A22,'3 Investigación'!$A$8:$U$25,12,FALSE)</f>
        <v>0</v>
      </c>
      <c r="I22" s="60" t="str">
        <f>VLOOKUP($A22,'3 Investigación'!$A$8:$U$25,15,FALSE)</f>
        <v/>
      </c>
      <c r="J22" s="58" t="str">
        <f>VLOOKUP($A22,'3 Investigación'!$A$8:$U$25,20,FALSE)</f>
        <v/>
      </c>
      <c r="K22" s="59" t="str">
        <f>VLOOKUP($A22,'3 Investigación'!$A$8:$U$25,21,FALSE)</f>
        <v/>
      </c>
      <c r="L22" s="4"/>
      <c r="M22" s="61" t="str">
        <f t="shared" si="0"/>
        <v/>
      </c>
      <c r="N22" s="4"/>
    </row>
    <row r="23" spans="1:14" s="2" customFormat="1" ht="12" x14ac:dyDescent="0.15">
      <c r="A23" s="47" t="s">
        <v>59</v>
      </c>
      <c r="B23" s="62" t="str">
        <f>+'1 AFD'!C22</f>
        <v>Sí</v>
      </c>
      <c r="C23" s="56">
        <f>VLOOKUP($A23,'1 AFD'!A22:I39,9,FALSE)</f>
        <v>0</v>
      </c>
      <c r="D23" s="57">
        <f>VLOOKUP($A23,'2 Gratuidad'!$A$8:$J$25,5,FALSE)</f>
        <v>210275.03206853769</v>
      </c>
      <c r="E23" s="58">
        <f>VLOOKUP($A23,'2 Gratuidad'!$A$8:$J$25,9,FALSE)</f>
        <v>103928.72055580017</v>
      </c>
      <c r="F23" s="59">
        <f>VLOOKUP($A23,'2 Gratuidad'!$A$8:$J$25,10,FALSE)</f>
        <v>314204</v>
      </c>
      <c r="G23" s="57">
        <f>VLOOKUP($A23,'3 Investigación'!$A$8:$U$25,5,FALSE)</f>
        <v>45478.923851492043</v>
      </c>
      <c r="H23" s="60">
        <f>VLOOKUP($A23,'3 Investigación'!$A$8:$U$25,12,FALSE)</f>
        <v>52512.122812500027</v>
      </c>
      <c r="I23" s="60">
        <f>VLOOKUP($A23,'3 Investigación'!$A$8:$U$25,15,FALSE)</f>
        <v>54305.546732365176</v>
      </c>
      <c r="J23" s="58">
        <f>VLOOKUP($A23,'3 Investigación'!$A$8:$U$25,20,FALSE)</f>
        <v>57547.531849315092</v>
      </c>
      <c r="K23" s="59">
        <f>VLOOKUP($A23,'3 Investigación'!$A$8:$U$25,21,FALSE)</f>
        <v>209844</v>
      </c>
      <c r="L23" s="4"/>
      <c r="M23" s="61">
        <f t="shared" si="0"/>
        <v>524048</v>
      </c>
      <c r="N23" s="4"/>
    </row>
    <row r="24" spans="1:14" s="2" customFormat="1" ht="12" x14ac:dyDescent="0.15">
      <c r="A24" s="47" t="s">
        <v>60</v>
      </c>
      <c r="B24" s="62" t="str">
        <f>+'1 AFD'!C23</f>
        <v>Sí</v>
      </c>
      <c r="C24" s="56">
        <f>VLOOKUP($A24,'1 AFD'!A23:I40,9,FALSE)</f>
        <v>0</v>
      </c>
      <c r="D24" s="57">
        <f>VLOOKUP($A24,'2 Gratuidad'!$A$8:$J$25,5,FALSE)</f>
        <v>108636.83211443026</v>
      </c>
      <c r="E24" s="58">
        <f>VLOOKUP($A24,'2 Gratuidad'!$A$8:$J$25,9,FALSE)</f>
        <v>136745.7121790635</v>
      </c>
      <c r="F24" s="59">
        <f>VLOOKUP($A24,'2 Gratuidad'!$A$8:$J$25,10,FALSE)</f>
        <v>245383</v>
      </c>
      <c r="G24" s="57">
        <f>VLOOKUP($A24,'3 Investigación'!$A$8:$U$25,5,FALSE)</f>
        <v>14795.226829892445</v>
      </c>
      <c r="H24" s="60">
        <f>VLOOKUP($A24,'3 Investigación'!$A$8:$U$25,12,FALSE)</f>
        <v>26256.061406250014</v>
      </c>
      <c r="I24" s="60">
        <f>VLOOKUP($A24,'3 Investigación'!$A$8:$U$25,15,FALSE)</f>
        <v>16626.88344398341</v>
      </c>
      <c r="J24" s="58">
        <f>VLOOKUP($A24,'3 Investigación'!$A$8:$U$25,20,FALSE)</f>
        <v>5754.7531849315092</v>
      </c>
      <c r="K24" s="59">
        <f>VLOOKUP($A24,'3 Investigación'!$A$8:$U$25,21,FALSE)</f>
        <v>63433</v>
      </c>
      <c r="L24" s="4"/>
      <c r="M24" s="61">
        <f t="shared" si="0"/>
        <v>308816</v>
      </c>
      <c r="N24" s="4"/>
    </row>
    <row r="25" spans="1:14" s="2" customFormat="1" ht="12" x14ac:dyDescent="0.15">
      <c r="A25" s="47" t="s">
        <v>61</v>
      </c>
      <c r="B25" s="62" t="str">
        <f>+'1 AFD'!C24</f>
        <v>Sí</v>
      </c>
      <c r="C25" s="56">
        <f>VLOOKUP($A25,'1 AFD'!A24:I41,9,FALSE)</f>
        <v>580190</v>
      </c>
      <c r="D25" s="57">
        <f>VLOOKUP($A25,'2 Gratuidad'!$A$8:$J$25,5,FALSE)</f>
        <v>110555.81190032522</v>
      </c>
      <c r="E25" s="58">
        <f>VLOOKUP($A25,'2 Gratuidad'!$A$8:$J$25,9,FALSE)</f>
        <v>140254.36133235012</v>
      </c>
      <c r="F25" s="59">
        <f>VLOOKUP($A25,'2 Gratuidad'!$A$8:$J$25,10,FALSE)</f>
        <v>250810</v>
      </c>
      <c r="G25" s="57">
        <f>VLOOKUP($A25,'3 Investigación'!$A$8:$U$25,5,FALSE)</f>
        <v>2623.78406835531</v>
      </c>
      <c r="H25" s="60">
        <f>VLOOKUP($A25,'3 Investigación'!$A$8:$U$25,12,FALSE)</f>
        <v>0</v>
      </c>
      <c r="I25" s="60">
        <f>VLOOKUP($A25,'3 Investigación'!$A$8:$U$25,15,FALSE)</f>
        <v>6302.1251763485516</v>
      </c>
      <c r="J25" s="58">
        <f>VLOOKUP($A25,'3 Investigación'!$A$8:$U$25,20,FALSE)</f>
        <v>0</v>
      </c>
      <c r="K25" s="59">
        <f>VLOOKUP($A25,'3 Investigación'!$A$8:$U$25,21,FALSE)</f>
        <v>8926</v>
      </c>
      <c r="L25" s="4"/>
      <c r="M25" s="61">
        <f t="shared" si="0"/>
        <v>839926</v>
      </c>
      <c r="N25" s="4"/>
    </row>
    <row r="26" spans="1:14" s="2" customFormat="1" ht="12" x14ac:dyDescent="0.15">
      <c r="A26" s="50" t="s">
        <v>62</v>
      </c>
      <c r="B26" s="63" t="str">
        <f>+'1 AFD'!C25</f>
        <v>Sí</v>
      </c>
      <c r="C26" s="64">
        <f>VLOOKUP($A26,'1 AFD'!A25:I42,9,FALSE)</f>
        <v>593899</v>
      </c>
      <c r="D26" s="65">
        <f>VLOOKUP($A26,'2 Gratuidad'!$A$8:$J$25,5,FALSE)</f>
        <v>170969.81080685375</v>
      </c>
      <c r="E26" s="66">
        <f>VLOOKUP($A26,'2 Gratuidad'!$A$8:$J$25,9,FALSE)</f>
        <v>122012.01514541541</v>
      </c>
      <c r="F26" s="67">
        <f>VLOOKUP($A26,'2 Gratuidad'!$A$8:$J$25,10,FALSE)</f>
        <v>292982</v>
      </c>
      <c r="G26" s="65">
        <f>VLOOKUP($A26,'3 Investigación'!$A$8:$U$25,5,FALSE)</f>
        <v>29080.273424271352</v>
      </c>
      <c r="H26" s="68">
        <f>VLOOKUP($A26,'3 Investigación'!$A$8:$U$25,12,FALSE)</f>
        <v>52512.122812500027</v>
      </c>
      <c r="I26" s="68">
        <f>VLOOKUP($A26,'3 Investigación'!$A$8:$U$25,15,FALSE)</f>
        <v>28962.958257261427</v>
      </c>
      <c r="J26" s="66">
        <f>VLOOKUP($A26,'3 Investigación'!$A$8:$U$25,20,FALSE)</f>
        <v>28773.765924657546</v>
      </c>
      <c r="K26" s="69">
        <f>VLOOKUP($A26,'3 Investigación'!$A$8:$U$25,21,FALSE)</f>
        <v>139329</v>
      </c>
      <c r="L26" s="4"/>
      <c r="M26" s="70">
        <f t="shared" si="0"/>
        <v>1026210</v>
      </c>
      <c r="N26" s="4"/>
    </row>
    <row r="27" spans="1:14" s="2" customFormat="1" ht="12" x14ac:dyDescent="0.15">
      <c r="A27" s="4"/>
      <c r="B27" s="4"/>
      <c r="C27" s="71">
        <f>SUM(C9:C26)</f>
        <v>7497115</v>
      </c>
      <c r="D27" s="71">
        <f>SUM(D9:D26)</f>
        <v>1874278.8449999997</v>
      </c>
      <c r="E27" s="72">
        <f t="shared" ref="E27:M27" si="1">SUM(E9:E26)</f>
        <v>1874278.8449999997</v>
      </c>
      <c r="F27" s="73">
        <f t="shared" si="1"/>
        <v>3748557</v>
      </c>
      <c r="G27" s="71">
        <f t="shared" si="1"/>
        <v>420096.98250000027</v>
      </c>
      <c r="H27" s="74">
        <f t="shared" si="1"/>
        <v>420096.98250000022</v>
      </c>
      <c r="I27" s="74">
        <f t="shared" si="1"/>
        <v>420096.98250000022</v>
      </c>
      <c r="J27" s="72">
        <f t="shared" si="1"/>
        <v>420096.98250000022</v>
      </c>
      <c r="K27" s="73">
        <f t="shared" si="1"/>
        <v>1680387</v>
      </c>
      <c r="L27" s="4"/>
      <c r="M27" s="9">
        <f t="shared" si="1"/>
        <v>12926059</v>
      </c>
      <c r="N27" s="4"/>
    </row>
    <row r="28" spans="1:14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</sheetData>
  <mergeCells count="14">
    <mergeCell ref="M6:M8"/>
    <mergeCell ref="J7:J8"/>
    <mergeCell ref="A6:A8"/>
    <mergeCell ref="B6:B8"/>
    <mergeCell ref="F7:F8"/>
    <mergeCell ref="G6:K6"/>
    <mergeCell ref="C7:C8"/>
    <mergeCell ref="H7:H8"/>
    <mergeCell ref="I7:I8"/>
    <mergeCell ref="K7:K8"/>
    <mergeCell ref="D7:D8"/>
    <mergeCell ref="D6:F6"/>
    <mergeCell ref="E7:E8"/>
    <mergeCell ref="G7:G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K28"/>
  <sheetViews>
    <sheetView workbookViewId="0">
      <selection activeCell="J19" sqref="J19"/>
    </sheetView>
  </sheetViews>
  <sheetFormatPr baseColWidth="10" defaultColWidth="0" defaultRowHeight="12" zeroHeight="1" x14ac:dyDescent="0.15"/>
  <cols>
    <col min="1" max="1" width="16.5" style="2" customWidth="1"/>
    <col min="2" max="8" width="6.6640625" style="2" customWidth="1"/>
    <col min="9" max="10" width="11.5" style="2" customWidth="1"/>
    <col min="11" max="11" width="5.6640625" style="2" customWidth="1"/>
    <col min="12" max="16384" width="11.5" style="2" hidden="1"/>
  </cols>
  <sheetData>
    <row r="1" spans="1:11" x14ac:dyDescent="0.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15">
      <c r="A3" s="3" t="s">
        <v>14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15">
      <c r="A4" s="4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4"/>
      <c r="K4" s="4"/>
    </row>
    <row r="5" spans="1:11" x14ac:dyDescent="0.15">
      <c r="A5" s="4" t="s">
        <v>9</v>
      </c>
      <c r="B5" s="7" t="s">
        <v>10</v>
      </c>
      <c r="C5" s="7" t="s">
        <v>11</v>
      </c>
      <c r="D5" s="7">
        <v>29</v>
      </c>
      <c r="E5" s="7">
        <v>24</v>
      </c>
      <c r="F5" s="7" t="s">
        <v>12</v>
      </c>
      <c r="G5" s="7">
        <v>221</v>
      </c>
      <c r="H5" s="7" t="s">
        <v>15</v>
      </c>
      <c r="I5" s="8">
        <v>8822061</v>
      </c>
      <c r="J5" s="4"/>
      <c r="K5" s="4"/>
    </row>
    <row r="6" spans="1:11" x14ac:dyDescent="0.15">
      <c r="A6" s="4" t="s">
        <v>13</v>
      </c>
      <c r="B6" s="7" t="s">
        <v>10</v>
      </c>
      <c r="C6" s="7" t="s">
        <v>11</v>
      </c>
      <c r="D6" s="7">
        <v>29</v>
      </c>
      <c r="E6" s="7">
        <v>33</v>
      </c>
      <c r="F6" s="7" t="s">
        <v>12</v>
      </c>
      <c r="G6" s="7">
        <v>417</v>
      </c>
      <c r="H6" s="7" t="s">
        <v>15</v>
      </c>
      <c r="I6" s="8">
        <v>4104000</v>
      </c>
      <c r="J6" s="4"/>
      <c r="K6" s="4"/>
    </row>
    <row r="7" spans="1:11" x14ac:dyDescent="0.15">
      <c r="A7" s="4"/>
      <c r="B7" s="4"/>
      <c r="C7" s="4"/>
      <c r="D7" s="4"/>
      <c r="E7" s="4"/>
      <c r="F7" s="4"/>
      <c r="G7" s="4"/>
      <c r="H7" s="13" t="s">
        <v>63</v>
      </c>
      <c r="I7" s="9">
        <f>+I5+I6</f>
        <v>12926061</v>
      </c>
      <c r="J7" s="4"/>
      <c r="K7" s="4"/>
    </row>
    <row r="8" spans="1:11" ht="3" customHeight="1" x14ac:dyDescent="0.15">
      <c r="A8" s="4"/>
      <c r="B8" s="4"/>
      <c r="C8" s="4"/>
      <c r="D8" s="4"/>
      <c r="E8" s="4"/>
      <c r="F8" s="4"/>
      <c r="G8" s="4"/>
      <c r="H8" s="12"/>
      <c r="I8" s="14"/>
      <c r="J8" s="4"/>
      <c r="K8" s="4"/>
    </row>
    <row r="9" spans="1:11" x14ac:dyDescent="0.15">
      <c r="A9" s="4"/>
      <c r="B9" s="4"/>
      <c r="C9" s="4"/>
      <c r="D9" s="4"/>
      <c r="E9" s="10"/>
      <c r="F9" s="10"/>
      <c r="G9" s="17"/>
      <c r="H9" s="18" t="s">
        <v>18</v>
      </c>
      <c r="I9" s="16">
        <f>+$I$7*J9</f>
        <v>7497115.3799999999</v>
      </c>
      <c r="J9" s="103">
        <v>0.57999999999999996</v>
      </c>
      <c r="K9" s="4"/>
    </row>
    <row r="10" spans="1:11" ht="3" customHeight="1" x14ac:dyDescent="0.15">
      <c r="A10" s="4"/>
      <c r="B10" s="4"/>
      <c r="C10" s="4"/>
      <c r="D10" s="4"/>
      <c r="E10" s="4"/>
      <c r="F10" s="4"/>
      <c r="G10" s="4"/>
      <c r="H10" s="12"/>
      <c r="I10" s="14"/>
      <c r="J10" s="4"/>
      <c r="K10" s="4"/>
    </row>
    <row r="11" spans="1:11" x14ac:dyDescent="0.15">
      <c r="A11" s="4"/>
      <c r="B11" s="4"/>
      <c r="C11" s="4"/>
      <c r="D11" s="4"/>
      <c r="E11" s="10"/>
      <c r="F11" s="10"/>
      <c r="G11" s="17"/>
      <c r="H11" s="18" t="s">
        <v>16</v>
      </c>
      <c r="I11" s="16">
        <f>+$I$7*J11</f>
        <v>3748557.69</v>
      </c>
      <c r="J11" s="103">
        <v>0.28999999999999998</v>
      </c>
      <c r="K11" s="4"/>
    </row>
    <row r="12" spans="1:11" ht="3" customHeight="1" x14ac:dyDescent="0.15">
      <c r="A12" s="4"/>
      <c r="B12" s="4"/>
      <c r="C12" s="4"/>
      <c r="D12" s="4"/>
      <c r="E12" s="4"/>
      <c r="F12" s="4"/>
      <c r="G12" s="4"/>
      <c r="H12" s="12"/>
      <c r="I12" s="14"/>
      <c r="J12" s="4"/>
      <c r="K12" s="4"/>
    </row>
    <row r="13" spans="1:11" x14ac:dyDescent="0.15">
      <c r="A13" s="4"/>
      <c r="B13" s="4"/>
      <c r="C13" s="4"/>
      <c r="D13" s="4"/>
      <c r="E13" s="10"/>
      <c r="F13" s="10"/>
      <c r="G13" s="10"/>
      <c r="H13" s="28" t="s">
        <v>74</v>
      </c>
      <c r="I13" s="29">
        <f>+$I$11/2</f>
        <v>1874278.845</v>
      </c>
      <c r="J13" s="4"/>
      <c r="K13" s="4"/>
    </row>
    <row r="14" spans="1:11" x14ac:dyDescent="0.15">
      <c r="A14" s="4"/>
      <c r="B14" s="4"/>
      <c r="C14" s="4"/>
      <c r="D14" s="4"/>
      <c r="E14" s="10"/>
      <c r="F14" s="10"/>
      <c r="G14" s="10"/>
      <c r="H14" s="28" t="s">
        <v>75</v>
      </c>
      <c r="I14" s="30">
        <f>+$I$11/2</f>
        <v>1874278.845</v>
      </c>
      <c r="J14" s="4"/>
      <c r="K14" s="4"/>
    </row>
    <row r="15" spans="1:11" ht="3" customHeight="1" x14ac:dyDescent="0.15">
      <c r="A15" s="4"/>
      <c r="B15" s="4"/>
      <c r="C15" s="4"/>
      <c r="D15" s="4"/>
      <c r="E15" s="4"/>
      <c r="F15" s="4"/>
      <c r="G15" s="4"/>
      <c r="H15" s="12"/>
      <c r="I15" s="14"/>
      <c r="J15" s="4"/>
      <c r="K15" s="4"/>
    </row>
    <row r="16" spans="1:11" x14ac:dyDescent="0.15">
      <c r="A16" s="4"/>
      <c r="B16" s="4"/>
      <c r="C16" s="4"/>
      <c r="D16" s="4"/>
      <c r="E16" s="10"/>
      <c r="F16" s="10"/>
      <c r="G16" s="17"/>
      <c r="H16" s="18" t="s">
        <v>17</v>
      </c>
      <c r="I16" s="16">
        <f>+$I$7*J16</f>
        <v>1680387.9300000009</v>
      </c>
      <c r="J16" s="15">
        <f>1-J9-J11</f>
        <v>0.13000000000000006</v>
      </c>
      <c r="K16" s="4"/>
    </row>
    <row r="17" spans="1:11" ht="3" customHeight="1" x14ac:dyDescent="0.15">
      <c r="A17" s="4"/>
      <c r="B17" s="4"/>
      <c r="C17" s="4"/>
      <c r="D17" s="4"/>
      <c r="E17" s="4"/>
      <c r="F17" s="4"/>
      <c r="G17" s="4"/>
      <c r="H17" s="12"/>
      <c r="I17" s="14"/>
      <c r="J17" s="4"/>
      <c r="K17" s="4"/>
    </row>
    <row r="18" spans="1:11" x14ac:dyDescent="0.15">
      <c r="A18" s="4"/>
      <c r="B18" s="4"/>
      <c r="C18" s="4"/>
      <c r="D18" s="4"/>
      <c r="E18" s="10"/>
      <c r="F18" s="10"/>
      <c r="G18" s="17"/>
      <c r="H18" s="28" t="s">
        <v>70</v>
      </c>
      <c r="I18" s="29">
        <f>+$I$16/4</f>
        <v>420096.98250000022</v>
      </c>
      <c r="J18" s="4"/>
      <c r="K18" s="4"/>
    </row>
    <row r="19" spans="1:11" x14ac:dyDescent="0.15">
      <c r="A19" s="4"/>
      <c r="B19" s="4"/>
      <c r="C19" s="4"/>
      <c r="D19" s="4"/>
      <c r="E19" s="10"/>
      <c r="F19" s="10"/>
      <c r="G19" s="17"/>
      <c r="H19" s="28" t="s">
        <v>71</v>
      </c>
      <c r="I19" s="31">
        <f t="shared" ref="I19:I21" si="0">+$I$16/4</f>
        <v>420096.98250000022</v>
      </c>
      <c r="J19" s="4"/>
      <c r="K19" s="4"/>
    </row>
    <row r="20" spans="1:11" x14ac:dyDescent="0.15">
      <c r="A20" s="4"/>
      <c r="B20" s="4"/>
      <c r="C20" s="4"/>
      <c r="D20" s="4"/>
      <c r="E20" s="10"/>
      <c r="F20" s="10"/>
      <c r="G20" s="17"/>
      <c r="H20" s="28" t="s">
        <v>72</v>
      </c>
      <c r="I20" s="32">
        <f t="shared" si="0"/>
        <v>420096.98250000022</v>
      </c>
      <c r="J20" s="4"/>
      <c r="K20" s="4"/>
    </row>
    <row r="21" spans="1:11" x14ac:dyDescent="0.15">
      <c r="A21" s="4"/>
      <c r="B21" s="4"/>
      <c r="C21" s="4"/>
      <c r="D21" s="4"/>
      <c r="E21" s="10"/>
      <c r="F21" s="10"/>
      <c r="G21" s="17"/>
      <c r="H21" s="28" t="s">
        <v>73</v>
      </c>
      <c r="I21" s="31">
        <f t="shared" si="0"/>
        <v>420096.98250000022</v>
      </c>
      <c r="J21" s="4"/>
      <c r="K21" s="4"/>
    </row>
    <row r="22" spans="1:1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idden="1" x14ac:dyDescent="0.15"/>
    <row r="24" spans="1:11" hidden="1" x14ac:dyDescent="0.15"/>
    <row r="25" spans="1:11" x14ac:dyDescent="0.15"/>
    <row r="26" spans="1:11" x14ac:dyDescent="0.15"/>
    <row r="27" spans="1:11" x14ac:dyDescent="0.15"/>
    <row r="28" spans="1:11" x14ac:dyDescent="0.15"/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-0.499984740745262"/>
  </sheetPr>
  <dimension ref="A1:T46"/>
  <sheetViews>
    <sheetView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A3" sqref="A3"/>
    </sheetView>
  </sheetViews>
  <sheetFormatPr baseColWidth="10" defaultColWidth="0" defaultRowHeight="12" zeroHeight="1" x14ac:dyDescent="0.15"/>
  <cols>
    <col min="1" max="3" width="8.6640625" style="2" customWidth="1"/>
    <col min="4" max="9" width="12.6640625" style="2" customWidth="1"/>
    <col min="10" max="10" width="5.6640625" style="2" customWidth="1"/>
    <col min="11" max="20" width="12.6640625" style="2" hidden="1" customWidth="1"/>
    <col min="21" max="16384" width="11.5" style="2" hidden="1"/>
  </cols>
  <sheetData>
    <row r="1" spans="1:10" ht="12" customHeight="1" x14ac:dyDescent="0.15">
      <c r="A1" s="3" t="s">
        <v>14</v>
      </c>
      <c r="B1" s="3"/>
      <c r="C1" s="4"/>
      <c r="D1" s="4"/>
      <c r="E1" s="4"/>
      <c r="F1" s="4"/>
      <c r="G1" s="11"/>
      <c r="H1" s="7"/>
      <c r="I1" s="7"/>
      <c r="J1" s="4"/>
    </row>
    <row r="2" spans="1:10" ht="12" customHeight="1" x14ac:dyDescent="0.15">
      <c r="A2" s="3" t="s">
        <v>94</v>
      </c>
      <c r="B2" s="3"/>
      <c r="C2" s="4"/>
      <c r="D2" s="4"/>
      <c r="E2" s="4"/>
      <c r="F2" s="4"/>
      <c r="G2" s="11"/>
      <c r="H2" s="7"/>
      <c r="I2" s="7"/>
      <c r="J2" s="4"/>
    </row>
    <row r="3" spans="1:10" ht="12" customHeight="1" x14ac:dyDescent="0.15">
      <c r="A3" s="4"/>
      <c r="B3" s="4"/>
      <c r="C3" s="4"/>
      <c r="D3" s="4"/>
      <c r="E3" s="4"/>
      <c r="F3" s="4"/>
      <c r="G3" s="4"/>
      <c r="H3" s="4"/>
      <c r="I3" s="13"/>
      <c r="J3" s="4"/>
    </row>
    <row r="4" spans="1:10" ht="12" customHeight="1" x14ac:dyDescent="0.15">
      <c r="A4" s="121" t="s">
        <v>76</v>
      </c>
      <c r="B4" s="121" t="s">
        <v>64</v>
      </c>
      <c r="C4" s="121" t="s">
        <v>19</v>
      </c>
      <c r="D4" s="140" t="s">
        <v>18</v>
      </c>
      <c r="E4" s="140"/>
      <c r="F4" s="140"/>
      <c r="G4" s="140"/>
      <c r="H4" s="140"/>
      <c r="I4" s="141"/>
      <c r="J4" s="4"/>
    </row>
    <row r="5" spans="1:10" ht="12" customHeight="1" x14ac:dyDescent="0.15">
      <c r="A5" s="122"/>
      <c r="B5" s="122"/>
      <c r="C5" s="122"/>
      <c r="D5" s="142">
        <v>0.05</v>
      </c>
      <c r="E5" s="145">
        <v>0.95</v>
      </c>
      <c r="F5" s="148" t="s">
        <v>20</v>
      </c>
      <c r="G5" s="151" t="s">
        <v>21</v>
      </c>
      <c r="H5" s="152"/>
      <c r="I5" s="153" t="s">
        <v>22</v>
      </c>
      <c r="J5" s="4"/>
    </row>
    <row r="6" spans="1:10" ht="12" customHeight="1" x14ac:dyDescent="0.15">
      <c r="A6" s="122"/>
      <c r="B6" s="122"/>
      <c r="C6" s="122"/>
      <c r="D6" s="143"/>
      <c r="E6" s="146"/>
      <c r="F6" s="149"/>
      <c r="G6" s="136" t="s">
        <v>25</v>
      </c>
      <c r="H6" s="138" t="s">
        <v>26</v>
      </c>
      <c r="I6" s="154"/>
      <c r="J6" s="4"/>
    </row>
    <row r="7" spans="1:10" ht="12" customHeight="1" x14ac:dyDescent="0.15">
      <c r="A7" s="122"/>
      <c r="B7" s="122"/>
      <c r="C7" s="122"/>
      <c r="D7" s="144"/>
      <c r="E7" s="147"/>
      <c r="F7" s="150"/>
      <c r="G7" s="137"/>
      <c r="H7" s="139"/>
      <c r="I7" s="155"/>
      <c r="J7" s="4"/>
    </row>
    <row r="8" spans="1:10" ht="12" customHeight="1" x14ac:dyDescent="0.15">
      <c r="A8" s="44" t="s">
        <v>45</v>
      </c>
      <c r="B8" s="45" t="s">
        <v>65</v>
      </c>
      <c r="C8" s="46" t="str">
        <f>IF(B8&gt;=1,"Sí","No")</f>
        <v>Sí</v>
      </c>
      <c r="D8" s="42">
        <v>205620</v>
      </c>
      <c r="E8" s="33">
        <v>3871060</v>
      </c>
      <c r="F8" s="34">
        <f>IF(C8="Sí",D8+E8,"")</f>
        <v>4076680</v>
      </c>
      <c r="G8" s="35">
        <f>IF(F8&lt;AVERAGE($F$8:$F$25),AVERAGE($F$8:$F$25)-F8,0)</f>
        <v>4014757.3125</v>
      </c>
      <c r="H8" s="36">
        <f>IF(C8="Sí",(IFERROR(G8/$G$26,0)),"")</f>
        <v>8.175400820421283E-2</v>
      </c>
      <c r="I8" s="105">
        <f>IFERROR(ROUND(H8*PPTO!$I$9,0),"")</f>
        <v>612919</v>
      </c>
      <c r="J8" s="4"/>
    </row>
    <row r="9" spans="1:10" ht="12" customHeight="1" x14ac:dyDescent="0.15">
      <c r="A9" s="47" t="s">
        <v>46</v>
      </c>
      <c r="B9" s="48" t="s">
        <v>66</v>
      </c>
      <c r="C9" s="49" t="str">
        <f t="shared" ref="C9:C25" si="0">IF(B9&gt;=1,"Sí","No")</f>
        <v>Sí</v>
      </c>
      <c r="D9" s="42">
        <v>37985</v>
      </c>
      <c r="E9" s="33">
        <v>1670072</v>
      </c>
      <c r="F9" s="34">
        <f t="shared" ref="F9:F25" si="1">IF(C9="Sí",D9+E9,"")</f>
        <v>1708057</v>
      </c>
      <c r="G9" s="35">
        <f t="shared" ref="G9:G25" si="2">IF(F9&lt;AVERAGE($F$8:$F$25),AVERAGE($F$8:$F$25)-F9,0)</f>
        <v>6383380.3125</v>
      </c>
      <c r="H9" s="36">
        <f t="shared" ref="H9:H25" si="3">IF(C9="Sí",(IFERROR(G9/$G$26,0)),"")</f>
        <v>0.12998716630116</v>
      </c>
      <c r="I9" s="105">
        <f>IFERROR(ROUND(H9*PPTO!$I$9,0),"")</f>
        <v>974529</v>
      </c>
      <c r="J9" s="4"/>
    </row>
    <row r="10" spans="1:10" ht="12" customHeight="1" x14ac:dyDescent="0.15">
      <c r="A10" s="47" t="s">
        <v>47</v>
      </c>
      <c r="B10" s="48" t="s">
        <v>65</v>
      </c>
      <c r="C10" s="49" t="str">
        <f t="shared" si="0"/>
        <v>Sí</v>
      </c>
      <c r="D10" s="42">
        <v>1421717</v>
      </c>
      <c r="E10" s="33">
        <v>9863880</v>
      </c>
      <c r="F10" s="34">
        <f t="shared" si="1"/>
        <v>11285597</v>
      </c>
      <c r="G10" s="35">
        <f t="shared" si="2"/>
        <v>0</v>
      </c>
      <c r="H10" s="36">
        <f t="shared" si="3"/>
        <v>0</v>
      </c>
      <c r="I10" s="105">
        <f>IFERROR(ROUND(H10*PPTO!$I$9,0),"")</f>
        <v>0</v>
      </c>
      <c r="J10" s="4"/>
    </row>
    <row r="11" spans="1:10" ht="12" customHeight="1" x14ac:dyDescent="0.15">
      <c r="A11" s="47" t="s">
        <v>48</v>
      </c>
      <c r="B11" s="48" t="s">
        <v>67</v>
      </c>
      <c r="C11" s="49" t="str">
        <f t="shared" si="0"/>
        <v>Sí</v>
      </c>
      <c r="D11" s="42">
        <v>134161</v>
      </c>
      <c r="E11" s="33">
        <v>1987897</v>
      </c>
      <c r="F11" s="34">
        <f t="shared" si="1"/>
        <v>2122058</v>
      </c>
      <c r="G11" s="35">
        <f t="shared" si="2"/>
        <v>5969379.3125</v>
      </c>
      <c r="H11" s="36">
        <f t="shared" si="3"/>
        <v>0.12155670873771734</v>
      </c>
      <c r="I11" s="105">
        <f>IFERROR(ROUND(H11*PPTO!$I$9,0),"")</f>
        <v>911325</v>
      </c>
      <c r="J11" s="4"/>
    </row>
    <row r="12" spans="1:10" ht="12" customHeight="1" x14ac:dyDescent="0.15">
      <c r="A12" s="47" t="s">
        <v>49</v>
      </c>
      <c r="B12" s="48" t="s">
        <v>65</v>
      </c>
      <c r="C12" s="49" t="str">
        <f t="shared" si="0"/>
        <v>Sí</v>
      </c>
      <c r="D12" s="42">
        <v>1057872</v>
      </c>
      <c r="E12" s="33">
        <v>14475328</v>
      </c>
      <c r="F12" s="34">
        <f t="shared" si="1"/>
        <v>15533200</v>
      </c>
      <c r="G12" s="35">
        <f t="shared" si="2"/>
        <v>0</v>
      </c>
      <c r="H12" s="36">
        <f t="shared" si="3"/>
        <v>0</v>
      </c>
      <c r="I12" s="105">
        <f>IFERROR(ROUND(H12*PPTO!$I$9,0),"")</f>
        <v>0</v>
      </c>
      <c r="J12" s="4"/>
    </row>
    <row r="13" spans="1:10" ht="12" customHeight="1" x14ac:dyDescent="0.15">
      <c r="A13" s="47" t="s">
        <v>50</v>
      </c>
      <c r="B13" s="48" t="s">
        <v>67</v>
      </c>
      <c r="C13" s="49" t="str">
        <f t="shared" si="0"/>
        <v>Sí</v>
      </c>
      <c r="D13" s="42">
        <v>32669</v>
      </c>
      <c r="E13" s="33">
        <v>2460716</v>
      </c>
      <c r="F13" s="34">
        <f t="shared" si="1"/>
        <v>2493385</v>
      </c>
      <c r="G13" s="35">
        <f t="shared" si="2"/>
        <v>5598052.3125</v>
      </c>
      <c r="H13" s="36">
        <f t="shared" si="3"/>
        <v>0.11399523783387781</v>
      </c>
      <c r="I13" s="105">
        <f>IFERROR(ROUND(H13*PPTO!$I$9,0),"")</f>
        <v>854635</v>
      </c>
      <c r="J13" s="4"/>
    </row>
    <row r="14" spans="1:10" ht="12" customHeight="1" x14ac:dyDescent="0.15">
      <c r="A14" s="47" t="s">
        <v>51</v>
      </c>
      <c r="B14" s="48" t="s">
        <v>65</v>
      </c>
      <c r="C14" s="49" t="str">
        <f t="shared" si="0"/>
        <v>Sí</v>
      </c>
      <c r="D14" s="42">
        <v>612535</v>
      </c>
      <c r="E14" s="33">
        <v>5849663</v>
      </c>
      <c r="F14" s="34">
        <f t="shared" si="1"/>
        <v>6462198</v>
      </c>
      <c r="G14" s="35">
        <f t="shared" si="2"/>
        <v>1629239.3125</v>
      </c>
      <c r="H14" s="36">
        <f t="shared" si="3"/>
        <v>3.3176810888678361E-2</v>
      </c>
      <c r="I14" s="105">
        <f>IFERROR(ROUND(H14*PPTO!$I$9,0),"")</f>
        <v>248730</v>
      </c>
      <c r="J14" s="4"/>
    </row>
    <row r="15" spans="1:10" ht="12" customHeight="1" x14ac:dyDescent="0.15">
      <c r="A15" s="47" t="s">
        <v>52</v>
      </c>
      <c r="B15" s="48" t="s">
        <v>68</v>
      </c>
      <c r="C15" s="49" t="str">
        <f t="shared" si="0"/>
        <v>Sí</v>
      </c>
      <c r="D15" s="42">
        <v>1379892</v>
      </c>
      <c r="E15" s="33">
        <v>38800576</v>
      </c>
      <c r="F15" s="34">
        <f t="shared" si="1"/>
        <v>40180468</v>
      </c>
      <c r="G15" s="35">
        <f t="shared" si="2"/>
        <v>0</v>
      </c>
      <c r="H15" s="36">
        <f t="shared" si="3"/>
        <v>0</v>
      </c>
      <c r="I15" s="105">
        <f>IFERROR(ROUND(H15*PPTO!$I$9,0),"")</f>
        <v>0</v>
      </c>
      <c r="J15" s="4"/>
    </row>
    <row r="16" spans="1:10" ht="12" customHeight="1" x14ac:dyDescent="0.15">
      <c r="A16" s="47" t="s">
        <v>53</v>
      </c>
      <c r="B16" s="48" t="s">
        <v>67</v>
      </c>
      <c r="C16" s="49" t="str">
        <f t="shared" si="0"/>
        <v>Sí</v>
      </c>
      <c r="D16" s="42">
        <v>56094</v>
      </c>
      <c r="E16" s="33">
        <v>2653183</v>
      </c>
      <c r="F16" s="34">
        <f t="shared" si="1"/>
        <v>2709277</v>
      </c>
      <c r="G16" s="35">
        <f t="shared" si="2"/>
        <v>5382160.3125</v>
      </c>
      <c r="H16" s="36">
        <f t="shared" si="3"/>
        <v>0.10959894810441638</v>
      </c>
      <c r="I16" s="105">
        <f>IFERROR(ROUND(H16*PPTO!$I$9,0),"")</f>
        <v>821676</v>
      </c>
      <c r="J16" s="4"/>
    </row>
    <row r="17" spans="1:10" ht="12" customHeight="1" x14ac:dyDescent="0.15">
      <c r="A17" s="47" t="s">
        <v>54</v>
      </c>
      <c r="B17" s="48" t="s">
        <v>67</v>
      </c>
      <c r="C17" s="49" t="str">
        <f t="shared" si="0"/>
        <v>Sí</v>
      </c>
      <c r="D17" s="42">
        <v>168124</v>
      </c>
      <c r="E17" s="33">
        <v>4292067</v>
      </c>
      <c r="F17" s="34">
        <f t="shared" si="1"/>
        <v>4460191</v>
      </c>
      <c r="G17" s="35">
        <f t="shared" si="2"/>
        <v>3631246.3125</v>
      </c>
      <c r="H17" s="36">
        <f t="shared" si="3"/>
        <v>7.3944429940842799E-2</v>
      </c>
      <c r="I17" s="105">
        <f>IFERROR(ROUND(H17*PPTO!$I$9,0),"")</f>
        <v>554370</v>
      </c>
      <c r="J17" s="4"/>
    </row>
    <row r="18" spans="1:10" ht="12" customHeight="1" x14ac:dyDescent="0.15">
      <c r="A18" s="47" t="s">
        <v>55</v>
      </c>
      <c r="B18" s="48" t="s">
        <v>66</v>
      </c>
      <c r="C18" s="49" t="str">
        <f t="shared" si="0"/>
        <v>Sí</v>
      </c>
      <c r="D18" s="42">
        <v>125873</v>
      </c>
      <c r="E18" s="33">
        <v>4310729</v>
      </c>
      <c r="F18" s="34">
        <f t="shared" si="1"/>
        <v>4436602</v>
      </c>
      <c r="G18" s="35">
        <f t="shared" si="2"/>
        <v>3654835.3125</v>
      </c>
      <c r="H18" s="36">
        <f t="shared" si="3"/>
        <v>7.4424781590872749E-2</v>
      </c>
      <c r="I18" s="105">
        <f>IFERROR(ROUND(H18*PPTO!$I$9,0),"")</f>
        <v>557971</v>
      </c>
      <c r="J18" s="4"/>
    </row>
    <row r="19" spans="1:10" ht="12" customHeight="1" x14ac:dyDescent="0.15">
      <c r="A19" s="47" t="s">
        <v>56</v>
      </c>
      <c r="B19" s="48" t="s">
        <v>65</v>
      </c>
      <c r="C19" s="49" t="str">
        <f t="shared" si="0"/>
        <v>Sí</v>
      </c>
      <c r="D19" s="42">
        <v>167559</v>
      </c>
      <c r="E19" s="33">
        <v>2769696</v>
      </c>
      <c r="F19" s="34">
        <f t="shared" si="1"/>
        <v>2937255</v>
      </c>
      <c r="G19" s="35">
        <f t="shared" si="2"/>
        <v>5154182.3125</v>
      </c>
      <c r="H19" s="36">
        <f t="shared" si="3"/>
        <v>0.10495654662616265</v>
      </c>
      <c r="I19" s="105">
        <f>IFERROR(ROUND(H19*PPTO!$I$9,0),"")</f>
        <v>786871</v>
      </c>
      <c r="J19" s="4"/>
    </row>
    <row r="20" spans="1:10" ht="12" customHeight="1" x14ac:dyDescent="0.15">
      <c r="A20" s="47" t="s">
        <v>57</v>
      </c>
      <c r="B20" s="48">
        <v>0</v>
      </c>
      <c r="C20" s="49" t="str">
        <f t="shared" si="0"/>
        <v>No</v>
      </c>
      <c r="D20" s="42">
        <v>0</v>
      </c>
      <c r="E20" s="33">
        <v>0</v>
      </c>
      <c r="F20" s="34" t="str">
        <f t="shared" si="1"/>
        <v/>
      </c>
      <c r="G20" s="35">
        <f t="shared" si="2"/>
        <v>0</v>
      </c>
      <c r="H20" s="36" t="str">
        <f t="shared" si="3"/>
        <v/>
      </c>
      <c r="I20" s="105" t="str">
        <f>IFERROR(ROUND(H20*PPTO!$I$9,0),"")</f>
        <v/>
      </c>
      <c r="J20" s="4"/>
    </row>
    <row r="21" spans="1:10" ht="12" customHeight="1" x14ac:dyDescent="0.15">
      <c r="A21" s="47" t="s">
        <v>58</v>
      </c>
      <c r="B21" s="48">
        <v>0</v>
      </c>
      <c r="C21" s="49" t="str">
        <f t="shared" si="0"/>
        <v>No</v>
      </c>
      <c r="D21" s="42">
        <v>0</v>
      </c>
      <c r="E21" s="33">
        <v>0</v>
      </c>
      <c r="F21" s="34" t="str">
        <f t="shared" si="1"/>
        <v/>
      </c>
      <c r="G21" s="35">
        <f t="shared" si="2"/>
        <v>0</v>
      </c>
      <c r="H21" s="36" t="str">
        <f t="shared" si="3"/>
        <v/>
      </c>
      <c r="I21" s="105" t="str">
        <f>IFERROR(ROUND(H21*PPTO!$I$9,0),"")</f>
        <v/>
      </c>
      <c r="J21" s="4"/>
    </row>
    <row r="22" spans="1:10" ht="12" customHeight="1" x14ac:dyDescent="0.15">
      <c r="A22" s="47" t="s">
        <v>59</v>
      </c>
      <c r="B22" s="48" t="s">
        <v>69</v>
      </c>
      <c r="C22" s="49" t="str">
        <f t="shared" si="0"/>
        <v>Sí</v>
      </c>
      <c r="D22" s="42">
        <v>316882</v>
      </c>
      <c r="E22" s="33">
        <v>12216151</v>
      </c>
      <c r="F22" s="34">
        <f t="shared" si="1"/>
        <v>12533033</v>
      </c>
      <c r="G22" s="35">
        <f t="shared" si="2"/>
        <v>0</v>
      </c>
      <c r="H22" s="36">
        <f t="shared" si="3"/>
        <v>0</v>
      </c>
      <c r="I22" s="105">
        <f>IFERROR(ROUND(H22*PPTO!$I$9,0),"")</f>
        <v>0</v>
      </c>
      <c r="J22" s="4"/>
    </row>
    <row r="23" spans="1:10" ht="12" customHeight="1" x14ac:dyDescent="0.15">
      <c r="A23" s="47" t="s">
        <v>60</v>
      </c>
      <c r="B23" s="48" t="s">
        <v>65</v>
      </c>
      <c r="C23" s="49" t="str">
        <f t="shared" si="0"/>
        <v>Sí</v>
      </c>
      <c r="D23" s="42">
        <v>689917</v>
      </c>
      <c r="E23" s="33">
        <v>9342745</v>
      </c>
      <c r="F23" s="34">
        <f t="shared" si="1"/>
        <v>10032662</v>
      </c>
      <c r="G23" s="35">
        <f t="shared" si="2"/>
        <v>0</v>
      </c>
      <c r="H23" s="36">
        <f t="shared" si="3"/>
        <v>0</v>
      </c>
      <c r="I23" s="105">
        <f>IFERROR(ROUND(H23*PPTO!$I$9,0),"")</f>
        <v>0</v>
      </c>
      <c r="J23" s="4"/>
    </row>
    <row r="24" spans="1:10" ht="12" customHeight="1" x14ac:dyDescent="0.15">
      <c r="A24" s="47" t="s">
        <v>61</v>
      </c>
      <c r="B24" s="48" t="s">
        <v>67</v>
      </c>
      <c r="C24" s="49" t="str">
        <f t="shared" si="0"/>
        <v>Sí</v>
      </c>
      <c r="D24" s="42">
        <v>279705</v>
      </c>
      <c r="E24" s="33">
        <v>4011360</v>
      </c>
      <c r="F24" s="34">
        <f t="shared" si="1"/>
        <v>4291065</v>
      </c>
      <c r="G24" s="35">
        <f t="shared" si="2"/>
        <v>3800372.3125</v>
      </c>
      <c r="H24" s="36">
        <f t="shared" si="3"/>
        <v>7.7388406080694652E-2</v>
      </c>
      <c r="I24" s="105">
        <f>IFERROR(ROUND(H24*PPTO!$I$9,0),"")</f>
        <v>580190</v>
      </c>
      <c r="J24" s="4"/>
    </row>
    <row r="25" spans="1:10" ht="12" customHeight="1" x14ac:dyDescent="0.15">
      <c r="A25" s="50" t="s">
        <v>62</v>
      </c>
      <c r="B25" s="51" t="s">
        <v>65</v>
      </c>
      <c r="C25" s="52" t="str">
        <f t="shared" si="0"/>
        <v>Sí</v>
      </c>
      <c r="D25" s="43">
        <v>156962</v>
      </c>
      <c r="E25" s="37">
        <v>4044307</v>
      </c>
      <c r="F25" s="38">
        <f t="shared" si="1"/>
        <v>4201269</v>
      </c>
      <c r="G25" s="39">
        <f t="shared" si="2"/>
        <v>3890168.3125</v>
      </c>
      <c r="H25" s="40">
        <f t="shared" si="3"/>
        <v>7.9216955691364416E-2</v>
      </c>
      <c r="I25" s="106">
        <f>IFERROR(ROUND(H25*PPTO!$I$9,0),"")</f>
        <v>593899</v>
      </c>
      <c r="J25" s="4"/>
    </row>
    <row r="26" spans="1:10" ht="12" customHeight="1" x14ac:dyDescent="0.15">
      <c r="A26" s="4"/>
      <c r="B26" s="4"/>
      <c r="C26" s="4"/>
      <c r="D26" s="41"/>
      <c r="E26" s="41"/>
      <c r="F26" s="41"/>
      <c r="G26" s="16">
        <f>SUMIF($C$8:$C$25,"Sí",$G$8:$G$25)</f>
        <v>49107773.4375</v>
      </c>
      <c r="H26" s="41"/>
      <c r="I26" s="41"/>
      <c r="J26" s="4"/>
    </row>
    <row r="27" spans="1:10" ht="12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idden="1" x14ac:dyDescent="0.15"/>
    <row r="29" spans="1:10" hidden="1" x14ac:dyDescent="0.15"/>
    <row r="30" spans="1:10" hidden="1" x14ac:dyDescent="0.15"/>
    <row r="31" spans="1:10" hidden="1" x14ac:dyDescent="0.15"/>
    <row r="32" spans="1:10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</sheetData>
  <mergeCells count="11">
    <mergeCell ref="C4:C7"/>
    <mergeCell ref="B4:B7"/>
    <mergeCell ref="A4:A7"/>
    <mergeCell ref="G6:G7"/>
    <mergeCell ref="H6:H7"/>
    <mergeCell ref="D4:I4"/>
    <mergeCell ref="D5:D7"/>
    <mergeCell ref="E5:E7"/>
    <mergeCell ref="F5:F7"/>
    <mergeCell ref="G5:H5"/>
    <mergeCell ref="I5:I7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W46"/>
  <sheetViews>
    <sheetView workbookViewId="0">
      <pane xSplit="2" ySplit="7" topLeftCell="C8" activePane="bottomRight" state="frozen"/>
      <selection pane="topRight" activeCell="C1" sqref="C1"/>
      <selection pane="bottomLeft" activeCell="A18" sqref="A18"/>
      <selection pane="bottomRight" activeCell="A3" sqref="A3"/>
    </sheetView>
  </sheetViews>
  <sheetFormatPr baseColWidth="10" defaultColWidth="0" defaultRowHeight="14" zeroHeight="1" x14ac:dyDescent="0.2"/>
  <cols>
    <col min="1" max="2" width="8.6640625" style="1" customWidth="1"/>
    <col min="3" max="9" width="12.6640625" style="1" customWidth="1"/>
    <col min="10" max="10" width="12.6640625" style="110" customWidth="1"/>
    <col min="11" max="11" width="5.6640625" style="1" customWidth="1"/>
    <col min="12" max="23" width="12.6640625" style="1" hidden="1" customWidth="1"/>
    <col min="24" max="16384" width="11.5" style="1" hidden="1"/>
  </cols>
  <sheetData>
    <row r="1" spans="1:11" ht="12" customHeight="1" x14ac:dyDescent="0.2">
      <c r="A1" s="19" t="s">
        <v>14</v>
      </c>
      <c r="B1" s="20"/>
      <c r="C1" s="22"/>
      <c r="D1" s="22"/>
      <c r="E1" s="20"/>
      <c r="F1" s="21"/>
      <c r="G1" s="22"/>
      <c r="H1" s="20"/>
      <c r="I1" s="20"/>
      <c r="J1" s="20"/>
      <c r="K1" s="20"/>
    </row>
    <row r="2" spans="1:11" ht="12" customHeight="1" x14ac:dyDescent="0.2">
      <c r="A2" s="19" t="s">
        <v>93</v>
      </c>
      <c r="B2" s="20"/>
      <c r="C2" s="22"/>
      <c r="D2" s="22"/>
      <c r="E2" s="20"/>
      <c r="F2" s="21"/>
      <c r="G2" s="22"/>
      <c r="H2" s="20"/>
      <c r="I2" s="20"/>
      <c r="J2" s="20"/>
      <c r="K2" s="20"/>
    </row>
    <row r="3" spans="1:11" ht="12" customHeight="1" x14ac:dyDescent="0.2">
      <c r="A3" s="53"/>
      <c r="B3" s="53"/>
      <c r="C3" s="20"/>
      <c r="D3" s="20"/>
      <c r="E3" s="20"/>
      <c r="F3" s="20"/>
      <c r="G3" s="20"/>
      <c r="H3" s="23"/>
      <c r="I3" s="20"/>
      <c r="J3" s="20"/>
      <c r="K3" s="20"/>
    </row>
    <row r="4" spans="1:11" s="2" customFormat="1" ht="12" customHeight="1" x14ac:dyDescent="0.15">
      <c r="A4" s="121" t="s">
        <v>76</v>
      </c>
      <c r="B4" s="121" t="s">
        <v>19</v>
      </c>
      <c r="C4" s="167" t="s">
        <v>16</v>
      </c>
      <c r="D4" s="168"/>
      <c r="E4" s="168"/>
      <c r="F4" s="168"/>
      <c r="G4" s="168"/>
      <c r="H4" s="168"/>
      <c r="I4" s="168"/>
      <c r="J4" s="169"/>
      <c r="K4" s="4"/>
    </row>
    <row r="5" spans="1:11" s="2" customFormat="1" ht="12" customHeight="1" x14ac:dyDescent="0.15">
      <c r="A5" s="122"/>
      <c r="B5" s="122"/>
      <c r="C5" s="172" t="s">
        <v>23</v>
      </c>
      <c r="D5" s="173"/>
      <c r="E5" s="173"/>
      <c r="F5" s="174" t="s">
        <v>24</v>
      </c>
      <c r="G5" s="173"/>
      <c r="H5" s="173"/>
      <c r="I5" s="175"/>
      <c r="J5" s="162" t="s">
        <v>22</v>
      </c>
      <c r="K5" s="4"/>
    </row>
    <row r="6" spans="1:11" s="2" customFormat="1" ht="12" customHeight="1" x14ac:dyDescent="0.15">
      <c r="A6" s="122"/>
      <c r="B6" s="122"/>
      <c r="C6" s="156" t="s">
        <v>27</v>
      </c>
      <c r="D6" s="158" t="s">
        <v>28</v>
      </c>
      <c r="E6" s="160" t="s">
        <v>22</v>
      </c>
      <c r="F6" s="170" t="s">
        <v>29</v>
      </c>
      <c r="G6" s="158" t="s">
        <v>30</v>
      </c>
      <c r="H6" s="158" t="s">
        <v>31</v>
      </c>
      <c r="I6" s="165" t="s">
        <v>22</v>
      </c>
      <c r="J6" s="163"/>
      <c r="K6" s="4"/>
    </row>
    <row r="7" spans="1:11" s="2" customFormat="1" ht="12" customHeight="1" x14ac:dyDescent="0.15">
      <c r="A7" s="122"/>
      <c r="B7" s="122"/>
      <c r="C7" s="157"/>
      <c r="D7" s="159"/>
      <c r="E7" s="161"/>
      <c r="F7" s="171"/>
      <c r="G7" s="159"/>
      <c r="H7" s="159"/>
      <c r="I7" s="166"/>
      <c r="J7" s="164"/>
      <c r="K7" s="4"/>
    </row>
    <row r="8" spans="1:11" s="2" customFormat="1" ht="12" customHeight="1" x14ac:dyDescent="0.15">
      <c r="A8" s="44" t="s">
        <v>45</v>
      </c>
      <c r="B8" s="78" t="str">
        <f>+'1 AFD'!C8</f>
        <v>Sí</v>
      </c>
      <c r="C8" s="79">
        <v>2399</v>
      </c>
      <c r="D8" s="80">
        <f t="shared" ref="D8:D25" si="0">IF(B8="Sí",C8/SUMIF($B$8:$B$25,"Sí",$C$8:$C$25),"")</f>
        <v>2.8896651409298965E-2</v>
      </c>
      <c r="E8" s="81">
        <f>IFERROR(D8*PPTO!$I$13,"")</f>
        <v>54160.382427788485</v>
      </c>
      <c r="F8" s="95">
        <v>7346</v>
      </c>
      <c r="G8" s="80">
        <f t="shared" ref="G8:G25" si="1">IF(B8="Sí",C8/F8,"")</f>
        <v>0.32657228423631907</v>
      </c>
      <c r="H8" s="80">
        <f>IFERROR(G8/$G$26,"")</f>
        <v>4.1928957911100004E-2</v>
      </c>
      <c r="I8" s="96">
        <f>IFERROR(H8*PPTO!$I$14,"")</f>
        <v>78586.558805670124</v>
      </c>
      <c r="J8" s="107">
        <f>IF(B8="Sí",ROUND(E8+I8,0),"")</f>
        <v>132747</v>
      </c>
      <c r="K8" s="4"/>
    </row>
    <row r="9" spans="1:11" s="2" customFormat="1" ht="12" customHeight="1" x14ac:dyDescent="0.15">
      <c r="A9" s="47" t="s">
        <v>46</v>
      </c>
      <c r="B9" s="62" t="str">
        <f>+'1 AFD'!C9</f>
        <v>Sí</v>
      </c>
      <c r="C9" s="79">
        <v>3068</v>
      </c>
      <c r="D9" s="80">
        <f t="shared" si="0"/>
        <v>3.6954950614309805E-2</v>
      </c>
      <c r="E9" s="81">
        <f>IFERROR(D9*PPTO!$I$13,"")</f>
        <v>69263.882154420615</v>
      </c>
      <c r="F9" s="95">
        <v>6928</v>
      </c>
      <c r="G9" s="80">
        <f t="shared" si="1"/>
        <v>0.44284064665127021</v>
      </c>
      <c r="H9" s="80">
        <f t="shared" ref="H9:H25" si="2">IFERROR(G9/$G$26,"")</f>
        <v>5.6856774842929045E-2</v>
      </c>
      <c r="I9" s="96">
        <f>IFERROR(H9*PPTO!$I$14,"")</f>
        <v>106565.45028303011</v>
      </c>
      <c r="J9" s="107">
        <f t="shared" ref="J9:J25" si="3">IF(B9="Sí",ROUND(E9+I9,0),"")</f>
        <v>175829</v>
      </c>
      <c r="K9" s="4"/>
    </row>
    <row r="10" spans="1:11" s="2" customFormat="1" ht="12" customHeight="1" x14ac:dyDescent="0.15">
      <c r="A10" s="47" t="s">
        <v>47</v>
      </c>
      <c r="B10" s="62" t="str">
        <f>+'1 AFD'!C10</f>
        <v>Sí</v>
      </c>
      <c r="C10" s="79">
        <v>5199</v>
      </c>
      <c r="D10" s="80">
        <f t="shared" si="0"/>
        <v>6.262346422548784E-2</v>
      </c>
      <c r="E10" s="81">
        <f>IFERROR(D10*PPTO!$I$13,"")</f>
        <v>117373.83419844617</v>
      </c>
      <c r="F10" s="95">
        <v>9682</v>
      </c>
      <c r="G10" s="80">
        <f t="shared" si="1"/>
        <v>0.53697583143978522</v>
      </c>
      <c r="H10" s="80">
        <f t="shared" si="2"/>
        <v>6.8942889897613505E-2</v>
      </c>
      <c r="I10" s="96">
        <f>IFERROR(H10*PPTO!$I$14,"")</f>
        <v>129218.20004826121</v>
      </c>
      <c r="J10" s="107">
        <f t="shared" si="3"/>
        <v>246592</v>
      </c>
      <c r="K10" s="4"/>
    </row>
    <row r="11" spans="1:11" s="2" customFormat="1" ht="12" customHeight="1" x14ac:dyDescent="0.15">
      <c r="A11" s="47" t="s">
        <v>48</v>
      </c>
      <c r="B11" s="62" t="str">
        <f>+'1 AFD'!C11</f>
        <v>Sí</v>
      </c>
      <c r="C11" s="79">
        <v>1879</v>
      </c>
      <c r="D11" s="80">
        <f t="shared" si="0"/>
        <v>2.2633100457721031E-2</v>
      </c>
      <c r="E11" s="81">
        <f>IFERROR(D11*PPTO!$I$13,"")</f>
        <v>42420.741384666348</v>
      </c>
      <c r="F11" s="95">
        <v>4480</v>
      </c>
      <c r="G11" s="80">
        <f t="shared" si="1"/>
        <v>0.41941964285714284</v>
      </c>
      <c r="H11" s="80">
        <f t="shared" si="2"/>
        <v>5.3849727614116882E-2</v>
      </c>
      <c r="I11" s="96">
        <f>IFERROR(H11*PPTO!$I$14,"")</f>
        <v>100929.40527615159</v>
      </c>
      <c r="J11" s="107">
        <f t="shared" si="3"/>
        <v>143350</v>
      </c>
      <c r="K11" s="4"/>
    </row>
    <row r="12" spans="1:11" s="2" customFormat="1" ht="12" customHeight="1" x14ac:dyDescent="0.15">
      <c r="A12" s="47" t="s">
        <v>49</v>
      </c>
      <c r="B12" s="62" t="str">
        <f>+'1 AFD'!C12</f>
        <v>Sí</v>
      </c>
      <c r="C12" s="79">
        <v>5350</v>
      </c>
      <c r="D12" s="80">
        <f t="shared" si="0"/>
        <v>6.4442303059503728E-2</v>
      </c>
      <c r="E12" s="81">
        <f>IFERROR(D12*PPTO!$I$13,"")</f>
        <v>120782.84534750661</v>
      </c>
      <c r="F12" s="95">
        <v>9946</v>
      </c>
      <c r="G12" s="80">
        <f t="shared" si="1"/>
        <v>0.53790468530062341</v>
      </c>
      <c r="H12" s="80">
        <f t="shared" si="2"/>
        <v>6.9062146418502043E-2</v>
      </c>
      <c r="I12" s="96">
        <f>IFERROR(H12*PPTO!$I$14,"")</f>
        <v>129441.72002249089</v>
      </c>
      <c r="J12" s="107">
        <f t="shared" si="3"/>
        <v>250225</v>
      </c>
      <c r="K12" s="4"/>
    </row>
    <row r="13" spans="1:11" s="2" customFormat="1" ht="12" customHeight="1" x14ac:dyDescent="0.15">
      <c r="A13" s="47" t="s">
        <v>50</v>
      </c>
      <c r="B13" s="62" t="str">
        <f>+'1 AFD'!C13</f>
        <v>Sí</v>
      </c>
      <c r="C13" s="79">
        <v>5236</v>
      </c>
      <c r="D13" s="80">
        <f t="shared" si="0"/>
        <v>6.3069139966273183E-2</v>
      </c>
      <c r="E13" s="81">
        <f>IFERROR(D13*PPTO!$I$13,"")</f>
        <v>118209.15481112983</v>
      </c>
      <c r="F13" s="95">
        <v>12542</v>
      </c>
      <c r="G13" s="80">
        <f t="shared" si="1"/>
        <v>0.41747727635145909</v>
      </c>
      <c r="H13" s="80">
        <f t="shared" si="2"/>
        <v>5.3600345142315292E-2</v>
      </c>
      <c r="I13" s="96">
        <f>IFERROR(H13*PPTO!$I$14,"")</f>
        <v>100461.99298494007</v>
      </c>
      <c r="J13" s="107">
        <f t="shared" si="3"/>
        <v>218671</v>
      </c>
      <c r="K13" s="4"/>
    </row>
    <row r="14" spans="1:11" s="2" customFormat="1" ht="12" customHeight="1" x14ac:dyDescent="0.15">
      <c r="A14" s="47" t="s">
        <v>51</v>
      </c>
      <c r="B14" s="62" t="str">
        <f>+'1 AFD'!C14</f>
        <v>Sí</v>
      </c>
      <c r="C14" s="79">
        <v>7168</v>
      </c>
      <c r="D14" s="80">
        <f t="shared" si="0"/>
        <v>8.6340640809443508E-2</v>
      </c>
      <c r="E14" s="81">
        <f>IFERROR(D14*PPTO!$I$13,"")</f>
        <v>161826.43653288364</v>
      </c>
      <c r="F14" s="95">
        <v>12265</v>
      </c>
      <c r="G14" s="80">
        <f t="shared" si="1"/>
        <v>0.58442723196086421</v>
      </c>
      <c r="H14" s="80">
        <f t="shared" si="2"/>
        <v>7.5035224952695323E-2</v>
      </c>
      <c r="I14" s="96">
        <f>IFERROR(H14*PPTO!$I$14,"")</f>
        <v>140636.93475865296</v>
      </c>
      <c r="J14" s="107">
        <f t="shared" si="3"/>
        <v>302463</v>
      </c>
      <c r="K14" s="4"/>
    </row>
    <row r="15" spans="1:11" s="2" customFormat="1" ht="12" customHeight="1" x14ac:dyDescent="0.15">
      <c r="A15" s="47" t="s">
        <v>52</v>
      </c>
      <c r="B15" s="62" t="str">
        <f>+'1 AFD'!C15</f>
        <v>Sí</v>
      </c>
      <c r="C15" s="79">
        <v>10167</v>
      </c>
      <c r="D15" s="80">
        <f t="shared" si="0"/>
        <v>0.12246446639364009</v>
      </c>
      <c r="E15" s="81">
        <f>IFERROR(D15*PPTO!$I$13,"")</f>
        <v>229532.55862581305</v>
      </c>
      <c r="F15" s="95">
        <v>31095</v>
      </c>
      <c r="G15" s="80">
        <f t="shared" si="1"/>
        <v>0.32696575012059814</v>
      </c>
      <c r="H15" s="80">
        <f t="shared" si="2"/>
        <v>4.1979475408443573E-2</v>
      </c>
      <c r="I15" s="96">
        <f>IFERROR(H15*PPTO!$I$14,"")</f>
        <v>78681.242682243523</v>
      </c>
      <c r="J15" s="107">
        <f t="shared" si="3"/>
        <v>308214</v>
      </c>
      <c r="K15" s="4"/>
    </row>
    <row r="16" spans="1:11" s="2" customFormat="1" ht="12" customHeight="1" x14ac:dyDescent="0.15">
      <c r="A16" s="47" t="s">
        <v>53</v>
      </c>
      <c r="B16" s="62" t="str">
        <f>+'1 AFD'!C16</f>
        <v>Sí</v>
      </c>
      <c r="C16" s="79">
        <v>5797</v>
      </c>
      <c r="D16" s="80">
        <f t="shared" si="0"/>
        <v>6.9826547819802451E-2</v>
      </c>
      <c r="E16" s="81">
        <f>IFERROR(D16*PPTO!$I$13,"")</f>
        <v>130874.4213980366</v>
      </c>
      <c r="F16" s="95">
        <v>9331</v>
      </c>
      <c r="G16" s="80">
        <f t="shared" si="1"/>
        <v>0.62126245847176076</v>
      </c>
      <c r="H16" s="80">
        <f t="shared" si="2"/>
        <v>7.9764538297925777E-2</v>
      </c>
      <c r="I16" s="96">
        <f>IFERROR(H16*PPTO!$I$14,"")</f>
        <v>149500.98671299458</v>
      </c>
      <c r="J16" s="107">
        <f t="shared" si="3"/>
        <v>280375</v>
      </c>
      <c r="K16" s="4"/>
    </row>
    <row r="17" spans="1:11" s="2" customFormat="1" ht="12" customHeight="1" x14ac:dyDescent="0.15">
      <c r="A17" s="47" t="s">
        <v>54</v>
      </c>
      <c r="B17" s="62" t="str">
        <f>+'1 AFD'!C17</f>
        <v>Sí</v>
      </c>
      <c r="C17" s="79">
        <v>3792</v>
      </c>
      <c r="D17" s="80">
        <f t="shared" si="0"/>
        <v>4.5675740785352928E-2</v>
      </c>
      <c r="E17" s="81">
        <f>IFERROR(D17*PPTO!$I$13,"")</f>
        <v>85609.074683690676</v>
      </c>
      <c r="F17" s="95">
        <v>7411</v>
      </c>
      <c r="G17" s="80">
        <f t="shared" si="1"/>
        <v>0.5116718391580084</v>
      </c>
      <c r="H17" s="80">
        <f t="shared" si="2"/>
        <v>6.5694083802979752E-2</v>
      </c>
      <c r="I17" s="96">
        <f>IFERROR(H17*PPTO!$I$14,"")</f>
        <v>123129.0315135821</v>
      </c>
      <c r="J17" s="107">
        <f t="shared" si="3"/>
        <v>208738</v>
      </c>
      <c r="K17" s="4"/>
    </row>
    <row r="18" spans="1:11" s="2" customFormat="1" ht="12" customHeight="1" x14ac:dyDescent="0.15">
      <c r="A18" s="47" t="s">
        <v>55</v>
      </c>
      <c r="B18" s="62" t="str">
        <f>+'1 AFD'!C18</f>
        <v>Sí</v>
      </c>
      <c r="C18" s="79">
        <v>1849</v>
      </c>
      <c r="D18" s="80">
        <f t="shared" si="0"/>
        <v>2.227174174897615E-2</v>
      </c>
      <c r="E18" s="81">
        <f>IFERROR(D18*PPTO!$I$13,"")</f>
        <v>41743.454401409297</v>
      </c>
      <c r="F18" s="95">
        <v>4701</v>
      </c>
      <c r="G18" s="80">
        <f t="shared" si="1"/>
        <v>0.39332057009146992</v>
      </c>
      <c r="H18" s="80">
        <f t="shared" si="2"/>
        <v>5.0498840302691653E-2</v>
      </c>
      <c r="I18" s="96">
        <f>IFERROR(H18*PPTO!$I$14,"")</f>
        <v>94648.90807636836</v>
      </c>
      <c r="J18" s="107">
        <f t="shared" si="3"/>
        <v>136392</v>
      </c>
      <c r="K18" s="4"/>
    </row>
    <row r="19" spans="1:11" s="2" customFormat="1" ht="12" customHeight="1" x14ac:dyDescent="0.15">
      <c r="A19" s="47" t="s">
        <v>56</v>
      </c>
      <c r="B19" s="62" t="str">
        <f>+'1 AFD'!C19</f>
        <v>Sí</v>
      </c>
      <c r="C19" s="79">
        <v>4520</v>
      </c>
      <c r="D19" s="80">
        <f t="shared" si="0"/>
        <v>5.4444712117562036E-2</v>
      </c>
      <c r="E19" s="81">
        <f>IFERROR(D19*PPTO!$I$13,"")</f>
        <v>102044.57214406168</v>
      </c>
      <c r="F19" s="95">
        <v>7795</v>
      </c>
      <c r="G19" s="80">
        <f t="shared" si="1"/>
        <v>0.5798588838999359</v>
      </c>
      <c r="H19" s="80">
        <f t="shared" si="2"/>
        <v>7.4448689956261541E-2</v>
      </c>
      <c r="I19" s="96">
        <f>IFERROR(H19*PPTO!$I$14,"")</f>
        <v>139537.60462298497</v>
      </c>
      <c r="J19" s="107">
        <f t="shared" si="3"/>
        <v>241582</v>
      </c>
      <c r="K19" s="4"/>
    </row>
    <row r="20" spans="1:11" s="2" customFormat="1" ht="12" customHeight="1" x14ac:dyDescent="0.15">
      <c r="A20" s="47" t="s">
        <v>57</v>
      </c>
      <c r="B20" s="62" t="str">
        <f>+'1 AFD'!C20</f>
        <v>No</v>
      </c>
      <c r="C20" s="79">
        <v>301</v>
      </c>
      <c r="D20" s="80" t="str">
        <f t="shared" si="0"/>
        <v/>
      </c>
      <c r="E20" s="81" t="str">
        <f>IFERROR(D20*PPTO!$I$13,"")</f>
        <v/>
      </c>
      <c r="F20" s="95">
        <v>435</v>
      </c>
      <c r="G20" s="80" t="str">
        <f t="shared" si="1"/>
        <v/>
      </c>
      <c r="H20" s="80" t="str">
        <f t="shared" si="2"/>
        <v/>
      </c>
      <c r="I20" s="96" t="str">
        <f>IFERROR(H20*PPTO!$I$14,"")</f>
        <v/>
      </c>
      <c r="J20" s="107" t="str">
        <f t="shared" si="3"/>
        <v/>
      </c>
      <c r="K20" s="4"/>
    </row>
    <row r="21" spans="1:11" s="2" customFormat="1" ht="12" customHeight="1" x14ac:dyDescent="0.15">
      <c r="A21" s="47" t="s">
        <v>58</v>
      </c>
      <c r="B21" s="62" t="str">
        <f>+'1 AFD'!C21</f>
        <v>No</v>
      </c>
      <c r="C21" s="79">
        <v>56</v>
      </c>
      <c r="D21" s="80" t="str">
        <f t="shared" si="0"/>
        <v/>
      </c>
      <c r="E21" s="81" t="str">
        <f>IFERROR(D21*PPTO!$I$13,"")</f>
        <v/>
      </c>
      <c r="F21" s="95">
        <v>93</v>
      </c>
      <c r="G21" s="80" t="str">
        <f t="shared" si="1"/>
        <v/>
      </c>
      <c r="H21" s="80" t="str">
        <f t="shared" si="2"/>
        <v/>
      </c>
      <c r="I21" s="96" t="str">
        <f>IFERROR(H21*PPTO!$I$14,"")</f>
        <v/>
      </c>
      <c r="J21" s="107" t="str">
        <f t="shared" si="3"/>
        <v/>
      </c>
      <c r="K21" s="4"/>
    </row>
    <row r="22" spans="1:11" s="2" customFormat="1" ht="12" customHeight="1" x14ac:dyDescent="0.15">
      <c r="A22" s="47" t="s">
        <v>59</v>
      </c>
      <c r="B22" s="62" t="str">
        <f>+'1 AFD'!C22</f>
        <v>Sí</v>
      </c>
      <c r="C22" s="79">
        <v>9314</v>
      </c>
      <c r="D22" s="80">
        <f t="shared" si="0"/>
        <v>0.11218983377499397</v>
      </c>
      <c r="E22" s="81">
        <f>IFERROR(D22*PPTO!$I$13,"")</f>
        <v>210275.03206853769</v>
      </c>
      <c r="F22" s="95">
        <v>21566</v>
      </c>
      <c r="G22" s="80">
        <f t="shared" si="1"/>
        <v>0.4318835203561161</v>
      </c>
      <c r="H22" s="80">
        <f t="shared" si="2"/>
        <v>5.5449977911797954E-2</v>
      </c>
      <c r="I22" s="96">
        <f>IFERROR(H22*PPTO!$I$14,"")</f>
        <v>103928.72055580017</v>
      </c>
      <c r="J22" s="107">
        <f t="shared" si="3"/>
        <v>314204</v>
      </c>
      <c r="K22" s="4"/>
    </row>
    <row r="23" spans="1:11" s="2" customFormat="1" ht="12" customHeight="1" x14ac:dyDescent="0.15">
      <c r="A23" s="47" t="s">
        <v>60</v>
      </c>
      <c r="B23" s="62" t="str">
        <f>+'1 AFD'!C23</f>
        <v>Sí</v>
      </c>
      <c r="C23" s="79">
        <v>4812</v>
      </c>
      <c r="D23" s="80">
        <f t="shared" si="0"/>
        <v>5.7961936882678873E-2</v>
      </c>
      <c r="E23" s="81">
        <f>IFERROR(D23*PPTO!$I$13,"")</f>
        <v>108636.83211443026</v>
      </c>
      <c r="F23" s="95">
        <v>8468</v>
      </c>
      <c r="G23" s="80">
        <f t="shared" si="1"/>
        <v>0.56825696740670761</v>
      </c>
      <c r="H23" s="80">
        <f t="shared" si="2"/>
        <v>7.29591077356814E-2</v>
      </c>
      <c r="I23" s="96">
        <f>IFERROR(H23*PPTO!$I$14,"")</f>
        <v>136745.7121790635</v>
      </c>
      <c r="J23" s="107">
        <f t="shared" si="3"/>
        <v>245383</v>
      </c>
      <c r="K23" s="4"/>
    </row>
    <row r="24" spans="1:11" s="2" customFormat="1" ht="12" customHeight="1" x14ac:dyDescent="0.15">
      <c r="A24" s="47" t="s">
        <v>61</v>
      </c>
      <c r="B24" s="62" t="str">
        <f>+'1 AFD'!C24</f>
        <v>Sí</v>
      </c>
      <c r="C24" s="79">
        <v>4897</v>
      </c>
      <c r="D24" s="80">
        <f t="shared" si="0"/>
        <v>5.8985786557456038E-2</v>
      </c>
      <c r="E24" s="81">
        <f>IFERROR(D24*PPTO!$I$13,"")</f>
        <v>110555.81190032522</v>
      </c>
      <c r="F24" s="95">
        <v>8402</v>
      </c>
      <c r="G24" s="80">
        <f t="shared" si="1"/>
        <v>0.58283741966198521</v>
      </c>
      <c r="H24" s="80">
        <f t="shared" si="2"/>
        <v>7.4831107285079621E-2</v>
      </c>
      <c r="I24" s="96">
        <f>IFERROR(H24*PPTO!$I$14,"")</f>
        <v>140254.36133235012</v>
      </c>
      <c r="J24" s="107">
        <f t="shared" si="3"/>
        <v>250810</v>
      </c>
      <c r="K24" s="4"/>
    </row>
    <row r="25" spans="1:11" s="2" customFormat="1" ht="12" customHeight="1" x14ac:dyDescent="0.15">
      <c r="A25" s="50" t="s">
        <v>62</v>
      </c>
      <c r="B25" s="63" t="str">
        <f>+'1 AFD'!C25</f>
        <v>Sí</v>
      </c>
      <c r="C25" s="87">
        <v>7573</v>
      </c>
      <c r="D25" s="88">
        <f t="shared" si="0"/>
        <v>9.1218983377499396E-2</v>
      </c>
      <c r="E25" s="97">
        <f>IFERROR(D25*PPTO!$I$13,"")</f>
        <v>170969.81080685375</v>
      </c>
      <c r="F25" s="98">
        <v>14936</v>
      </c>
      <c r="G25" s="88">
        <f t="shared" si="1"/>
        <v>0.5070299946438136</v>
      </c>
      <c r="H25" s="88">
        <f t="shared" si="2"/>
        <v>6.5098112519866497E-2</v>
      </c>
      <c r="I25" s="99">
        <f>IFERROR(H25*PPTO!$I$14,"")</f>
        <v>122012.01514541541</v>
      </c>
      <c r="J25" s="108">
        <f t="shared" si="3"/>
        <v>292982</v>
      </c>
      <c r="K25" s="4"/>
    </row>
    <row r="26" spans="1:11" s="2" customFormat="1" ht="12" customHeight="1" x14ac:dyDescent="0.15">
      <c r="A26" s="4"/>
      <c r="B26" s="4"/>
      <c r="C26" s="41"/>
      <c r="D26" s="41"/>
      <c r="E26" s="100"/>
      <c r="F26" s="101"/>
      <c r="G26" s="102">
        <f>SUMIF($B$8:$B$25,"Sí",$G$8:$G$25)</f>
        <v>7.7887050026078608</v>
      </c>
      <c r="H26" s="41"/>
      <c r="I26" s="101"/>
      <c r="J26" s="109">
        <f>SUM(J8:J25)</f>
        <v>3748557</v>
      </c>
      <c r="K26" s="4"/>
    </row>
    <row r="27" spans="1:11" hidden="1" x14ac:dyDescent="0.2"/>
    <row r="28" spans="1:11" hidden="1" x14ac:dyDescent="0.2"/>
    <row r="29" spans="1:11" hidden="1" x14ac:dyDescent="0.2"/>
    <row r="30" spans="1:11" hidden="1" x14ac:dyDescent="0.2"/>
    <row r="31" spans="1:11" hidden="1" x14ac:dyDescent="0.2"/>
    <row r="32" spans="1:1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</sheetData>
  <mergeCells count="13">
    <mergeCell ref="J5:J7"/>
    <mergeCell ref="I6:I7"/>
    <mergeCell ref="C4:J4"/>
    <mergeCell ref="F6:F7"/>
    <mergeCell ref="G6:G7"/>
    <mergeCell ref="H6:H7"/>
    <mergeCell ref="C5:E5"/>
    <mergeCell ref="F5:I5"/>
    <mergeCell ref="A4:A7"/>
    <mergeCell ref="B4:B7"/>
    <mergeCell ref="C6:C7"/>
    <mergeCell ref="D6:D7"/>
    <mergeCell ref="E6:E7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 tint="0.59999389629810485"/>
  </sheetPr>
  <dimension ref="A1:V46"/>
  <sheetViews>
    <sheetView workbookViewId="0">
      <pane xSplit="2" ySplit="7" topLeftCell="C8" activePane="bottomRight" state="frozen"/>
      <selection pane="topRight" activeCell="C1" sqref="C1"/>
      <selection pane="bottomLeft" activeCell="A18" sqref="A18"/>
      <selection pane="bottomRight" activeCell="A2" sqref="A2"/>
    </sheetView>
  </sheetViews>
  <sheetFormatPr baseColWidth="10" defaultRowHeight="14" zeroHeight="1" x14ac:dyDescent="0.2"/>
  <cols>
    <col min="1" max="2" width="8.6640625" style="1" customWidth="1"/>
    <col min="3" max="21" width="12.6640625" style="1" customWidth="1"/>
    <col min="22" max="22" width="1.6640625" style="1" customWidth="1"/>
    <col min="23" max="34" width="12.6640625" style="1" customWidth="1"/>
    <col min="35" max="16384" width="10.83203125" style="1"/>
  </cols>
  <sheetData>
    <row r="1" spans="1:22" ht="12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12" customHeight="1" x14ac:dyDescent="0.2">
      <c r="A2" s="19" t="s">
        <v>92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2" customHeight="1" x14ac:dyDescent="0.2">
      <c r="A3" s="22"/>
      <c r="B3" s="2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s="2" customFormat="1" ht="12" customHeight="1" x14ac:dyDescent="0.15">
      <c r="A4" s="121" t="s">
        <v>76</v>
      </c>
      <c r="B4" s="121" t="s">
        <v>19</v>
      </c>
      <c r="C4" s="167" t="s">
        <v>17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16" t="s">
        <v>22</v>
      </c>
      <c r="V4" s="4"/>
    </row>
    <row r="5" spans="1:22" s="2" customFormat="1" ht="12" customHeight="1" x14ac:dyDescent="0.15">
      <c r="A5" s="122"/>
      <c r="B5" s="122"/>
      <c r="C5" s="187" t="s">
        <v>86</v>
      </c>
      <c r="D5" s="188"/>
      <c r="E5" s="188"/>
      <c r="F5" s="184" t="s">
        <v>87</v>
      </c>
      <c r="G5" s="185"/>
      <c r="H5" s="185"/>
      <c r="I5" s="185"/>
      <c r="J5" s="185"/>
      <c r="K5" s="185"/>
      <c r="L5" s="186"/>
      <c r="M5" s="185" t="s">
        <v>88</v>
      </c>
      <c r="N5" s="185"/>
      <c r="O5" s="185"/>
      <c r="P5" s="184" t="s">
        <v>89</v>
      </c>
      <c r="Q5" s="185"/>
      <c r="R5" s="185"/>
      <c r="S5" s="185"/>
      <c r="T5" s="186"/>
      <c r="U5" s="176"/>
      <c r="V5" s="4"/>
    </row>
    <row r="6" spans="1:22" s="2" customFormat="1" ht="12" customHeight="1" x14ac:dyDescent="0.15">
      <c r="A6" s="122"/>
      <c r="B6" s="122"/>
      <c r="C6" s="189" t="s">
        <v>32</v>
      </c>
      <c r="D6" s="158" t="s">
        <v>33</v>
      </c>
      <c r="E6" s="191" t="s">
        <v>22</v>
      </c>
      <c r="F6" s="156" t="s">
        <v>34</v>
      </c>
      <c r="G6" s="158" t="s">
        <v>35</v>
      </c>
      <c r="H6" s="158" t="s">
        <v>36</v>
      </c>
      <c r="I6" s="158" t="s">
        <v>37</v>
      </c>
      <c r="J6" s="158" t="s">
        <v>38</v>
      </c>
      <c r="K6" s="158" t="s">
        <v>39</v>
      </c>
      <c r="L6" s="178" t="s">
        <v>22</v>
      </c>
      <c r="M6" s="180" t="s">
        <v>40</v>
      </c>
      <c r="N6" s="158" t="s">
        <v>33</v>
      </c>
      <c r="O6" s="160" t="s">
        <v>22</v>
      </c>
      <c r="P6" s="182" t="s">
        <v>41</v>
      </c>
      <c r="Q6" s="183"/>
      <c r="R6" s="180"/>
      <c r="S6" s="158" t="s">
        <v>33</v>
      </c>
      <c r="T6" s="193" t="s">
        <v>22</v>
      </c>
      <c r="U6" s="176"/>
      <c r="V6" s="4"/>
    </row>
    <row r="7" spans="1:22" s="2" customFormat="1" ht="12" customHeight="1" x14ac:dyDescent="0.15">
      <c r="A7" s="122"/>
      <c r="B7" s="122"/>
      <c r="C7" s="190"/>
      <c r="D7" s="159"/>
      <c r="E7" s="192"/>
      <c r="F7" s="157"/>
      <c r="G7" s="159"/>
      <c r="H7" s="159"/>
      <c r="I7" s="159"/>
      <c r="J7" s="159"/>
      <c r="K7" s="159"/>
      <c r="L7" s="179"/>
      <c r="M7" s="181"/>
      <c r="N7" s="159"/>
      <c r="O7" s="161"/>
      <c r="P7" s="75" t="s">
        <v>42</v>
      </c>
      <c r="Q7" s="76" t="s">
        <v>43</v>
      </c>
      <c r="R7" s="77" t="s">
        <v>44</v>
      </c>
      <c r="S7" s="159"/>
      <c r="T7" s="132"/>
      <c r="U7" s="177"/>
      <c r="V7" s="4"/>
    </row>
    <row r="8" spans="1:22" s="2" customFormat="1" ht="12" customHeight="1" x14ac:dyDescent="0.15">
      <c r="A8" s="44" t="s">
        <v>45</v>
      </c>
      <c r="B8" s="78" t="str">
        <f>+'1 AFD'!C8</f>
        <v>Sí</v>
      </c>
      <c r="C8" s="79">
        <v>191</v>
      </c>
      <c r="D8" s="80">
        <f t="shared" ref="D8:D25" si="0">IF(B8="Sí",C8/SUMIF($B$8:$B$25,"Sí",$C$8:$C$25),"")</f>
        <v>3.3136710617626651E-2</v>
      </c>
      <c r="E8" s="81">
        <f>IFERROR(D8*PPTO!$I$18,"")</f>
        <v>13920.632140440675</v>
      </c>
      <c r="F8" s="82">
        <v>4</v>
      </c>
      <c r="G8" s="83">
        <v>1</v>
      </c>
      <c r="H8" s="84">
        <f>IF(F8=5,100,0)</f>
        <v>0</v>
      </c>
      <c r="I8" s="84">
        <f t="shared" ref="I8:I25" si="1">IF(G8=1,100,0)</f>
        <v>100</v>
      </c>
      <c r="J8" s="84">
        <f>+H8+I8</f>
        <v>100</v>
      </c>
      <c r="K8" s="80">
        <f>+J8/$J$26</f>
        <v>6.25E-2</v>
      </c>
      <c r="L8" s="85">
        <f>IFERROR(K8*PPTO!$I$19,"")</f>
        <v>26256.061406250014</v>
      </c>
      <c r="M8" s="86">
        <v>135</v>
      </c>
      <c r="N8" s="80">
        <f t="shared" ref="N8:N25" si="2">IF(B8="Sí",M8/SUMIF($B$8:$B$25,"Sí",$M$8:$M$25),"")</f>
        <v>4.3089690392594956E-2</v>
      </c>
      <c r="O8" s="81">
        <f>IFERROR(N8*PPTO!$I$20,"")</f>
        <v>18101.848910788391</v>
      </c>
      <c r="P8" s="82">
        <v>2</v>
      </c>
      <c r="Q8" s="86">
        <v>0</v>
      </c>
      <c r="R8" s="84">
        <f t="shared" ref="R8:R25" si="3">IF(B8="Sí",P8+Q8,"")</f>
        <v>2</v>
      </c>
      <c r="S8" s="80">
        <f t="shared" ref="S8:S25" si="4">IF(B8="Sí",R8/SUMIF($B$8:$B$25,"Sí",$R$8:$R$25),"")</f>
        <v>2.7397260273972601E-2</v>
      </c>
      <c r="T8" s="85">
        <f>IFERROR(S8*PPTO!$I$21,"")</f>
        <v>11509.506369863018</v>
      </c>
      <c r="U8" s="105">
        <f t="shared" ref="U8:U25" si="5">IF(B8="Sí",ROUND(E8+L8+O8+T8,0),"")</f>
        <v>69788</v>
      </c>
      <c r="V8" s="4"/>
    </row>
    <row r="9" spans="1:22" s="2" customFormat="1" ht="12" customHeight="1" x14ac:dyDescent="0.15">
      <c r="A9" s="47" t="s">
        <v>46</v>
      </c>
      <c r="B9" s="62" t="str">
        <f>+'1 AFD'!C9</f>
        <v>Sí</v>
      </c>
      <c r="C9" s="79">
        <v>51</v>
      </c>
      <c r="D9" s="80">
        <f t="shared" si="0"/>
        <v>8.8480222068008322E-3</v>
      </c>
      <c r="E9" s="81">
        <f>IFERROR(D9*PPTO!$I$18,"")</f>
        <v>3717.0274301700224</v>
      </c>
      <c r="F9" s="82">
        <v>4</v>
      </c>
      <c r="G9" s="83">
        <v>1</v>
      </c>
      <c r="H9" s="84">
        <f t="shared" ref="H9:H25" si="6">IF(F9=5,100,0)</f>
        <v>0</v>
      </c>
      <c r="I9" s="84">
        <f t="shared" si="1"/>
        <v>100</v>
      </c>
      <c r="J9" s="84">
        <f t="shared" ref="J9:J25" si="7">+H9+I9</f>
        <v>100</v>
      </c>
      <c r="K9" s="80">
        <f t="shared" ref="K9:K25" si="8">+J9/$J$26</f>
        <v>6.25E-2</v>
      </c>
      <c r="L9" s="85">
        <f>IFERROR(K9*PPTO!$I$19,"")</f>
        <v>26256.061406250014</v>
      </c>
      <c r="M9" s="86">
        <v>70</v>
      </c>
      <c r="N9" s="80">
        <f t="shared" si="2"/>
        <v>2.2342802425789978E-2</v>
      </c>
      <c r="O9" s="81">
        <f>IFERROR(N9*PPTO!$I$20,"")</f>
        <v>9386.1438796680541</v>
      </c>
      <c r="P9" s="82">
        <v>0</v>
      </c>
      <c r="Q9" s="86">
        <v>0</v>
      </c>
      <c r="R9" s="84">
        <f t="shared" si="3"/>
        <v>0</v>
      </c>
      <c r="S9" s="80">
        <f t="shared" si="4"/>
        <v>0</v>
      </c>
      <c r="T9" s="85">
        <f>IFERROR(S9*PPTO!$I$21,"")</f>
        <v>0</v>
      </c>
      <c r="U9" s="105">
        <f t="shared" si="5"/>
        <v>39359</v>
      </c>
      <c r="V9" s="4"/>
    </row>
    <row r="10" spans="1:22" s="2" customFormat="1" ht="12" customHeight="1" x14ac:dyDescent="0.15">
      <c r="A10" s="47" t="s">
        <v>47</v>
      </c>
      <c r="B10" s="62" t="str">
        <f>+'1 AFD'!C10</f>
        <v>Sí</v>
      </c>
      <c r="C10" s="79">
        <v>457</v>
      </c>
      <c r="D10" s="80">
        <f t="shared" si="0"/>
        <v>7.9285218598195692E-2</v>
      </c>
      <c r="E10" s="81">
        <f>IFERROR(D10*PPTO!$I$18,"")</f>
        <v>33307.481089954905</v>
      </c>
      <c r="F10" s="82">
        <v>5</v>
      </c>
      <c r="G10" s="83">
        <v>1</v>
      </c>
      <c r="H10" s="84">
        <f t="shared" si="6"/>
        <v>100</v>
      </c>
      <c r="I10" s="84">
        <f t="shared" si="1"/>
        <v>100</v>
      </c>
      <c r="J10" s="84">
        <f t="shared" si="7"/>
        <v>200</v>
      </c>
      <c r="K10" s="80">
        <f t="shared" si="8"/>
        <v>0.125</v>
      </c>
      <c r="L10" s="85">
        <f>IFERROR(K10*PPTO!$I$19,"")</f>
        <v>52512.122812500027</v>
      </c>
      <c r="M10" s="86">
        <v>185</v>
      </c>
      <c r="N10" s="80">
        <f t="shared" si="2"/>
        <v>5.9048834982444939E-2</v>
      </c>
      <c r="O10" s="81">
        <f>IFERROR(N10*PPTO!$I$20,"")</f>
        <v>24806.237396265573</v>
      </c>
      <c r="P10" s="82">
        <v>6</v>
      </c>
      <c r="Q10" s="86">
        <v>0</v>
      </c>
      <c r="R10" s="84">
        <f t="shared" si="3"/>
        <v>6</v>
      </c>
      <c r="S10" s="80">
        <f t="shared" si="4"/>
        <v>8.2191780821917804E-2</v>
      </c>
      <c r="T10" s="85">
        <f>IFERROR(S10*PPTO!$I$21,"")</f>
        <v>34528.519109589055</v>
      </c>
      <c r="U10" s="105">
        <f t="shared" si="5"/>
        <v>145154</v>
      </c>
      <c r="V10" s="4"/>
    </row>
    <row r="11" spans="1:22" s="2" customFormat="1" ht="12" customHeight="1" x14ac:dyDescent="0.15">
      <c r="A11" s="47" t="s">
        <v>48</v>
      </c>
      <c r="B11" s="62" t="str">
        <f>+'1 AFD'!C11</f>
        <v>Sí</v>
      </c>
      <c r="C11" s="79">
        <v>118</v>
      </c>
      <c r="D11" s="80">
        <f t="shared" si="0"/>
        <v>2.0471894517696043E-2</v>
      </c>
      <c r="E11" s="81">
        <f>IFERROR(D11*PPTO!$I$18,"")</f>
        <v>8600.1811129424059</v>
      </c>
      <c r="F11" s="82">
        <v>4</v>
      </c>
      <c r="G11" s="83">
        <v>1</v>
      </c>
      <c r="H11" s="84">
        <f t="shared" si="6"/>
        <v>0</v>
      </c>
      <c r="I11" s="84">
        <f t="shared" si="1"/>
        <v>100</v>
      </c>
      <c r="J11" s="84">
        <f t="shared" si="7"/>
        <v>100</v>
      </c>
      <c r="K11" s="80">
        <f t="shared" si="8"/>
        <v>6.25E-2</v>
      </c>
      <c r="L11" s="85">
        <f>IFERROR(K11*PPTO!$I$19,"")</f>
        <v>26256.061406250014</v>
      </c>
      <c r="M11" s="86">
        <v>57</v>
      </c>
      <c r="N11" s="80">
        <f t="shared" si="2"/>
        <v>1.8193424832428983E-2</v>
      </c>
      <c r="O11" s="81">
        <f>IFERROR(N11*PPTO!$I$20,"")</f>
        <v>7643.0028734439875</v>
      </c>
      <c r="P11" s="82">
        <v>0</v>
      </c>
      <c r="Q11" s="86">
        <v>0</v>
      </c>
      <c r="R11" s="84">
        <f t="shared" si="3"/>
        <v>0</v>
      </c>
      <c r="S11" s="80">
        <f t="shared" si="4"/>
        <v>0</v>
      </c>
      <c r="T11" s="85">
        <f>IFERROR(S11*PPTO!$I$21,"")</f>
        <v>0</v>
      </c>
      <c r="U11" s="105">
        <f t="shared" si="5"/>
        <v>42499</v>
      </c>
      <c r="V11" s="4"/>
    </row>
    <row r="12" spans="1:22" s="2" customFormat="1" ht="12" customHeight="1" x14ac:dyDescent="0.15">
      <c r="A12" s="47" t="s">
        <v>49</v>
      </c>
      <c r="B12" s="62" t="str">
        <f>+'1 AFD'!C12</f>
        <v>Sí</v>
      </c>
      <c r="C12" s="79">
        <v>377</v>
      </c>
      <c r="D12" s="80">
        <f t="shared" si="0"/>
        <v>6.5405968077723808E-2</v>
      </c>
      <c r="E12" s="81">
        <f>IFERROR(D12*PPTO!$I$18,"")</f>
        <v>27476.849826943111</v>
      </c>
      <c r="F12" s="82">
        <v>5</v>
      </c>
      <c r="G12" s="83">
        <v>1</v>
      </c>
      <c r="H12" s="84">
        <f t="shared" si="6"/>
        <v>100</v>
      </c>
      <c r="I12" s="84">
        <f t="shared" si="1"/>
        <v>100</v>
      </c>
      <c r="J12" s="84">
        <f t="shared" si="7"/>
        <v>200</v>
      </c>
      <c r="K12" s="80">
        <f t="shared" si="8"/>
        <v>0.125</v>
      </c>
      <c r="L12" s="85">
        <f>IFERROR(K12*PPTO!$I$19,"")</f>
        <v>52512.122812500027</v>
      </c>
      <c r="M12" s="86">
        <v>213</v>
      </c>
      <c r="N12" s="80">
        <f t="shared" si="2"/>
        <v>6.7985955952760926E-2</v>
      </c>
      <c r="O12" s="81">
        <f>IFERROR(N12*PPTO!$I$20,"")</f>
        <v>28560.694948132794</v>
      </c>
      <c r="P12" s="82">
        <v>7</v>
      </c>
      <c r="Q12" s="86">
        <v>0</v>
      </c>
      <c r="R12" s="84">
        <f t="shared" si="3"/>
        <v>7</v>
      </c>
      <c r="S12" s="80">
        <f t="shared" si="4"/>
        <v>9.5890410958904104E-2</v>
      </c>
      <c r="T12" s="85">
        <f>IFERROR(S12*PPTO!$I$21,"")</f>
        <v>40283.272294520568</v>
      </c>
      <c r="U12" s="105">
        <f t="shared" si="5"/>
        <v>148833</v>
      </c>
      <c r="V12" s="4"/>
    </row>
    <row r="13" spans="1:22" s="2" customFormat="1" ht="12" customHeight="1" x14ac:dyDescent="0.15">
      <c r="A13" s="47" t="s">
        <v>50</v>
      </c>
      <c r="B13" s="62" t="str">
        <f>+'1 AFD'!C13</f>
        <v>Sí</v>
      </c>
      <c r="C13" s="79">
        <v>75</v>
      </c>
      <c r="D13" s="80">
        <f t="shared" si="0"/>
        <v>1.30117973629424E-2</v>
      </c>
      <c r="E13" s="81">
        <f>IFERROR(D13*PPTO!$I$18,"")</f>
        <v>5466.2168090735622</v>
      </c>
      <c r="F13" s="82">
        <v>3</v>
      </c>
      <c r="G13" s="83">
        <v>0</v>
      </c>
      <c r="H13" s="84">
        <f t="shared" si="6"/>
        <v>0</v>
      </c>
      <c r="I13" s="84">
        <f t="shared" si="1"/>
        <v>0</v>
      </c>
      <c r="J13" s="84">
        <f t="shared" si="7"/>
        <v>0</v>
      </c>
      <c r="K13" s="80">
        <f t="shared" si="8"/>
        <v>0</v>
      </c>
      <c r="L13" s="85">
        <f>IFERROR(K13*PPTO!$I$19,"")</f>
        <v>0</v>
      </c>
      <c r="M13" s="86">
        <v>62</v>
      </c>
      <c r="N13" s="80">
        <f t="shared" si="2"/>
        <v>1.9789339291413979E-2</v>
      </c>
      <c r="O13" s="81">
        <f>IFERROR(N13*PPTO!$I$20,"")</f>
        <v>8313.441721991705</v>
      </c>
      <c r="P13" s="82">
        <v>0</v>
      </c>
      <c r="Q13" s="86">
        <v>0</v>
      </c>
      <c r="R13" s="84">
        <f t="shared" si="3"/>
        <v>0</v>
      </c>
      <c r="S13" s="80">
        <f t="shared" si="4"/>
        <v>0</v>
      </c>
      <c r="T13" s="85">
        <f>IFERROR(S13*PPTO!$I$21,"")</f>
        <v>0</v>
      </c>
      <c r="U13" s="105">
        <f t="shared" si="5"/>
        <v>13780</v>
      </c>
      <c r="V13" s="4"/>
    </row>
    <row r="14" spans="1:22" s="2" customFormat="1" ht="12" customHeight="1" x14ac:dyDescent="0.15">
      <c r="A14" s="47" t="s">
        <v>51</v>
      </c>
      <c r="B14" s="62" t="str">
        <f>+'1 AFD'!C14</f>
        <v>Sí</v>
      </c>
      <c r="C14" s="79">
        <v>227</v>
      </c>
      <c r="D14" s="80">
        <f t="shared" si="0"/>
        <v>3.9382373351839001E-2</v>
      </c>
      <c r="E14" s="81">
        <f>IFERROR(D14*PPTO!$I$18,"")</f>
        <v>16544.416208795985</v>
      </c>
      <c r="F14" s="82">
        <v>4</v>
      </c>
      <c r="G14" s="83">
        <v>1</v>
      </c>
      <c r="H14" s="84">
        <f t="shared" si="6"/>
        <v>0</v>
      </c>
      <c r="I14" s="84">
        <f t="shared" si="1"/>
        <v>100</v>
      </c>
      <c r="J14" s="84">
        <f t="shared" si="7"/>
        <v>100</v>
      </c>
      <c r="K14" s="80">
        <f t="shared" si="8"/>
        <v>6.25E-2</v>
      </c>
      <c r="L14" s="85">
        <f>IFERROR(K14*PPTO!$I$19,"")</f>
        <v>26256.061406250014</v>
      </c>
      <c r="M14" s="86">
        <v>218</v>
      </c>
      <c r="N14" s="80">
        <f t="shared" si="2"/>
        <v>6.9581870411745933E-2</v>
      </c>
      <c r="O14" s="81">
        <f>IFERROR(N14*PPTO!$I$20,"")</f>
        <v>29231.133796680515</v>
      </c>
      <c r="P14" s="82">
        <v>2</v>
      </c>
      <c r="Q14" s="86">
        <v>0</v>
      </c>
      <c r="R14" s="84">
        <f t="shared" si="3"/>
        <v>2</v>
      </c>
      <c r="S14" s="80">
        <f t="shared" si="4"/>
        <v>2.7397260273972601E-2</v>
      </c>
      <c r="T14" s="85">
        <f>IFERROR(S14*PPTO!$I$21,"")</f>
        <v>11509.506369863018</v>
      </c>
      <c r="U14" s="105">
        <f t="shared" si="5"/>
        <v>83541</v>
      </c>
      <c r="V14" s="4"/>
    </row>
    <row r="15" spans="1:22" s="2" customFormat="1" ht="12" customHeight="1" x14ac:dyDescent="0.15">
      <c r="A15" s="47" t="s">
        <v>52</v>
      </c>
      <c r="B15" s="62" t="str">
        <f>+'1 AFD'!C15</f>
        <v>Sí</v>
      </c>
      <c r="C15" s="79">
        <v>2598</v>
      </c>
      <c r="D15" s="80">
        <f t="shared" si="0"/>
        <v>0.45072866065232475</v>
      </c>
      <c r="E15" s="81">
        <f>IFERROR(D15*PPTO!$I$18,"")</f>
        <v>189349.7502663082</v>
      </c>
      <c r="F15" s="82">
        <v>5</v>
      </c>
      <c r="G15" s="83">
        <v>1</v>
      </c>
      <c r="H15" s="84">
        <f t="shared" si="6"/>
        <v>100</v>
      </c>
      <c r="I15" s="84">
        <f t="shared" si="1"/>
        <v>100</v>
      </c>
      <c r="J15" s="84">
        <f t="shared" si="7"/>
        <v>200</v>
      </c>
      <c r="K15" s="80">
        <f t="shared" si="8"/>
        <v>0.125</v>
      </c>
      <c r="L15" s="85">
        <f>IFERROR(K15*PPTO!$I$19,"")</f>
        <v>52512.122812500027</v>
      </c>
      <c r="M15" s="86">
        <v>1031</v>
      </c>
      <c r="N15" s="80">
        <f t="shared" si="2"/>
        <v>0.32907756144270667</v>
      </c>
      <c r="O15" s="81">
        <f>IFERROR(N15*PPTO!$I$20,"")</f>
        <v>138244.49057053949</v>
      </c>
      <c r="P15" s="82">
        <v>32</v>
      </c>
      <c r="Q15" s="86">
        <v>3</v>
      </c>
      <c r="R15" s="84">
        <f t="shared" si="3"/>
        <v>35</v>
      </c>
      <c r="S15" s="80">
        <f t="shared" si="4"/>
        <v>0.47945205479452052</v>
      </c>
      <c r="T15" s="85">
        <f>IFERROR(S15*PPTO!$I$21,"")</f>
        <v>201416.36147260285</v>
      </c>
      <c r="U15" s="105">
        <f t="shared" si="5"/>
        <v>581523</v>
      </c>
      <c r="V15" s="4"/>
    </row>
    <row r="16" spans="1:22" s="2" customFormat="1" ht="12" customHeight="1" x14ac:dyDescent="0.15">
      <c r="A16" s="47" t="s">
        <v>53</v>
      </c>
      <c r="B16" s="62" t="str">
        <f>+'1 AFD'!C16</f>
        <v>Sí</v>
      </c>
      <c r="C16" s="79">
        <v>101</v>
      </c>
      <c r="D16" s="80">
        <f t="shared" si="0"/>
        <v>1.7522553782095766E-2</v>
      </c>
      <c r="E16" s="81">
        <f>IFERROR(D16*PPTO!$I$18,"")</f>
        <v>7361.171969552398</v>
      </c>
      <c r="F16" s="82">
        <v>3</v>
      </c>
      <c r="G16" s="83">
        <v>0</v>
      </c>
      <c r="H16" s="84">
        <f t="shared" si="6"/>
        <v>0</v>
      </c>
      <c r="I16" s="84">
        <f t="shared" si="1"/>
        <v>0</v>
      </c>
      <c r="J16" s="84">
        <f t="shared" si="7"/>
        <v>0</v>
      </c>
      <c r="K16" s="80">
        <f t="shared" si="8"/>
        <v>0</v>
      </c>
      <c r="L16" s="85">
        <f>IFERROR(K16*PPTO!$I$19,"")</f>
        <v>0</v>
      </c>
      <c r="M16" s="86">
        <v>89</v>
      </c>
      <c r="N16" s="80">
        <f t="shared" si="2"/>
        <v>2.8407277369932971E-2</v>
      </c>
      <c r="O16" s="81">
        <f>IFERROR(N16*PPTO!$I$20,"")</f>
        <v>11933.811504149384</v>
      </c>
      <c r="P16" s="82">
        <v>1</v>
      </c>
      <c r="Q16" s="86">
        <v>0</v>
      </c>
      <c r="R16" s="84">
        <f t="shared" si="3"/>
        <v>1</v>
      </c>
      <c r="S16" s="80">
        <f t="shared" si="4"/>
        <v>1.3698630136986301E-2</v>
      </c>
      <c r="T16" s="85">
        <f>IFERROR(S16*PPTO!$I$21,"")</f>
        <v>5754.7531849315092</v>
      </c>
      <c r="U16" s="105">
        <f t="shared" si="5"/>
        <v>25050</v>
      </c>
      <c r="V16" s="4"/>
    </row>
    <row r="17" spans="1:22" s="2" customFormat="1" ht="12" customHeight="1" x14ac:dyDescent="0.15">
      <c r="A17" s="47" t="s">
        <v>54</v>
      </c>
      <c r="B17" s="62" t="str">
        <f>+'1 AFD'!C17</f>
        <v>Sí</v>
      </c>
      <c r="C17" s="79">
        <v>129</v>
      </c>
      <c r="D17" s="80">
        <f t="shared" si="0"/>
        <v>2.2380291464260928E-2</v>
      </c>
      <c r="E17" s="81">
        <f>IFERROR(D17*PPTO!$I$18,"")</f>
        <v>9401.8929116065283</v>
      </c>
      <c r="F17" s="82">
        <v>4</v>
      </c>
      <c r="G17" s="83">
        <v>1</v>
      </c>
      <c r="H17" s="84">
        <f t="shared" si="6"/>
        <v>0</v>
      </c>
      <c r="I17" s="84">
        <f t="shared" si="1"/>
        <v>100</v>
      </c>
      <c r="J17" s="84">
        <f t="shared" si="7"/>
        <v>100</v>
      </c>
      <c r="K17" s="80">
        <f t="shared" si="8"/>
        <v>6.25E-2</v>
      </c>
      <c r="L17" s="85">
        <f>IFERROR(K17*PPTO!$I$19,"")</f>
        <v>26256.061406250014</v>
      </c>
      <c r="M17" s="86">
        <v>111</v>
      </c>
      <c r="N17" s="80">
        <f t="shared" si="2"/>
        <v>3.5429300989466964E-2</v>
      </c>
      <c r="O17" s="81">
        <f>IFERROR(N17*PPTO!$I$20,"")</f>
        <v>14883.742437759343</v>
      </c>
      <c r="P17" s="82">
        <v>2</v>
      </c>
      <c r="Q17" s="86">
        <v>1</v>
      </c>
      <c r="R17" s="84">
        <f t="shared" si="3"/>
        <v>3</v>
      </c>
      <c r="S17" s="80">
        <f t="shared" si="4"/>
        <v>4.1095890410958902E-2</v>
      </c>
      <c r="T17" s="85">
        <f>IFERROR(S17*PPTO!$I$21,"")</f>
        <v>17264.259554794528</v>
      </c>
      <c r="U17" s="105">
        <f t="shared" si="5"/>
        <v>67806</v>
      </c>
      <c r="V17" s="4"/>
    </row>
    <row r="18" spans="1:22" s="2" customFormat="1" ht="12" customHeight="1" x14ac:dyDescent="0.15">
      <c r="A18" s="47" t="s">
        <v>55</v>
      </c>
      <c r="B18" s="62" t="str">
        <f>+'1 AFD'!C18</f>
        <v>Sí</v>
      </c>
      <c r="C18" s="79">
        <v>75</v>
      </c>
      <c r="D18" s="80">
        <f t="shared" si="0"/>
        <v>1.30117973629424E-2</v>
      </c>
      <c r="E18" s="81">
        <f>IFERROR(D18*PPTO!$I$18,"")</f>
        <v>5466.2168090735622</v>
      </c>
      <c r="F18" s="82">
        <v>2</v>
      </c>
      <c r="G18" s="83">
        <v>0</v>
      </c>
      <c r="H18" s="84">
        <f t="shared" si="6"/>
        <v>0</v>
      </c>
      <c r="I18" s="84">
        <f t="shared" si="1"/>
        <v>0</v>
      </c>
      <c r="J18" s="84">
        <f t="shared" si="7"/>
        <v>0</v>
      </c>
      <c r="K18" s="80">
        <f t="shared" si="8"/>
        <v>0</v>
      </c>
      <c r="L18" s="85">
        <f>IFERROR(K18*PPTO!$I$19,"")</f>
        <v>0</v>
      </c>
      <c r="M18" s="86">
        <v>60</v>
      </c>
      <c r="N18" s="80">
        <f t="shared" si="2"/>
        <v>1.9150973507819982E-2</v>
      </c>
      <c r="O18" s="81">
        <f>IFERROR(N18*PPTO!$I$20,"")</f>
        <v>8045.2661825726191</v>
      </c>
      <c r="P18" s="82">
        <v>0</v>
      </c>
      <c r="Q18" s="86">
        <v>0</v>
      </c>
      <c r="R18" s="84">
        <f t="shared" si="3"/>
        <v>0</v>
      </c>
      <c r="S18" s="80">
        <f t="shared" si="4"/>
        <v>0</v>
      </c>
      <c r="T18" s="85">
        <f>IFERROR(S18*PPTO!$I$21,"")</f>
        <v>0</v>
      </c>
      <c r="U18" s="105">
        <f t="shared" si="5"/>
        <v>13511</v>
      </c>
      <c r="V18" s="4"/>
    </row>
    <row r="19" spans="1:22" s="2" customFormat="1" ht="12" customHeight="1" x14ac:dyDescent="0.15">
      <c r="A19" s="47" t="s">
        <v>56</v>
      </c>
      <c r="B19" s="62" t="str">
        <f>+'1 AFD'!C19</f>
        <v>Sí</v>
      </c>
      <c r="C19" s="79">
        <v>103</v>
      </c>
      <c r="D19" s="80">
        <f t="shared" si="0"/>
        <v>1.7869535045107566E-2</v>
      </c>
      <c r="E19" s="81">
        <f>IFERROR(D19*PPTO!$I$18,"")</f>
        <v>7506.9377511276934</v>
      </c>
      <c r="F19" s="82">
        <v>3</v>
      </c>
      <c r="G19" s="83">
        <v>0</v>
      </c>
      <c r="H19" s="84">
        <f t="shared" si="6"/>
        <v>0</v>
      </c>
      <c r="I19" s="84">
        <f t="shared" si="1"/>
        <v>0</v>
      </c>
      <c r="J19" s="84">
        <f t="shared" si="7"/>
        <v>0</v>
      </c>
      <c r="K19" s="80">
        <f t="shared" si="8"/>
        <v>0</v>
      </c>
      <c r="L19" s="85">
        <f>IFERROR(K19*PPTO!$I$19,"")</f>
        <v>0</v>
      </c>
      <c r="M19" s="86">
        <v>110</v>
      </c>
      <c r="N19" s="80">
        <f t="shared" si="2"/>
        <v>3.5110118097669965E-2</v>
      </c>
      <c r="O19" s="81">
        <f>IFERROR(N19*PPTO!$I$20,"")</f>
        <v>14749.6546680498</v>
      </c>
      <c r="P19" s="82">
        <v>1</v>
      </c>
      <c r="Q19" s="86">
        <v>0</v>
      </c>
      <c r="R19" s="84">
        <f t="shared" si="3"/>
        <v>1</v>
      </c>
      <c r="S19" s="80">
        <f t="shared" si="4"/>
        <v>1.3698630136986301E-2</v>
      </c>
      <c r="T19" s="85">
        <f>IFERROR(S19*PPTO!$I$21,"")</f>
        <v>5754.7531849315092</v>
      </c>
      <c r="U19" s="105">
        <f t="shared" si="5"/>
        <v>28011</v>
      </c>
      <c r="V19" s="4"/>
    </row>
    <row r="20" spans="1:22" s="2" customFormat="1" ht="12" customHeight="1" x14ac:dyDescent="0.15">
      <c r="A20" s="47" t="s">
        <v>57</v>
      </c>
      <c r="B20" s="62" t="str">
        <f>+'1 AFD'!C20</f>
        <v>No</v>
      </c>
      <c r="C20" s="79"/>
      <c r="D20" s="80" t="str">
        <f t="shared" si="0"/>
        <v/>
      </c>
      <c r="E20" s="81" t="str">
        <f>IFERROR(D20*PPTO!$I$18,"")</f>
        <v/>
      </c>
      <c r="F20" s="82"/>
      <c r="G20" s="83"/>
      <c r="H20" s="84">
        <f t="shared" si="6"/>
        <v>0</v>
      </c>
      <c r="I20" s="84">
        <f t="shared" si="1"/>
        <v>0</v>
      </c>
      <c r="J20" s="84">
        <f t="shared" si="7"/>
        <v>0</v>
      </c>
      <c r="K20" s="80">
        <f t="shared" si="8"/>
        <v>0</v>
      </c>
      <c r="L20" s="85">
        <f>IFERROR(K20*PPTO!$I$19,"")</f>
        <v>0</v>
      </c>
      <c r="M20" s="86">
        <v>22</v>
      </c>
      <c r="N20" s="80" t="str">
        <f t="shared" si="2"/>
        <v/>
      </c>
      <c r="O20" s="81" t="str">
        <f>IFERROR(N20*PPTO!$I$20,"")</f>
        <v/>
      </c>
      <c r="P20" s="82">
        <v>0</v>
      </c>
      <c r="Q20" s="86">
        <v>0</v>
      </c>
      <c r="R20" s="84" t="str">
        <f t="shared" si="3"/>
        <v/>
      </c>
      <c r="S20" s="80" t="str">
        <f t="shared" si="4"/>
        <v/>
      </c>
      <c r="T20" s="85" t="str">
        <f>IFERROR(S20*PPTO!$I$21,"")</f>
        <v/>
      </c>
      <c r="U20" s="105" t="str">
        <f t="shared" si="5"/>
        <v/>
      </c>
      <c r="V20" s="4"/>
    </row>
    <row r="21" spans="1:22" s="2" customFormat="1" ht="12" customHeight="1" x14ac:dyDescent="0.15">
      <c r="A21" s="47" t="s">
        <v>58</v>
      </c>
      <c r="B21" s="62" t="str">
        <f>+'1 AFD'!C21</f>
        <v>No</v>
      </c>
      <c r="C21" s="79"/>
      <c r="D21" s="80" t="str">
        <f t="shared" si="0"/>
        <v/>
      </c>
      <c r="E21" s="81" t="str">
        <f>IFERROR(D21*PPTO!$I$18,"")</f>
        <v/>
      </c>
      <c r="F21" s="82"/>
      <c r="G21" s="83"/>
      <c r="H21" s="84">
        <f t="shared" si="6"/>
        <v>0</v>
      </c>
      <c r="I21" s="84">
        <f t="shared" si="1"/>
        <v>0</v>
      </c>
      <c r="J21" s="84">
        <f t="shared" si="7"/>
        <v>0</v>
      </c>
      <c r="K21" s="80">
        <f t="shared" si="8"/>
        <v>0</v>
      </c>
      <c r="L21" s="85">
        <f>IFERROR(K21*PPTO!$I$19,"")</f>
        <v>0</v>
      </c>
      <c r="M21" s="86">
        <v>7</v>
      </c>
      <c r="N21" s="80" t="str">
        <f t="shared" si="2"/>
        <v/>
      </c>
      <c r="O21" s="81" t="str">
        <f>IFERROR(N21*PPTO!$I$20,"")</f>
        <v/>
      </c>
      <c r="P21" s="82">
        <v>0</v>
      </c>
      <c r="Q21" s="86">
        <v>0</v>
      </c>
      <c r="R21" s="84" t="str">
        <f t="shared" si="3"/>
        <v/>
      </c>
      <c r="S21" s="80" t="str">
        <f t="shared" si="4"/>
        <v/>
      </c>
      <c r="T21" s="85" t="str">
        <f>IFERROR(S21*PPTO!$I$21,"")</f>
        <v/>
      </c>
      <c r="U21" s="105" t="str">
        <f t="shared" si="5"/>
        <v/>
      </c>
      <c r="V21" s="4"/>
    </row>
    <row r="22" spans="1:22" s="2" customFormat="1" ht="12" customHeight="1" x14ac:dyDescent="0.15">
      <c r="A22" s="47" t="s">
        <v>59</v>
      </c>
      <c r="B22" s="62" t="str">
        <f>+'1 AFD'!C22</f>
        <v>Sí</v>
      </c>
      <c r="C22" s="79">
        <v>624</v>
      </c>
      <c r="D22" s="80">
        <f t="shared" si="0"/>
        <v>0.10825815405968078</v>
      </c>
      <c r="E22" s="81">
        <f>IFERROR(D22*PPTO!$I$18,"")</f>
        <v>45478.923851492043</v>
      </c>
      <c r="F22" s="82">
        <v>5</v>
      </c>
      <c r="G22" s="83">
        <v>1</v>
      </c>
      <c r="H22" s="84">
        <f t="shared" si="6"/>
        <v>100</v>
      </c>
      <c r="I22" s="84">
        <f t="shared" si="1"/>
        <v>100</v>
      </c>
      <c r="J22" s="84">
        <f t="shared" si="7"/>
        <v>200</v>
      </c>
      <c r="K22" s="80">
        <f t="shared" si="8"/>
        <v>0.125</v>
      </c>
      <c r="L22" s="85">
        <f>IFERROR(K22*PPTO!$I$19,"")</f>
        <v>52512.122812500027</v>
      </c>
      <c r="M22" s="86">
        <v>405</v>
      </c>
      <c r="N22" s="80">
        <f t="shared" si="2"/>
        <v>0.12926907117778488</v>
      </c>
      <c r="O22" s="81">
        <f>IFERROR(N22*PPTO!$I$20,"")</f>
        <v>54305.546732365176</v>
      </c>
      <c r="P22" s="82">
        <v>9</v>
      </c>
      <c r="Q22" s="86">
        <v>1</v>
      </c>
      <c r="R22" s="84">
        <f t="shared" si="3"/>
        <v>10</v>
      </c>
      <c r="S22" s="80">
        <f t="shared" si="4"/>
        <v>0.13698630136986301</v>
      </c>
      <c r="T22" s="85">
        <f>IFERROR(S22*PPTO!$I$21,"")</f>
        <v>57547.531849315092</v>
      </c>
      <c r="U22" s="105">
        <f t="shared" si="5"/>
        <v>209844</v>
      </c>
      <c r="V22" s="4"/>
    </row>
    <row r="23" spans="1:22" s="2" customFormat="1" ht="12" customHeight="1" x14ac:dyDescent="0.15">
      <c r="A23" s="47" t="s">
        <v>60</v>
      </c>
      <c r="B23" s="62" t="str">
        <f>+'1 AFD'!C23</f>
        <v>Sí</v>
      </c>
      <c r="C23" s="79">
        <v>203</v>
      </c>
      <c r="D23" s="80">
        <f t="shared" si="0"/>
        <v>3.5218598195697434E-2</v>
      </c>
      <c r="E23" s="81">
        <f>IFERROR(D23*PPTO!$I$18,"")</f>
        <v>14795.226829892445</v>
      </c>
      <c r="F23" s="82">
        <v>4</v>
      </c>
      <c r="G23" s="83">
        <v>1</v>
      </c>
      <c r="H23" s="84">
        <f t="shared" si="6"/>
        <v>0</v>
      </c>
      <c r="I23" s="84">
        <f t="shared" si="1"/>
        <v>100</v>
      </c>
      <c r="J23" s="84">
        <f t="shared" si="7"/>
        <v>100</v>
      </c>
      <c r="K23" s="80">
        <f t="shared" si="8"/>
        <v>6.25E-2</v>
      </c>
      <c r="L23" s="85">
        <f>IFERROR(K23*PPTO!$I$19,"")</f>
        <v>26256.061406250014</v>
      </c>
      <c r="M23" s="86">
        <v>124</v>
      </c>
      <c r="N23" s="80">
        <f t="shared" si="2"/>
        <v>3.9578678582827959E-2</v>
      </c>
      <c r="O23" s="81">
        <f>IFERROR(N23*PPTO!$I$20,"")</f>
        <v>16626.88344398341</v>
      </c>
      <c r="P23" s="82">
        <v>0</v>
      </c>
      <c r="Q23" s="86">
        <v>1</v>
      </c>
      <c r="R23" s="84">
        <f t="shared" si="3"/>
        <v>1</v>
      </c>
      <c r="S23" s="80">
        <f t="shared" si="4"/>
        <v>1.3698630136986301E-2</v>
      </c>
      <c r="T23" s="85">
        <f>IFERROR(S23*PPTO!$I$21,"")</f>
        <v>5754.7531849315092</v>
      </c>
      <c r="U23" s="105">
        <f t="shared" si="5"/>
        <v>63433</v>
      </c>
      <c r="V23" s="4"/>
    </row>
    <row r="24" spans="1:22" s="2" customFormat="1" ht="12" customHeight="1" x14ac:dyDescent="0.15">
      <c r="A24" s="47" t="s">
        <v>61</v>
      </c>
      <c r="B24" s="62" t="str">
        <f>+'1 AFD'!C24</f>
        <v>Sí</v>
      </c>
      <c r="C24" s="79">
        <v>36</v>
      </c>
      <c r="D24" s="80">
        <f t="shared" si="0"/>
        <v>6.2456627342123523E-3</v>
      </c>
      <c r="E24" s="81">
        <f>IFERROR(D24*PPTO!$I$18,"")</f>
        <v>2623.78406835531</v>
      </c>
      <c r="F24" s="82">
        <v>3</v>
      </c>
      <c r="G24" s="83">
        <v>0</v>
      </c>
      <c r="H24" s="84">
        <f t="shared" si="6"/>
        <v>0</v>
      </c>
      <c r="I24" s="84">
        <f t="shared" si="1"/>
        <v>0</v>
      </c>
      <c r="J24" s="84">
        <f t="shared" si="7"/>
        <v>0</v>
      </c>
      <c r="K24" s="80">
        <f t="shared" si="8"/>
        <v>0</v>
      </c>
      <c r="L24" s="85">
        <f>IFERROR(K24*PPTO!$I$19,"")</f>
        <v>0</v>
      </c>
      <c r="M24" s="86">
        <v>47</v>
      </c>
      <c r="N24" s="80">
        <f t="shared" si="2"/>
        <v>1.5001595914458985E-2</v>
      </c>
      <c r="O24" s="81">
        <f>IFERROR(N24*PPTO!$I$20,"")</f>
        <v>6302.1251763485516</v>
      </c>
      <c r="P24" s="82">
        <v>0</v>
      </c>
      <c r="Q24" s="86">
        <v>0</v>
      </c>
      <c r="R24" s="84">
        <f t="shared" si="3"/>
        <v>0</v>
      </c>
      <c r="S24" s="80">
        <f t="shared" si="4"/>
        <v>0</v>
      </c>
      <c r="T24" s="85">
        <f>IFERROR(S24*PPTO!$I$21,"")</f>
        <v>0</v>
      </c>
      <c r="U24" s="105">
        <f t="shared" si="5"/>
        <v>8926</v>
      </c>
      <c r="V24" s="4"/>
    </row>
    <row r="25" spans="1:22" s="2" customFormat="1" ht="12" customHeight="1" x14ac:dyDescent="0.15">
      <c r="A25" s="50" t="s">
        <v>62</v>
      </c>
      <c r="B25" s="63" t="str">
        <f>+'1 AFD'!C25</f>
        <v>Sí</v>
      </c>
      <c r="C25" s="87">
        <v>399</v>
      </c>
      <c r="D25" s="88">
        <f t="shared" si="0"/>
        <v>6.9222761970853572E-2</v>
      </c>
      <c r="E25" s="89">
        <f>IFERROR(D25*PPTO!$I$18,"")</f>
        <v>29080.273424271352</v>
      </c>
      <c r="F25" s="90">
        <v>5</v>
      </c>
      <c r="G25" s="91">
        <v>1</v>
      </c>
      <c r="H25" s="92">
        <f t="shared" si="6"/>
        <v>100</v>
      </c>
      <c r="I25" s="92">
        <f t="shared" si="1"/>
        <v>100</v>
      </c>
      <c r="J25" s="92">
        <f t="shared" si="7"/>
        <v>200</v>
      </c>
      <c r="K25" s="88">
        <f t="shared" si="8"/>
        <v>0.125</v>
      </c>
      <c r="L25" s="93">
        <f>IFERROR(K25*PPTO!$I$19,"")</f>
        <v>52512.122812500027</v>
      </c>
      <c r="M25" s="94">
        <v>216</v>
      </c>
      <c r="N25" s="88">
        <f t="shared" si="2"/>
        <v>6.8943504628151936E-2</v>
      </c>
      <c r="O25" s="89">
        <f>IFERROR(N25*PPTO!$I$20,"")</f>
        <v>28962.958257261427</v>
      </c>
      <c r="P25" s="90">
        <v>5</v>
      </c>
      <c r="Q25" s="94">
        <v>0</v>
      </c>
      <c r="R25" s="92">
        <f t="shared" si="3"/>
        <v>5</v>
      </c>
      <c r="S25" s="88">
        <f t="shared" si="4"/>
        <v>6.8493150684931503E-2</v>
      </c>
      <c r="T25" s="93">
        <f>IFERROR(S25*PPTO!$I$21,"")</f>
        <v>28773.765924657546</v>
      </c>
      <c r="U25" s="106">
        <f t="shared" si="5"/>
        <v>139329</v>
      </c>
      <c r="V25" s="4"/>
    </row>
    <row r="26" spans="1:22" ht="12" customHeight="1" x14ac:dyDescent="0.2">
      <c r="A26" s="20"/>
      <c r="B26" s="20"/>
      <c r="C26" s="24"/>
      <c r="D26" s="24"/>
      <c r="E26" s="24"/>
      <c r="F26" s="24"/>
      <c r="G26" s="24"/>
      <c r="H26" s="24"/>
      <c r="I26" s="20"/>
      <c r="J26" s="25">
        <f>SUM(J8:J25)</f>
        <v>1600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0"/>
    </row>
    <row r="27" spans="1:22" ht="12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6"/>
      <c r="V27" s="20"/>
    </row>
    <row r="28" spans="1:22" hidden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7"/>
      <c r="M28" s="20"/>
      <c r="N28" s="20"/>
      <c r="O28" s="27"/>
      <c r="P28" s="20"/>
      <c r="Q28" s="20"/>
      <c r="R28" s="20"/>
      <c r="S28" s="20"/>
      <c r="T28" s="27"/>
      <c r="U28" s="26"/>
      <c r="V28" s="20"/>
    </row>
    <row r="29" spans="1:22" hidden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hidden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hidden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hidden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hidden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hidden="1" x14ac:dyDescent="0.2"/>
    <row r="35" spans="1:22" hidden="1" x14ac:dyDescent="0.2"/>
    <row r="36" spans="1:22" hidden="1" x14ac:dyDescent="0.2"/>
    <row r="37" spans="1:22" hidden="1" x14ac:dyDescent="0.2"/>
    <row r="38" spans="1:22" hidden="1" x14ac:dyDescent="0.2"/>
    <row r="39" spans="1:22" hidden="1" x14ac:dyDescent="0.2"/>
    <row r="40" spans="1:22" hidden="1" x14ac:dyDescent="0.2"/>
    <row r="41" spans="1:22" hidden="1" x14ac:dyDescent="0.2"/>
    <row r="42" spans="1:22" hidden="1" x14ac:dyDescent="0.2"/>
    <row r="43" spans="1:22" hidden="1" x14ac:dyDescent="0.2"/>
    <row r="44" spans="1:22" hidden="1" x14ac:dyDescent="0.2"/>
    <row r="45" spans="1:22" hidden="1" x14ac:dyDescent="0.2"/>
    <row r="46" spans="1:22" hidden="1" x14ac:dyDescent="0.2"/>
  </sheetData>
  <mergeCells count="24">
    <mergeCell ref="P5:T5"/>
    <mergeCell ref="C5:E5"/>
    <mergeCell ref="F5:L5"/>
    <mergeCell ref="M5:O5"/>
    <mergeCell ref="C6:C7"/>
    <mergeCell ref="D6:D7"/>
    <mergeCell ref="E6:E7"/>
    <mergeCell ref="T6:T7"/>
    <mergeCell ref="A4:A7"/>
    <mergeCell ref="B4:B7"/>
    <mergeCell ref="C4:T4"/>
    <mergeCell ref="U4:U7"/>
    <mergeCell ref="L6:L7"/>
    <mergeCell ref="M6:M7"/>
    <mergeCell ref="N6:N7"/>
    <mergeCell ref="O6:O7"/>
    <mergeCell ref="P6:R6"/>
    <mergeCell ref="S6:S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PFE2018 Distribución</vt:lpstr>
      <vt:lpstr>PPTO</vt:lpstr>
      <vt:lpstr>1 AFD</vt:lpstr>
      <vt:lpstr>2 Gratuidad</vt:lpstr>
      <vt:lpstr>3 Investigación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Pablo Yañez Navarro</dc:creator>
  <cp:lastModifiedBy>Usuario de Microsoft Office</cp:lastModifiedBy>
  <dcterms:created xsi:type="dcterms:W3CDTF">2018-06-28T15:32:37Z</dcterms:created>
  <dcterms:modified xsi:type="dcterms:W3CDTF">2018-10-12T15:28:32Z</dcterms:modified>
</cp:coreProperties>
</file>