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UDAC 2008\CD Basal\AIUE_BD_FI (2019)\"/>
    </mc:Choice>
  </mc:AlternateContent>
  <xr:revisionPtr revIDLastSave="0" documentId="13_ncr:1_{C5AEB790-AF02-4245-82D4-2096109F1197}" xr6:coauthVersionLast="43" xr6:coauthVersionMax="43" xr10:uidLastSave="{00000000-0000-0000-0000-000000000000}"/>
  <bookViews>
    <workbookView xWindow="10740" yWindow="480" windowWidth="17085" windowHeight="12195" tabRatio="889" xr2:uid="{00000000-000D-0000-FFFF-FFFF00000000}"/>
  </bookViews>
  <sheets>
    <sheet name="Montos BD 2019" sheetId="4" r:id="rId1"/>
    <sheet name="Montos BD 2019 Anticipo y Saldo" sheetId="11" r:id="rId2"/>
    <sheet name="Categorías" sheetId="1" r:id="rId3"/>
    <sheet name="Valores" sheetId="2" r:id="rId4"/>
    <sheet name="Indicadores" sheetId="3" r:id="rId5"/>
    <sheet name="Publicaciones BD" sheetId="5" r:id="rId6"/>
    <sheet name="Acreditación BD" sheetId="6" r:id="rId7"/>
    <sheet name="Doctorado JC BD" sheetId="7" r:id="rId8"/>
    <sheet name="Programas Doct. Acreditados BD" sheetId="8" r:id="rId9"/>
    <sheet name="Académicos JC BD" sheetId="9" r:id="rId10"/>
    <sheet name="Matrícula Regular Pre BD" sheetId="10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9" hidden="1">'Académicos JC BD'!$A$2:$C$11</definedName>
    <definedName name="_xlnm._FilterDatabase" localSheetId="2" hidden="1">Categorías!$A$3:$AB$13</definedName>
    <definedName name="_xlnm._FilterDatabase" localSheetId="7" hidden="1">'Doctorado JC BD'!$A$2:$C$11</definedName>
    <definedName name="_xlnm._FilterDatabase" localSheetId="4" hidden="1">Indicadores!$A$1:$AI$3</definedName>
    <definedName name="_xlnm._FilterDatabase" localSheetId="0" hidden="1">'Montos BD 2019'!$A$6:$P$22</definedName>
    <definedName name="_xlnm._FilterDatabase" localSheetId="1" hidden="1">'Montos BD 2019 Anticipo y Saldo'!$A$6:$D$20</definedName>
    <definedName name="_xlnm._FilterDatabase" localSheetId="3" hidden="1">Valores!$A$1:$Y$17</definedName>
    <definedName name="_xlnm.Print_Titles" localSheetId="0">'Montos BD 2019'!$A:$A</definedName>
    <definedName name="_xlnm.Print_Titles" localSheetId="1">'Montos BD 2019 Anticipo y Saldo'!$A:$A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1" l="1"/>
  <c r="H14" i="11"/>
  <c r="H12" i="11"/>
  <c r="H13" i="11"/>
  <c r="H15" i="11"/>
  <c r="H16" i="11"/>
  <c r="H17" i="11"/>
  <c r="H18" i="11"/>
  <c r="H10" i="11"/>
  <c r="J19" i="11" l="1"/>
  <c r="F12" i="4" l="1"/>
  <c r="H12" i="4"/>
  <c r="I12" i="4"/>
  <c r="F13" i="4"/>
  <c r="H13" i="4"/>
  <c r="I13" i="4"/>
  <c r="F16" i="4"/>
  <c r="H16" i="4"/>
  <c r="I16" i="4" s="1"/>
  <c r="F14" i="4"/>
  <c r="H14" i="4"/>
  <c r="I14" i="4" s="1"/>
  <c r="F15" i="4"/>
  <c r="H15" i="4"/>
  <c r="I15" i="4" s="1"/>
  <c r="F17" i="4"/>
  <c r="H17" i="4"/>
  <c r="I17" i="4" s="1"/>
  <c r="F18" i="4"/>
  <c r="H18" i="4"/>
  <c r="I18" i="4" s="1"/>
  <c r="F19" i="4"/>
  <c r="H19" i="4"/>
  <c r="I19" i="4" s="1"/>
  <c r="F20" i="4"/>
  <c r="H20" i="4"/>
  <c r="I20" i="4"/>
  <c r="E21" i="4"/>
  <c r="G21" i="4"/>
  <c r="Q21" i="4"/>
  <c r="H26" i="4"/>
  <c r="D26" i="4"/>
  <c r="B28" i="4" s="1"/>
  <c r="F21" i="4" l="1"/>
  <c r="E26" i="4" s="1"/>
  <c r="H21" i="4"/>
  <c r="I21" i="4"/>
  <c r="F26" i="4" s="1"/>
  <c r="C4" i="9" l="1"/>
  <c r="C5" i="9"/>
  <c r="C6" i="9"/>
  <c r="C7" i="9"/>
  <c r="C8" i="9"/>
  <c r="C9" i="9"/>
  <c r="C10" i="9"/>
  <c r="C11" i="9"/>
  <c r="C3" i="9"/>
  <c r="C4" i="7"/>
  <c r="C5" i="7"/>
  <c r="C6" i="7"/>
  <c r="C7" i="7"/>
  <c r="C8" i="7"/>
  <c r="C9" i="7"/>
  <c r="C10" i="7"/>
  <c r="C11" i="7"/>
  <c r="C3" i="7"/>
  <c r="E12" i="2" l="1"/>
  <c r="E11" i="2"/>
  <c r="E10" i="2"/>
  <c r="E9" i="2"/>
  <c r="E8" i="2"/>
  <c r="E7" i="2"/>
  <c r="E6" i="2"/>
  <c r="E5" i="2"/>
  <c r="E4" i="2"/>
  <c r="Z5" i="1" l="1"/>
  <c r="Z6" i="1"/>
  <c r="Z7" i="1"/>
  <c r="Z8" i="1"/>
  <c r="Z9" i="1"/>
  <c r="Z10" i="1"/>
  <c r="Z11" i="1"/>
  <c r="Z12" i="1"/>
  <c r="Z4" i="1"/>
  <c r="C4" i="5" l="1"/>
  <c r="C5" i="5"/>
  <c r="C6" i="5"/>
  <c r="C7" i="5"/>
  <c r="C8" i="5"/>
  <c r="C9" i="5"/>
  <c r="C10" i="5"/>
  <c r="C11" i="5"/>
  <c r="C3" i="5"/>
  <c r="K5" i="2"/>
  <c r="K6" i="2"/>
  <c r="K7" i="2"/>
  <c r="K8" i="2"/>
  <c r="K9" i="2"/>
  <c r="K10" i="2"/>
  <c r="K11" i="2"/>
  <c r="K12" i="2"/>
  <c r="K4" i="2"/>
  <c r="L4" i="2" l="1"/>
  <c r="L11" i="2"/>
  <c r="L5" i="2"/>
  <c r="L12" i="2"/>
  <c r="L6" i="2"/>
  <c r="L10" i="2"/>
  <c r="L8" i="2"/>
  <c r="L7" i="2"/>
  <c r="L9" i="2"/>
  <c r="M4" i="2"/>
  <c r="M11" i="2"/>
  <c r="M5" i="2"/>
  <c r="M12" i="2"/>
  <c r="M6" i="2"/>
  <c r="M10" i="2"/>
  <c r="M8" i="2"/>
  <c r="M7" i="2"/>
  <c r="M9" i="2"/>
  <c r="Y5" i="2" l="1"/>
  <c r="Y6" i="2"/>
  <c r="Y7" i="2"/>
  <c r="Y8" i="2"/>
  <c r="Y9" i="2"/>
  <c r="Y10" i="2"/>
  <c r="Y11" i="2"/>
  <c r="Y12" i="2"/>
  <c r="Y4" i="2"/>
  <c r="X5" i="2"/>
  <c r="X6" i="2"/>
  <c r="X7" i="2"/>
  <c r="X8" i="2"/>
  <c r="X9" i="2"/>
  <c r="X10" i="2"/>
  <c r="X11" i="2"/>
  <c r="X12" i="2"/>
  <c r="X4" i="2"/>
  <c r="W5" i="2" l="1"/>
  <c r="W6" i="2"/>
  <c r="W7" i="2"/>
  <c r="O7" i="3" s="1"/>
  <c r="W8" i="2"/>
  <c r="O8" i="3" s="1"/>
  <c r="W9" i="2"/>
  <c r="O9" i="3" s="1"/>
  <c r="W10" i="2"/>
  <c r="W11" i="2"/>
  <c r="W12" i="2"/>
  <c r="W4" i="2"/>
  <c r="V13" i="2"/>
  <c r="U13" i="2"/>
  <c r="T7" i="2"/>
  <c r="T8" i="2"/>
  <c r="T9" i="2"/>
  <c r="W13" i="2" l="1"/>
  <c r="S5" i="2"/>
  <c r="S6" i="2"/>
  <c r="S7" i="2"/>
  <c r="S8" i="2"/>
  <c r="S9" i="2"/>
  <c r="S10" i="2"/>
  <c r="S11" i="2"/>
  <c r="S12" i="2"/>
  <c r="S4" i="2"/>
  <c r="R4" i="2"/>
  <c r="R9" i="2"/>
  <c r="R5" i="2"/>
  <c r="Q5" i="2"/>
  <c r="Q6" i="2"/>
  <c r="Q7" i="2"/>
  <c r="Q8" i="2"/>
  <c r="Q9" i="2"/>
  <c r="Q10" i="2"/>
  <c r="Q11" i="2"/>
  <c r="Q12" i="2"/>
  <c r="Q4" i="2"/>
  <c r="P5" i="2"/>
  <c r="P6" i="2"/>
  <c r="P7" i="2"/>
  <c r="P8" i="2"/>
  <c r="P9" i="2"/>
  <c r="P10" i="2"/>
  <c r="P11" i="2"/>
  <c r="P12" i="2"/>
  <c r="P4" i="2"/>
  <c r="R12" i="2" l="1"/>
  <c r="R8" i="2"/>
  <c r="R11" i="2"/>
  <c r="R7" i="2"/>
  <c r="R10" i="2"/>
  <c r="R6" i="2"/>
  <c r="O5" i="2"/>
  <c r="O6" i="2"/>
  <c r="O7" i="2"/>
  <c r="O8" i="2"/>
  <c r="O9" i="2"/>
  <c r="O10" i="2"/>
  <c r="O11" i="2"/>
  <c r="O12" i="2"/>
  <c r="O4" i="2"/>
  <c r="N5" i="2"/>
  <c r="N6" i="2"/>
  <c r="N7" i="2"/>
  <c r="N8" i="2"/>
  <c r="N9" i="2"/>
  <c r="N10" i="2"/>
  <c r="N11" i="2"/>
  <c r="N12" i="2"/>
  <c r="N4" i="2"/>
  <c r="J5" i="2"/>
  <c r="J6" i="2"/>
  <c r="J7" i="2"/>
  <c r="J8" i="2"/>
  <c r="J9" i="2"/>
  <c r="J10" i="2"/>
  <c r="J11" i="2"/>
  <c r="J12" i="2"/>
  <c r="J4" i="2"/>
  <c r="I5" i="2"/>
  <c r="I6" i="2"/>
  <c r="I7" i="2"/>
  <c r="I8" i="2"/>
  <c r="I9" i="2"/>
  <c r="I10" i="2"/>
  <c r="I11" i="2"/>
  <c r="I12" i="2"/>
  <c r="H5" i="2"/>
  <c r="H6" i="2"/>
  <c r="H7" i="2"/>
  <c r="H8" i="2"/>
  <c r="H9" i="2"/>
  <c r="H10" i="2"/>
  <c r="H11" i="2"/>
  <c r="H12" i="2"/>
  <c r="I4" i="2"/>
  <c r="H4" i="2"/>
  <c r="G5" i="2"/>
  <c r="G6" i="2"/>
  <c r="G7" i="2"/>
  <c r="G8" i="2"/>
  <c r="G9" i="2"/>
  <c r="G10" i="2"/>
  <c r="G11" i="2"/>
  <c r="G12" i="2"/>
  <c r="G4" i="2"/>
  <c r="F5" i="2"/>
  <c r="F6" i="2"/>
  <c r="F7" i="2"/>
  <c r="F8" i="2"/>
  <c r="F9" i="2"/>
  <c r="F10" i="2"/>
  <c r="F11" i="2"/>
  <c r="F12" i="2"/>
  <c r="F4" i="2"/>
  <c r="C4" i="10" l="1"/>
  <c r="C5" i="10"/>
  <c r="C6" i="10"/>
  <c r="C7" i="10"/>
  <c r="C8" i="10"/>
  <c r="C9" i="10"/>
  <c r="C10" i="10"/>
  <c r="C11" i="10"/>
  <c r="C3" i="10"/>
  <c r="E4" i="6" l="1"/>
  <c r="E5" i="6"/>
  <c r="E6" i="6"/>
  <c r="E7" i="6"/>
  <c r="E8" i="6"/>
  <c r="E9" i="6"/>
  <c r="E10" i="6"/>
  <c r="E11" i="6"/>
  <c r="E3" i="6"/>
  <c r="D4" i="6"/>
  <c r="D5" i="6"/>
  <c r="D6" i="6"/>
  <c r="D7" i="6"/>
  <c r="D8" i="6"/>
  <c r="D9" i="6"/>
  <c r="D10" i="6"/>
  <c r="D11" i="6"/>
  <c r="D3" i="6"/>
  <c r="C4" i="6"/>
  <c r="C5" i="6"/>
  <c r="C6" i="6"/>
  <c r="C7" i="6"/>
  <c r="C8" i="6"/>
  <c r="C9" i="6"/>
  <c r="C10" i="6"/>
  <c r="C11" i="6"/>
  <c r="C3" i="6"/>
  <c r="U5" i="1" l="1"/>
  <c r="U6" i="1"/>
  <c r="U7" i="1"/>
  <c r="U8" i="1"/>
  <c r="U9" i="1"/>
  <c r="U10" i="1"/>
  <c r="U11" i="1"/>
  <c r="U12" i="1"/>
  <c r="U4" i="1"/>
  <c r="T5" i="1"/>
  <c r="T6" i="1"/>
  <c r="T7" i="1"/>
  <c r="T8" i="1"/>
  <c r="T9" i="1"/>
  <c r="T10" i="1"/>
  <c r="T11" i="1"/>
  <c r="T12" i="1"/>
  <c r="T4" i="1"/>
  <c r="S5" i="1"/>
  <c r="S6" i="1"/>
  <c r="S7" i="1"/>
  <c r="S8" i="1"/>
  <c r="S9" i="1"/>
  <c r="S10" i="1"/>
  <c r="S11" i="1"/>
  <c r="S12" i="1"/>
  <c r="S4" i="1"/>
  <c r="R5" i="1"/>
  <c r="R6" i="1"/>
  <c r="R7" i="1"/>
  <c r="R8" i="1"/>
  <c r="R9" i="1"/>
  <c r="R10" i="1"/>
  <c r="R11" i="1"/>
  <c r="R12" i="1"/>
  <c r="R4" i="1"/>
  <c r="Q5" i="1"/>
  <c r="Q6" i="1"/>
  <c r="Q7" i="1"/>
  <c r="Q8" i="1"/>
  <c r="Q9" i="1"/>
  <c r="Q10" i="1"/>
  <c r="Q11" i="1"/>
  <c r="Q12" i="1"/>
  <c r="Q4" i="1"/>
  <c r="P5" i="1"/>
  <c r="P6" i="1"/>
  <c r="P7" i="1"/>
  <c r="P8" i="1"/>
  <c r="P9" i="1"/>
  <c r="P10" i="1"/>
  <c r="P11" i="1"/>
  <c r="P12" i="1"/>
  <c r="P4" i="1"/>
  <c r="O5" i="1"/>
  <c r="O6" i="1"/>
  <c r="O7" i="1"/>
  <c r="O8" i="1"/>
  <c r="O9" i="1"/>
  <c r="O10" i="1"/>
  <c r="O11" i="1"/>
  <c r="O12" i="1"/>
  <c r="O4" i="1"/>
  <c r="N5" i="1"/>
  <c r="N6" i="1"/>
  <c r="N7" i="1"/>
  <c r="N8" i="1"/>
  <c r="N9" i="1"/>
  <c r="N10" i="1"/>
  <c r="N11" i="1"/>
  <c r="N12" i="1"/>
  <c r="N4" i="1"/>
  <c r="L5" i="1"/>
  <c r="L6" i="1"/>
  <c r="L7" i="1"/>
  <c r="L8" i="1"/>
  <c r="L9" i="1"/>
  <c r="L10" i="1"/>
  <c r="L11" i="1"/>
  <c r="L12" i="1"/>
  <c r="L4" i="1"/>
  <c r="K5" i="1"/>
  <c r="K6" i="1"/>
  <c r="K7" i="1"/>
  <c r="K8" i="1"/>
  <c r="K9" i="1"/>
  <c r="K10" i="1"/>
  <c r="K11" i="1"/>
  <c r="K12" i="1"/>
  <c r="K4" i="1"/>
  <c r="H5" i="1"/>
  <c r="H6" i="1"/>
  <c r="H7" i="1"/>
  <c r="H8" i="1"/>
  <c r="H9" i="1"/>
  <c r="H10" i="1"/>
  <c r="H11" i="1"/>
  <c r="H12" i="1"/>
  <c r="H4" i="1"/>
  <c r="G5" i="1"/>
  <c r="G6" i="1"/>
  <c r="G7" i="1"/>
  <c r="G8" i="1"/>
  <c r="G9" i="1"/>
  <c r="G10" i="1"/>
  <c r="G11" i="1"/>
  <c r="G12" i="1"/>
  <c r="G4" i="1"/>
  <c r="J13" i="1"/>
  <c r="D13" i="1"/>
  <c r="F5" i="1"/>
  <c r="F6" i="1"/>
  <c r="F7" i="1"/>
  <c r="F8" i="1"/>
  <c r="F9" i="1"/>
  <c r="F10" i="1"/>
  <c r="F11" i="1"/>
  <c r="F12" i="1"/>
  <c r="F4" i="1"/>
  <c r="E5" i="1"/>
  <c r="E6" i="1"/>
  <c r="E7" i="1"/>
  <c r="E8" i="1"/>
  <c r="E9" i="1"/>
  <c r="E10" i="1"/>
  <c r="E11" i="1"/>
  <c r="E12" i="1"/>
  <c r="E4" i="1"/>
  <c r="M4" i="1" l="1"/>
  <c r="M9" i="1"/>
  <c r="M5" i="1"/>
  <c r="X4" i="1"/>
  <c r="X9" i="1"/>
  <c r="X5" i="1"/>
  <c r="V4" i="1"/>
  <c r="V9" i="1"/>
  <c r="V5" i="1"/>
  <c r="M12" i="1"/>
  <c r="X12" i="1"/>
  <c r="X8" i="1"/>
  <c r="V12" i="1"/>
  <c r="V8" i="1"/>
  <c r="X11" i="1"/>
  <c r="X7" i="1"/>
  <c r="V11" i="1"/>
  <c r="V7" i="1"/>
  <c r="F13" i="1"/>
  <c r="M10" i="1"/>
  <c r="M6" i="1"/>
  <c r="M11" i="1"/>
  <c r="X10" i="1"/>
  <c r="X6" i="1"/>
  <c r="V10" i="1"/>
  <c r="V6" i="1"/>
  <c r="M7" i="1"/>
  <c r="E13" i="1"/>
  <c r="M8" i="1"/>
  <c r="K13" i="1"/>
  <c r="H13" i="1"/>
  <c r="G13" i="1"/>
  <c r="Y10" i="1" l="1"/>
  <c r="C7" i="8" s="1"/>
  <c r="Y11" i="1"/>
  <c r="C4" i="8" s="1"/>
  <c r="W4" i="1"/>
  <c r="Y4" i="1"/>
  <c r="C3" i="8" s="1"/>
  <c r="Y9" i="1"/>
  <c r="C11" i="8" s="1"/>
  <c r="Y6" i="1"/>
  <c r="C6" i="8" s="1"/>
  <c r="W11" i="1"/>
  <c r="Y7" i="1"/>
  <c r="C10" i="8" s="1"/>
  <c r="Y8" i="1"/>
  <c r="C9" i="8" s="1"/>
  <c r="W12" i="1"/>
  <c r="W9" i="1"/>
  <c r="Y5" i="1"/>
  <c r="C5" i="8" s="1"/>
  <c r="W8" i="1"/>
  <c r="Y12" i="1"/>
  <c r="C8" i="8" s="1"/>
  <c r="W5" i="1"/>
  <c r="W7" i="1"/>
  <c r="W6" i="1"/>
  <c r="W10" i="1"/>
  <c r="W13" i="1" l="1"/>
  <c r="H11" i="6" l="1"/>
  <c r="G11" i="6"/>
  <c r="F11" i="6"/>
  <c r="H10" i="6"/>
  <c r="G10" i="6"/>
  <c r="F10" i="6"/>
  <c r="H9" i="6"/>
  <c r="G9" i="6"/>
  <c r="F9" i="6"/>
  <c r="H8" i="6"/>
  <c r="G8" i="6"/>
  <c r="F8" i="6"/>
  <c r="H7" i="6"/>
  <c r="G7" i="6"/>
  <c r="F7" i="6"/>
  <c r="H6" i="6"/>
  <c r="G6" i="6"/>
  <c r="F6" i="6"/>
  <c r="H5" i="6"/>
  <c r="G5" i="6"/>
  <c r="F5" i="6"/>
  <c r="H4" i="6"/>
  <c r="G4" i="6"/>
  <c r="F4" i="6"/>
  <c r="G3" i="6"/>
  <c r="F3" i="6"/>
  <c r="C12" i="5"/>
  <c r="D11" i="5" s="1"/>
  <c r="U77" i="3"/>
  <c r="T77" i="3"/>
  <c r="S77" i="3"/>
  <c r="R77" i="3"/>
  <c r="Q77" i="3"/>
  <c r="U76" i="3"/>
  <c r="T76" i="3"/>
  <c r="S76" i="3"/>
  <c r="R76" i="3"/>
  <c r="Q76" i="3"/>
  <c r="U75" i="3"/>
  <c r="T75" i="3"/>
  <c r="S75" i="3"/>
  <c r="R75" i="3"/>
  <c r="Q75" i="3"/>
  <c r="U74" i="3"/>
  <c r="T74" i="3"/>
  <c r="S74" i="3"/>
  <c r="R74" i="3"/>
  <c r="Q74" i="3"/>
  <c r="U73" i="3"/>
  <c r="T73" i="3"/>
  <c r="S73" i="3"/>
  <c r="R73" i="3"/>
  <c r="Q73" i="3"/>
  <c r="U63" i="3"/>
  <c r="T63" i="3"/>
  <c r="S63" i="3"/>
  <c r="R63" i="3"/>
  <c r="Q63" i="3"/>
  <c r="U62" i="3"/>
  <c r="T62" i="3"/>
  <c r="S62" i="3"/>
  <c r="R62" i="3"/>
  <c r="Q62" i="3"/>
  <c r="U61" i="3"/>
  <c r="T61" i="3"/>
  <c r="S61" i="3"/>
  <c r="R61" i="3"/>
  <c r="Q61" i="3"/>
  <c r="U60" i="3"/>
  <c r="T60" i="3"/>
  <c r="S60" i="3"/>
  <c r="R60" i="3"/>
  <c r="Q60" i="3"/>
  <c r="U59" i="3"/>
  <c r="T59" i="3"/>
  <c r="S59" i="3"/>
  <c r="R59" i="3"/>
  <c r="Q59" i="3"/>
  <c r="U58" i="3"/>
  <c r="T58" i="3"/>
  <c r="S58" i="3"/>
  <c r="R58" i="3"/>
  <c r="Q58" i="3"/>
  <c r="U57" i="3"/>
  <c r="T57" i="3"/>
  <c r="S57" i="3"/>
  <c r="R57" i="3"/>
  <c r="Q57" i="3"/>
  <c r="U56" i="3"/>
  <c r="T56" i="3"/>
  <c r="S56" i="3"/>
  <c r="R56" i="3"/>
  <c r="Q56" i="3"/>
  <c r="U55" i="3"/>
  <c r="T55" i="3"/>
  <c r="S55" i="3"/>
  <c r="R55" i="3"/>
  <c r="Q55" i="3"/>
  <c r="U54" i="3"/>
  <c r="T54" i="3"/>
  <c r="S54" i="3"/>
  <c r="R54" i="3"/>
  <c r="Q54" i="3"/>
  <c r="U53" i="3"/>
  <c r="T53" i="3"/>
  <c r="S53" i="3"/>
  <c r="R53" i="3"/>
  <c r="Q53" i="3"/>
  <c r="U52" i="3"/>
  <c r="T52" i="3"/>
  <c r="S52" i="3"/>
  <c r="R52" i="3"/>
  <c r="Q52" i="3"/>
  <c r="U51" i="3"/>
  <c r="T51" i="3"/>
  <c r="S51" i="3"/>
  <c r="R51" i="3"/>
  <c r="Q51" i="3"/>
  <c r="U50" i="3"/>
  <c r="T50" i="3"/>
  <c r="S50" i="3"/>
  <c r="R50" i="3"/>
  <c r="Q50" i="3"/>
  <c r="U49" i="3"/>
  <c r="T49" i="3"/>
  <c r="S49" i="3"/>
  <c r="R49" i="3"/>
  <c r="Q49" i="3"/>
  <c r="U48" i="3"/>
  <c r="T48" i="3"/>
  <c r="S48" i="3"/>
  <c r="R48" i="3"/>
  <c r="Q48" i="3"/>
  <c r="C12" i="2"/>
  <c r="C12" i="3" s="1"/>
  <c r="B12" i="2"/>
  <c r="A12" i="2"/>
  <c r="A12" i="3" s="1"/>
  <c r="C11" i="2"/>
  <c r="C11" i="3" s="1"/>
  <c r="B11" i="2"/>
  <c r="A11" i="2"/>
  <c r="A11" i="3" s="1"/>
  <c r="C10" i="2"/>
  <c r="C10" i="3" s="1"/>
  <c r="B10" i="2"/>
  <c r="A10" i="2"/>
  <c r="A10" i="3" s="1"/>
  <c r="C9" i="2"/>
  <c r="C9" i="3" s="1"/>
  <c r="B9" i="2"/>
  <c r="A9" i="2"/>
  <c r="A9" i="3" s="1"/>
  <c r="C8" i="2"/>
  <c r="C8" i="3" s="1"/>
  <c r="B8" i="2"/>
  <c r="A8" i="2"/>
  <c r="A8" i="3" s="1"/>
  <c r="C7" i="2"/>
  <c r="C7" i="3" s="1"/>
  <c r="B7" i="2"/>
  <c r="A7" i="2"/>
  <c r="A7" i="3" s="1"/>
  <c r="C6" i="2"/>
  <c r="C6" i="3" s="1"/>
  <c r="B6" i="2"/>
  <c r="A6" i="2"/>
  <c r="A6" i="3" s="1"/>
  <c r="C5" i="2"/>
  <c r="C5" i="3" s="1"/>
  <c r="B5" i="2"/>
  <c r="A5" i="2"/>
  <c r="A5" i="3" s="1"/>
  <c r="C4" i="2"/>
  <c r="C4" i="3" s="1"/>
  <c r="B4" i="2"/>
  <c r="A4" i="2"/>
  <c r="A4" i="3" s="1"/>
  <c r="V13" i="1"/>
  <c r="S13" i="1"/>
  <c r="AA12" i="1"/>
  <c r="AA11" i="1"/>
  <c r="AA10" i="1"/>
  <c r="AA9" i="1"/>
  <c r="AA8" i="1"/>
  <c r="AA7" i="1"/>
  <c r="AA6" i="1"/>
  <c r="AA5" i="1"/>
  <c r="AA4" i="1"/>
  <c r="D4" i="5" l="1"/>
  <c r="D8" i="5"/>
  <c r="D5" i="5"/>
  <c r="D9" i="5"/>
  <c r="D6" i="5"/>
  <c r="D10" i="5"/>
  <c r="D3" i="5"/>
  <c r="D7" i="5"/>
  <c r="M5" i="3"/>
  <c r="B9" i="3"/>
  <c r="B11" i="3"/>
  <c r="B5" i="3"/>
  <c r="B12" i="3"/>
  <c r="J10" i="3"/>
  <c r="B7" i="3"/>
  <c r="N13" i="1"/>
  <c r="I4" i="6"/>
  <c r="I10" i="6"/>
  <c r="D12" i="6"/>
  <c r="M13" i="1"/>
  <c r="B15" i="10"/>
  <c r="B15" i="8"/>
  <c r="B15" i="5"/>
  <c r="B15" i="7"/>
  <c r="B15" i="9"/>
  <c r="B15" i="6"/>
  <c r="B4" i="3"/>
  <c r="K4" i="3"/>
  <c r="G4" i="3"/>
  <c r="N4" i="3"/>
  <c r="B8" i="3"/>
  <c r="N8" i="3"/>
  <c r="T13" i="1"/>
  <c r="J4" i="3"/>
  <c r="M6" i="3"/>
  <c r="B6" i="3"/>
  <c r="L6" i="3"/>
  <c r="J8" i="3"/>
  <c r="F10" i="3"/>
  <c r="B10" i="3"/>
  <c r="N10" i="3"/>
  <c r="G12" i="3"/>
  <c r="I12" i="3"/>
  <c r="I6" i="6"/>
  <c r="I8" i="6"/>
  <c r="Q13" i="1"/>
  <c r="N5" i="3"/>
  <c r="G7" i="3"/>
  <c r="I7" i="3"/>
  <c r="N9" i="3"/>
  <c r="F12" i="3"/>
  <c r="I7" i="6"/>
  <c r="P13" i="1"/>
  <c r="Z13" i="1"/>
  <c r="Y13" i="1"/>
  <c r="X13" i="1"/>
  <c r="H3" i="6"/>
  <c r="E12" i="6"/>
  <c r="J6" i="3"/>
  <c r="I9" i="6"/>
  <c r="I11" i="6"/>
  <c r="C12" i="10"/>
  <c r="D8" i="10" s="1"/>
  <c r="U13" i="1"/>
  <c r="G8" i="3"/>
  <c r="I5" i="6"/>
  <c r="F12" i="6"/>
  <c r="C12" i="9"/>
  <c r="D7" i="9" s="1"/>
  <c r="C12" i="6"/>
  <c r="G12" i="6"/>
  <c r="C12" i="7"/>
  <c r="D6" i="7" s="1"/>
  <c r="D12" i="5" l="1"/>
  <c r="K7" i="3"/>
  <c r="L12" i="3"/>
  <c r="P8" i="3"/>
  <c r="I11" i="3"/>
  <c r="L13" i="1"/>
  <c r="I13" i="1"/>
  <c r="L11" i="3"/>
  <c r="L5" i="3"/>
  <c r="M10" i="3"/>
  <c r="P11" i="3"/>
  <c r="M9" i="3"/>
  <c r="M7" i="3"/>
  <c r="P9" i="3"/>
  <c r="F5" i="3"/>
  <c r="G11" i="3"/>
  <c r="F9" i="3"/>
  <c r="N7" i="3"/>
  <c r="K10" i="3"/>
  <c r="N6" i="3"/>
  <c r="K5" i="3"/>
  <c r="M12" i="3"/>
  <c r="P10" i="3"/>
  <c r="F11" i="3"/>
  <c r="F7" i="3"/>
  <c r="K9" i="3"/>
  <c r="P5" i="3"/>
  <c r="L9" i="3"/>
  <c r="P12" i="3"/>
  <c r="K11" i="3"/>
  <c r="L7" i="3"/>
  <c r="K6" i="3"/>
  <c r="H10" i="3"/>
  <c r="L10" i="3"/>
  <c r="K8" i="3"/>
  <c r="R13" i="2"/>
  <c r="M11" i="3"/>
  <c r="P7" i="3"/>
  <c r="Y13" i="2"/>
  <c r="P6" i="3"/>
  <c r="M4" i="3"/>
  <c r="L13" i="2"/>
  <c r="H8" i="3"/>
  <c r="P4" i="3"/>
  <c r="I8" i="3"/>
  <c r="N11" i="3"/>
  <c r="M8" i="3"/>
  <c r="F6" i="3"/>
  <c r="X13" i="2"/>
  <c r="K12" i="3"/>
  <c r="I5" i="3"/>
  <c r="N12" i="3"/>
  <c r="H9" i="3"/>
  <c r="H5" i="3"/>
  <c r="D10" i="10"/>
  <c r="E10" i="10" s="1"/>
  <c r="J11" i="3"/>
  <c r="J13" i="2"/>
  <c r="J5" i="3"/>
  <c r="J7" i="3"/>
  <c r="F13" i="2"/>
  <c r="Z8" i="3" a="1"/>
  <c r="Z8" i="3" s="1"/>
  <c r="D3" i="9"/>
  <c r="E3" i="9" s="1"/>
  <c r="G9" i="3"/>
  <c r="H11" i="3"/>
  <c r="E8" i="10"/>
  <c r="E7" i="9"/>
  <c r="E6" i="7"/>
  <c r="D6" i="10"/>
  <c r="E6" i="10" s="1"/>
  <c r="D7" i="10"/>
  <c r="E7" i="10" s="1"/>
  <c r="G13" i="2"/>
  <c r="H13" i="2"/>
  <c r="R13" i="1"/>
  <c r="H7" i="3"/>
  <c r="H6" i="3"/>
  <c r="O13" i="2"/>
  <c r="H4" i="3"/>
  <c r="J12" i="3"/>
  <c r="S13" i="2"/>
  <c r="G6" i="3"/>
  <c r="D4" i="9"/>
  <c r="E4" i="9" s="1"/>
  <c r="D11" i="10"/>
  <c r="E11" i="10" s="1"/>
  <c r="D11" i="9"/>
  <c r="E11" i="9" s="1"/>
  <c r="G5" i="3"/>
  <c r="G10" i="3"/>
  <c r="F4" i="3"/>
  <c r="E13" i="2"/>
  <c r="I10" i="3"/>
  <c r="E11" i="5"/>
  <c r="E9" i="5"/>
  <c r="E7" i="5"/>
  <c r="E5" i="5"/>
  <c r="E3" i="5"/>
  <c r="E10" i="5"/>
  <c r="E8" i="5"/>
  <c r="E6" i="5"/>
  <c r="E4" i="5"/>
  <c r="H12" i="3"/>
  <c r="D7" i="7"/>
  <c r="E7" i="7" s="1"/>
  <c r="P13" i="2"/>
  <c r="D3" i="7"/>
  <c r="E3" i="7" s="1"/>
  <c r="D3" i="10"/>
  <c r="E3" i="10" s="1"/>
  <c r="I4" i="3"/>
  <c r="O13" i="1"/>
  <c r="K13" i="2"/>
  <c r="I9" i="3"/>
  <c r="J9" i="3"/>
  <c r="I13" i="2"/>
  <c r="D8" i="9"/>
  <c r="E8" i="9" s="1"/>
  <c r="I6" i="3"/>
  <c r="D4" i="10"/>
  <c r="E4" i="10" s="1"/>
  <c r="N13" i="2"/>
  <c r="M13" i="2"/>
  <c r="F8" i="3"/>
  <c r="L4" i="3"/>
  <c r="L8" i="3"/>
  <c r="Q13" i="2"/>
  <c r="D9" i="7"/>
  <c r="E9" i="7" s="1"/>
  <c r="D5" i="7"/>
  <c r="E5" i="7" s="1"/>
  <c r="D4" i="7"/>
  <c r="E4" i="7" s="1"/>
  <c r="D8" i="7"/>
  <c r="E8" i="7" s="1"/>
  <c r="D11" i="7"/>
  <c r="E11" i="7" s="1"/>
  <c r="D9" i="10"/>
  <c r="E9" i="10" s="1"/>
  <c r="D5" i="10"/>
  <c r="E5" i="10" s="1"/>
  <c r="D10" i="7"/>
  <c r="E10" i="7" s="1"/>
  <c r="D10" i="9"/>
  <c r="E10" i="9" s="1"/>
  <c r="D6" i="9"/>
  <c r="E6" i="9" s="1"/>
  <c r="D5" i="9"/>
  <c r="E5" i="9" s="1"/>
  <c r="D9" i="9"/>
  <c r="E9" i="9" s="1"/>
  <c r="H12" i="6"/>
  <c r="I3" i="6"/>
  <c r="L16" i="4" l="1"/>
  <c r="J13" i="4"/>
  <c r="N13" i="4"/>
  <c r="N14" i="4"/>
  <c r="O15" i="4"/>
  <c r="L13" i="4"/>
  <c r="J15" i="4"/>
  <c r="J14" i="4"/>
  <c r="L15" i="4"/>
  <c r="O13" i="4"/>
  <c r="L20" i="4"/>
  <c r="L12" i="4"/>
  <c r="J12" i="4"/>
  <c r="O20" i="4"/>
  <c r="L14" i="4"/>
  <c r="J16" i="4"/>
  <c r="J17" i="4"/>
  <c r="N19" i="4"/>
  <c r="N17" i="4"/>
  <c r="N12" i="4"/>
  <c r="N18" i="4"/>
  <c r="N16" i="4"/>
  <c r="J19" i="4"/>
  <c r="N15" i="4"/>
  <c r="O17" i="4"/>
  <c r="O14" i="4"/>
  <c r="L17" i="4"/>
  <c r="N20" i="4"/>
  <c r="L19" i="4"/>
  <c r="L18" i="4"/>
  <c r="O12" i="4"/>
  <c r="J20" i="4"/>
  <c r="J18" i="4"/>
  <c r="O16" i="4"/>
  <c r="O18" i="4"/>
  <c r="O19" i="4"/>
  <c r="D6" i="2"/>
  <c r="D6" i="3" s="1"/>
  <c r="AB7" i="1"/>
  <c r="AB10" i="1"/>
  <c r="E12" i="5"/>
  <c r="AB8" i="1"/>
  <c r="D8" i="2"/>
  <c r="D8" i="3" s="1"/>
  <c r="D12" i="10"/>
  <c r="E12" i="9"/>
  <c r="E12" i="10"/>
  <c r="D12" i="7"/>
  <c r="AB11" i="1"/>
  <c r="D11" i="2"/>
  <c r="D11" i="3" s="1"/>
  <c r="D12" i="9"/>
  <c r="I12" i="6"/>
  <c r="J3" i="6" s="1"/>
  <c r="E12" i="7"/>
  <c r="N21" i="4" l="1"/>
  <c r="L21" i="4"/>
  <c r="O21" i="4"/>
  <c r="J21" i="4"/>
  <c r="AB6" i="1"/>
  <c r="D10" i="2"/>
  <c r="D10" i="3" s="1"/>
  <c r="D7" i="2"/>
  <c r="D7" i="3" s="1"/>
  <c r="D9" i="2"/>
  <c r="D9" i="3" s="1"/>
  <c r="AB9" i="1"/>
  <c r="E11" i="3"/>
  <c r="D5" i="2"/>
  <c r="D5" i="3" s="1"/>
  <c r="AB5" i="1"/>
  <c r="K3" i="6"/>
  <c r="J10" i="6"/>
  <c r="K10" i="6" s="1"/>
  <c r="J7" i="6"/>
  <c r="K7" i="6" s="1"/>
  <c r="J4" i="6"/>
  <c r="K4" i="6" s="1"/>
  <c r="J8" i="6"/>
  <c r="K8" i="6" s="1"/>
  <c r="J6" i="6"/>
  <c r="K6" i="6" s="1"/>
  <c r="J11" i="6"/>
  <c r="K11" i="6" s="1"/>
  <c r="J5" i="6"/>
  <c r="K5" i="6" s="1"/>
  <c r="J9" i="6"/>
  <c r="K9" i="6" s="1"/>
  <c r="AB12" i="1"/>
  <c r="D12" i="2"/>
  <c r="D12" i="3" s="1"/>
  <c r="AB4" i="1"/>
  <c r="D4" i="2"/>
  <c r="D4" i="3" s="1"/>
  <c r="E8" i="3"/>
  <c r="C12" i="8"/>
  <c r="D4" i="8" s="1"/>
  <c r="E4" i="8" s="1"/>
  <c r="E6" i="3"/>
  <c r="K13" i="4" l="1"/>
  <c r="K15" i="4"/>
  <c r="K20" i="4"/>
  <c r="K14" i="4"/>
  <c r="K18" i="4"/>
  <c r="K16" i="4"/>
  <c r="K12" i="4"/>
  <c r="M13" i="4"/>
  <c r="K19" i="4"/>
  <c r="K17" i="4"/>
  <c r="E10" i="3"/>
  <c r="E7" i="3"/>
  <c r="D11" i="8"/>
  <c r="E11" i="8" s="1"/>
  <c r="D8" i="8"/>
  <c r="E8" i="8" s="1"/>
  <c r="D3" i="8"/>
  <c r="E3" i="8" s="1"/>
  <c r="E4" i="3"/>
  <c r="D7" i="8"/>
  <c r="E7" i="8" s="1"/>
  <c r="D5" i="8"/>
  <c r="E5" i="8" s="1"/>
  <c r="D9" i="8"/>
  <c r="E9" i="8" s="1"/>
  <c r="D10" i="8"/>
  <c r="E10" i="8" s="1"/>
  <c r="D6" i="8"/>
  <c r="E6" i="8" s="1"/>
  <c r="B17" i="1"/>
  <c r="B19" i="1"/>
  <c r="B18" i="1"/>
  <c r="E5" i="3"/>
  <c r="J12" i="6"/>
  <c r="E12" i="3"/>
  <c r="K12" i="6"/>
  <c r="E9" i="3"/>
  <c r="M20" i="4" l="1"/>
  <c r="M18" i="4"/>
  <c r="M12" i="4"/>
  <c r="P12" i="4" s="1"/>
  <c r="K21" i="4"/>
  <c r="P18" i="4"/>
  <c r="R18" i="4" s="1"/>
  <c r="P20" i="4"/>
  <c r="R20" i="4" s="1"/>
  <c r="P13" i="4"/>
  <c r="R13" i="4" s="1"/>
  <c r="M14" i="4"/>
  <c r="P14" i="4" s="1"/>
  <c r="R14" i="4" s="1"/>
  <c r="M16" i="4"/>
  <c r="P16" i="4" s="1"/>
  <c r="R16" i="4" s="1"/>
  <c r="M15" i="4"/>
  <c r="P15" i="4" s="1"/>
  <c r="R15" i="4" s="1"/>
  <c r="M17" i="4"/>
  <c r="P17" i="4" s="1"/>
  <c r="R17" i="4" s="1"/>
  <c r="M19" i="4"/>
  <c r="P19" i="4" s="1"/>
  <c r="R19" i="4" s="1"/>
  <c r="AA10" i="3" a="1"/>
  <c r="AA10" i="3" s="1"/>
  <c r="AA7" i="3" a="1"/>
  <c r="AA7" i="3" s="1"/>
  <c r="AA11" i="3" a="1"/>
  <c r="AA11" i="3" s="1"/>
  <c r="Y6" i="3" a="1"/>
  <c r="Y6" i="3" s="1"/>
  <c r="AA8" i="3" a="1"/>
  <c r="AA8" i="3" s="1"/>
  <c r="D12" i="8"/>
  <c r="X11" i="3" a="1"/>
  <c r="X11" i="3" s="1"/>
  <c r="X6" i="3" a="1"/>
  <c r="X6" i="3" s="1"/>
  <c r="W7" i="3" a="1"/>
  <c r="W7" i="3" s="1"/>
  <c r="V7" i="3" a="1"/>
  <c r="V7" i="3" s="1"/>
  <c r="U8" i="3" a="1"/>
  <c r="U8" i="3" s="1"/>
  <c r="U68" i="3" s="1"/>
  <c r="X8" i="3" a="1"/>
  <c r="X8" i="3" s="1"/>
  <c r="T6" i="3" a="1"/>
  <c r="T6" i="3" s="1"/>
  <c r="T66" i="3" s="1"/>
  <c r="V5" i="3" a="1"/>
  <c r="V5" i="3" s="1"/>
  <c r="T5" i="3" a="1"/>
  <c r="T5" i="3" s="1"/>
  <c r="T65" i="3" s="1"/>
  <c r="W5" i="3" a="1"/>
  <c r="W5" i="3" s="1"/>
  <c r="AA5" i="3" a="1"/>
  <c r="AA5" i="3" s="1"/>
  <c r="Y5" i="3" a="1"/>
  <c r="Y5" i="3" s="1"/>
  <c r="X5" i="3" a="1"/>
  <c r="X5" i="3" s="1"/>
  <c r="S5" i="3" a="1"/>
  <c r="S5" i="3" s="1"/>
  <c r="S65" i="3" s="1"/>
  <c r="Q5" i="3" a="1"/>
  <c r="Q5" i="3" s="1"/>
  <c r="Q65" i="3" s="1"/>
  <c r="R5" i="3" a="1"/>
  <c r="R5" i="3" s="1"/>
  <c r="R65" i="3" s="1"/>
  <c r="U5" i="3" a="1"/>
  <c r="U5" i="3" s="1"/>
  <c r="U65" i="3" s="1"/>
  <c r="U10" i="3" a="1"/>
  <c r="U10" i="3" s="1"/>
  <c r="U70" i="3" s="1"/>
  <c r="X10" i="3" a="1"/>
  <c r="X10" i="3" s="1"/>
  <c r="U7" i="3" a="1"/>
  <c r="U7" i="3" s="1"/>
  <c r="U67" i="3" s="1"/>
  <c r="X7" i="3" a="1"/>
  <c r="X7" i="3" s="1"/>
  <c r="U11" i="3" a="1"/>
  <c r="U11" i="3" s="1"/>
  <c r="U71" i="3" s="1"/>
  <c r="S11" i="3" a="1"/>
  <c r="S11" i="3" s="1"/>
  <c r="S71" i="3" s="1"/>
  <c r="V11" i="3" a="1"/>
  <c r="V11" i="3" s="1"/>
  <c r="S8" i="3" a="1"/>
  <c r="S8" i="3" s="1"/>
  <c r="S68" i="3" s="1"/>
  <c r="W8" i="3" a="1"/>
  <c r="W8" i="3" s="1"/>
  <c r="AA6" i="3" a="1"/>
  <c r="AA6" i="3" s="1"/>
  <c r="R6" i="3" a="1"/>
  <c r="R6" i="3" s="1"/>
  <c r="R66" i="3" s="1"/>
  <c r="S10" i="3" a="1"/>
  <c r="S10" i="3" s="1"/>
  <c r="S70" i="3" s="1"/>
  <c r="T10" i="3" a="1"/>
  <c r="T10" i="3" s="1"/>
  <c r="T70" i="3" s="1"/>
  <c r="T9" i="3" a="1"/>
  <c r="T9" i="3" s="1"/>
  <c r="T69" i="3" s="1"/>
  <c r="Z9" i="3" a="1"/>
  <c r="Z9" i="3" s="1"/>
  <c r="W9" i="3" a="1"/>
  <c r="W9" i="3" s="1"/>
  <c r="AA9" i="3" a="1"/>
  <c r="AA9" i="3" s="1"/>
  <c r="Y9" i="3" a="1"/>
  <c r="Y9" i="3" s="1"/>
  <c r="Q9" i="3" a="1"/>
  <c r="Q9" i="3" s="1"/>
  <c r="Q69" i="3" s="1"/>
  <c r="U9" i="3" a="1"/>
  <c r="U9" i="3" s="1"/>
  <c r="U69" i="3" s="1"/>
  <c r="X9" i="3" a="1"/>
  <c r="X9" i="3" s="1"/>
  <c r="V9" i="3" a="1"/>
  <c r="V9" i="3" s="1"/>
  <c r="S9" i="3" a="1"/>
  <c r="S9" i="3" s="1"/>
  <c r="S69" i="3" s="1"/>
  <c r="R9" i="3" a="1"/>
  <c r="R9" i="3" s="1"/>
  <c r="R69" i="3" s="1"/>
  <c r="S7" i="3" a="1"/>
  <c r="S7" i="3" s="1"/>
  <c r="S67" i="3" s="1"/>
  <c r="R7" i="3" a="1"/>
  <c r="R7" i="3" s="1"/>
  <c r="R67" i="3" s="1"/>
  <c r="Q12" i="3" a="1"/>
  <c r="Q12" i="3" s="1"/>
  <c r="Q72" i="3" s="1"/>
  <c r="R12" i="3" a="1"/>
  <c r="R12" i="3" s="1"/>
  <c r="R72" i="3" s="1"/>
  <c r="Y12" i="3" a="1"/>
  <c r="Y12" i="3" s="1"/>
  <c r="W12" i="3" a="1"/>
  <c r="W12" i="3" s="1"/>
  <c r="V12" i="3" a="1"/>
  <c r="V12" i="3" s="1"/>
  <c r="S12" i="3" a="1"/>
  <c r="S12" i="3" s="1"/>
  <c r="S72" i="3" s="1"/>
  <c r="X12" i="3" a="1"/>
  <c r="X12" i="3" s="1"/>
  <c r="T12" i="3" a="1"/>
  <c r="T12" i="3" s="1"/>
  <c r="T72" i="3" s="1"/>
  <c r="AA12" i="3" a="1"/>
  <c r="AA12" i="3" s="1"/>
  <c r="U12" i="3" a="1"/>
  <c r="U12" i="3" s="1"/>
  <c r="U72" i="3" s="1"/>
  <c r="R11" i="3" a="1"/>
  <c r="R11" i="3" s="1"/>
  <c r="R71" i="3" s="1"/>
  <c r="T11" i="3" a="1"/>
  <c r="T11" i="3" s="1"/>
  <c r="T71" i="3" s="1"/>
  <c r="Q11" i="3" a="1"/>
  <c r="Q11" i="3" s="1"/>
  <c r="R8" i="3" a="1"/>
  <c r="R8" i="3" s="1"/>
  <c r="R68" i="3" s="1"/>
  <c r="Q8" i="3" a="1"/>
  <c r="Q8" i="3" s="1"/>
  <c r="Q68" i="3" s="1"/>
  <c r="Q6" i="3" a="1"/>
  <c r="Q6" i="3" s="1"/>
  <c r="Q66" i="3" s="1"/>
  <c r="U6" i="3" a="1"/>
  <c r="U6" i="3" s="1"/>
  <c r="U66" i="3" s="1"/>
  <c r="W6" i="3" a="1"/>
  <c r="W6" i="3" s="1"/>
  <c r="R10" i="3" a="1"/>
  <c r="R10" i="3" s="1"/>
  <c r="R70" i="3" s="1"/>
  <c r="V10" i="3" a="1"/>
  <c r="V10" i="3" s="1"/>
  <c r="Y10" i="3" a="1"/>
  <c r="Y10" i="3" s="1"/>
  <c r="C19" i="1"/>
  <c r="C18" i="1"/>
  <c r="C17" i="1"/>
  <c r="B20" i="1"/>
  <c r="Y4" i="3" a="1"/>
  <c r="Y4" i="3" s="1"/>
  <c r="U4" i="3" a="1"/>
  <c r="U4" i="3" s="1"/>
  <c r="U64" i="3" s="1"/>
  <c r="S4" i="3" a="1"/>
  <c r="S4" i="3" s="1"/>
  <c r="S64" i="3" s="1"/>
  <c r="Q4" i="3" a="1"/>
  <c r="Q4" i="3" s="1"/>
  <c r="Q64" i="3" s="1"/>
  <c r="W4" i="3" a="1"/>
  <c r="W4" i="3" s="1"/>
  <c r="X4" i="3" a="1"/>
  <c r="X4" i="3" s="1"/>
  <c r="AA4" i="3" a="1"/>
  <c r="AA4" i="3" s="1"/>
  <c r="T4" i="3" a="1"/>
  <c r="T4" i="3" s="1"/>
  <c r="T64" i="3" s="1"/>
  <c r="R4" i="3" a="1"/>
  <c r="R4" i="3" s="1"/>
  <c r="R64" i="3" s="1"/>
  <c r="V4" i="3" a="1"/>
  <c r="V4" i="3" s="1"/>
  <c r="W10" i="3" a="1"/>
  <c r="W10" i="3" s="1"/>
  <c r="T7" i="3" a="1"/>
  <c r="T7" i="3" s="1"/>
  <c r="T67" i="3" s="1"/>
  <c r="Y7" i="3" a="1"/>
  <c r="Y7" i="3" s="1"/>
  <c r="Z7" i="3" a="1"/>
  <c r="Z7" i="3" s="1"/>
  <c r="Q7" i="3" a="1"/>
  <c r="Q7" i="3" s="1"/>
  <c r="Q67" i="3" s="1"/>
  <c r="E12" i="8"/>
  <c r="Y11" i="3" a="1"/>
  <c r="Y11" i="3" s="1"/>
  <c r="W11" i="3" a="1"/>
  <c r="W11" i="3" s="1"/>
  <c r="T8" i="3" a="1"/>
  <c r="T8" i="3" s="1"/>
  <c r="T68" i="3" s="1"/>
  <c r="V8" i="3" a="1"/>
  <c r="V8" i="3" s="1"/>
  <c r="Y8" i="3" a="1"/>
  <c r="Y8" i="3" s="1"/>
  <c r="V6" i="3" a="1"/>
  <c r="V6" i="3" s="1"/>
  <c r="S6" i="3" a="1"/>
  <c r="S6" i="3" s="1"/>
  <c r="S66" i="3" s="1"/>
  <c r="Q10" i="3" a="1"/>
  <c r="Q10" i="3" s="1"/>
  <c r="M21" i="4" l="1"/>
  <c r="P21" i="4"/>
  <c r="G26" i="4" s="1"/>
  <c r="I26" i="4" s="1"/>
  <c r="J26" i="4" s="1"/>
  <c r="R12" i="4"/>
  <c r="AB9" i="3"/>
  <c r="AB7" i="3"/>
  <c r="Q70" i="3"/>
  <c r="Q71" i="3"/>
  <c r="AB8" i="3"/>
  <c r="R21" i="4" l="1"/>
  <c r="B23" i="1" l="1"/>
  <c r="D19" i="1" l="1"/>
  <c r="D18" i="1"/>
  <c r="D17" i="1"/>
  <c r="T5" i="2"/>
  <c r="O5" i="3" s="1"/>
  <c r="T6" i="2"/>
  <c r="O6" i="3" s="1"/>
  <c r="T10" i="2"/>
  <c r="O10" i="3" s="1"/>
  <c r="T11" i="2"/>
  <c r="O11" i="3" s="1"/>
  <c r="T12" i="2"/>
  <c r="O12" i="3" s="1"/>
  <c r="T4" i="2"/>
  <c r="O4" i="3" s="1"/>
  <c r="D20" i="1" l="1"/>
  <c r="AE11" i="3"/>
  <c r="AE5" i="3"/>
  <c r="AE4" i="3"/>
  <c r="E17" i="1"/>
  <c r="AE6" i="3"/>
  <c r="AE8" i="3"/>
  <c r="E18" i="1"/>
  <c r="AE12" i="3"/>
  <c r="AE10" i="3"/>
  <c r="E19" i="1"/>
  <c r="AE7" i="3"/>
  <c r="AE9" i="3"/>
  <c r="T13" i="2"/>
  <c r="Z4" i="3" a="1"/>
  <c r="Z4" i="3" s="1"/>
  <c r="AB4" i="3" s="1"/>
  <c r="E20" i="1" l="1"/>
  <c r="Z11" i="3" a="1"/>
  <c r="Z11" i="3" s="1"/>
  <c r="AB11" i="3" s="1"/>
  <c r="Z5" i="3" a="1"/>
  <c r="Z5" i="3" s="1"/>
  <c r="AB5" i="3" s="1"/>
  <c r="Z12" i="3" a="1"/>
  <c r="Z12" i="3" s="1"/>
  <c r="AB12" i="3" s="1"/>
  <c r="Z6" i="3" a="1"/>
  <c r="Z6" i="3" s="1"/>
  <c r="AB6" i="3" s="1"/>
  <c r="Z10" i="3" a="1"/>
  <c r="Z10" i="3" s="1"/>
  <c r="AB10" i="3" s="1"/>
  <c r="AC5" i="3" l="1" a="1"/>
  <c r="AC5" i="3" s="1"/>
  <c r="AD5" i="3" s="1"/>
  <c r="AF5" i="3" s="1"/>
  <c r="AG5" i="3" s="1"/>
  <c r="AH5" i="3" s="1"/>
  <c r="AC6" i="3" a="1"/>
  <c r="AC6" i="3" s="1"/>
  <c r="AD6" i="3" s="1"/>
  <c r="AF6" i="3" s="1"/>
  <c r="AG6" i="3" s="1"/>
  <c r="AH6" i="3" s="1"/>
  <c r="AC12" i="3" a="1"/>
  <c r="AC12" i="3" s="1"/>
  <c r="AD12" i="3" s="1"/>
  <c r="AF12" i="3" s="1"/>
  <c r="AG12" i="3" s="1"/>
  <c r="AC8" i="3" a="1"/>
  <c r="AC8" i="3" s="1"/>
  <c r="AD8" i="3" s="1"/>
  <c r="AF8" i="3" s="1"/>
  <c r="AG8" i="3" s="1"/>
  <c r="AC7" i="3" a="1"/>
  <c r="AC7" i="3" s="1"/>
  <c r="AD7" i="3" s="1"/>
  <c r="AF7" i="3" s="1"/>
  <c r="AG7" i="3" s="1"/>
  <c r="AC11" i="3" a="1"/>
  <c r="AC11" i="3" s="1"/>
  <c r="AD11" i="3" s="1"/>
  <c r="AF11" i="3" s="1"/>
  <c r="AG11" i="3" s="1"/>
  <c r="AC4" i="3" a="1"/>
  <c r="AC4" i="3" s="1"/>
  <c r="AD4" i="3" s="1"/>
  <c r="AF4" i="3" s="1"/>
  <c r="AC10" i="3" a="1"/>
  <c r="AC10" i="3" s="1"/>
  <c r="AD10" i="3" s="1"/>
  <c r="AF10" i="3" s="1"/>
  <c r="AG10" i="3" s="1"/>
  <c r="AC9" i="3" a="1"/>
  <c r="AC9" i="3" s="1"/>
  <c r="AD9" i="3" s="1"/>
  <c r="AF9" i="3" s="1"/>
  <c r="AG9" i="3" s="1"/>
  <c r="S15" i="4" l="1"/>
  <c r="T15" i="4" s="1"/>
  <c r="S14" i="4"/>
  <c r="T14" i="4" s="1"/>
  <c r="AH11" i="3"/>
  <c r="AH9" i="3"/>
  <c r="AH7" i="3"/>
  <c r="AH10" i="3"/>
  <c r="AH8" i="3"/>
  <c r="AF13" i="3"/>
  <c r="AG4" i="3"/>
  <c r="AH12" i="3"/>
  <c r="S16" i="4" l="1"/>
  <c r="T16" i="4" s="1"/>
  <c r="S17" i="4"/>
  <c r="T17" i="4" s="1"/>
  <c r="S20" i="4"/>
  <c r="T20" i="4" s="1"/>
  <c r="S19" i="4"/>
  <c r="T19" i="4" s="1"/>
  <c r="S18" i="4"/>
  <c r="T18" i="4" s="1"/>
  <c r="S13" i="4"/>
  <c r="T13" i="4" s="1"/>
  <c r="AH4" i="3"/>
  <c r="AG13" i="3"/>
  <c r="AI4" i="3" s="1" a="1"/>
  <c r="AI4" i="3" s="1"/>
  <c r="S12" i="4" l="1"/>
  <c r="U13" i="4"/>
  <c r="E11" i="11" s="1"/>
  <c r="K11" i="11" s="1"/>
  <c r="L11" i="11" s="1"/>
  <c r="U14" i="4"/>
  <c r="E12" i="11" s="1"/>
  <c r="K12" i="11" s="1"/>
  <c r="L12" i="11" s="1"/>
  <c r="U15" i="4"/>
  <c r="E13" i="11" s="1"/>
  <c r="K13" i="11" s="1"/>
  <c r="L13" i="11" s="1"/>
  <c r="AI8" i="3" a="1"/>
  <c r="AI8" i="3" s="1"/>
  <c r="AI5" i="3" a="1"/>
  <c r="AI5" i="3" s="1"/>
  <c r="AI11" i="3" a="1"/>
  <c r="AI11" i="3" s="1"/>
  <c r="AI6" i="3" a="1"/>
  <c r="AI6" i="3" s="1"/>
  <c r="AI7" i="3" a="1"/>
  <c r="AI7" i="3" s="1"/>
  <c r="AI9" i="3" a="1"/>
  <c r="AI9" i="3" s="1"/>
  <c r="AH13" i="3"/>
  <c r="AI10" i="3" a="1"/>
  <c r="AI10" i="3" s="1"/>
  <c r="AI12" i="3" a="1"/>
  <c r="AI12" i="3" s="1"/>
  <c r="S21" i="4" l="1"/>
  <c r="T12" i="4"/>
  <c r="T21" i="4" s="1"/>
  <c r="U16" i="4"/>
  <c r="E14" i="11" s="1"/>
  <c r="K14" i="11" s="1"/>
  <c r="L14" i="11" s="1"/>
  <c r="U20" i="4"/>
  <c r="E18" i="11" s="1"/>
  <c r="K18" i="11" s="1"/>
  <c r="L18" i="11" s="1"/>
  <c r="U12" i="4"/>
  <c r="E10" i="11" s="1"/>
  <c r="K10" i="11" s="1"/>
  <c r="U17" i="4"/>
  <c r="E15" i="11" s="1"/>
  <c r="K15" i="11" s="1"/>
  <c r="L15" i="11" s="1"/>
  <c r="U19" i="4"/>
  <c r="E17" i="11" s="1"/>
  <c r="K17" i="11" s="1"/>
  <c r="L17" i="11" s="1"/>
  <c r="U18" i="4"/>
  <c r="E16" i="11" s="1"/>
  <c r="K16" i="11" s="1"/>
  <c r="L16" i="11" s="1"/>
  <c r="AI13" i="3"/>
  <c r="E19" i="11" l="1"/>
  <c r="F10" i="11" s="1"/>
  <c r="L10" i="11"/>
  <c r="K19" i="11"/>
  <c r="K20" i="11" s="1"/>
  <c r="H19" i="11"/>
  <c r="I10" i="11" s="1"/>
  <c r="F13" i="11"/>
  <c r="F15" i="11"/>
  <c r="F16" i="11"/>
  <c r="F11" i="11"/>
  <c r="U21" i="4"/>
  <c r="V17" i="4" s="1"/>
  <c r="F18" i="11" l="1"/>
  <c r="I18" i="11" s="1"/>
  <c r="F17" i="11"/>
  <c r="I17" i="11" s="1"/>
  <c r="F14" i="11"/>
  <c r="F12" i="11"/>
  <c r="F19" i="11" s="1"/>
  <c r="I14" i="11"/>
  <c r="I12" i="11"/>
  <c r="I16" i="11"/>
  <c r="I13" i="11"/>
  <c r="I11" i="11"/>
  <c r="I15" i="11"/>
  <c r="V19" i="4"/>
  <c r="V13" i="4"/>
  <c r="V15" i="4"/>
  <c r="V14" i="4"/>
  <c r="V16" i="4"/>
  <c r="V12" i="4"/>
  <c r="V20" i="4"/>
  <c r="V18" i="4"/>
  <c r="V21" i="4" l="1"/>
  <c r="I19" i="11"/>
</calcChain>
</file>

<file path=xl/sharedStrings.xml><?xml version="1.0" encoding="utf-8"?>
<sst xmlns="http://schemas.openxmlformats.org/spreadsheetml/2006/main" count="453" uniqueCount="191">
  <si>
    <t>Total general</t>
  </si>
  <si>
    <t>Cod</t>
  </si>
  <si>
    <t>PUC</t>
  </si>
  <si>
    <t>UCO</t>
  </si>
  <si>
    <t>UCV</t>
  </si>
  <si>
    <t>AUS</t>
  </si>
  <si>
    <t>FSM</t>
  </si>
  <si>
    <t>UCN</t>
  </si>
  <si>
    <t>UCT</t>
  </si>
  <si>
    <t>Institución</t>
  </si>
  <si>
    <t>PONTIFICIA UNIVERSIDAD CATÓLICA DE CHILE</t>
  </si>
  <si>
    <t>UNIVERSIDAD DE CONCEPCIÓN</t>
  </si>
  <si>
    <t>PONTIFICIA UNIVERSIDAD CATÓLICA DE VALPARAÍSO</t>
  </si>
  <si>
    <t>UNIVERSIDAD AUSTRAL DE CHILE</t>
  </si>
  <si>
    <t>UNIVERSIDAD TÉCNICA FEDERICO SANTA MARÍA</t>
  </si>
  <si>
    <t>UNIVERSIDAD CATÓLICA DEL NORTE</t>
  </si>
  <si>
    <t>UNIVERSIDAD CATÓLICA DE TEMUCO</t>
  </si>
  <si>
    <t>Tipo IES</t>
  </si>
  <si>
    <t>CRUCH-PRIVADA</t>
  </si>
  <si>
    <t>UCM</t>
  </si>
  <si>
    <t>USC</t>
  </si>
  <si>
    <t>UNIVERSIDAD CATÓLICA DE LA SANTÍSIMA CONCEPCIÓN</t>
  </si>
  <si>
    <t>UNIVERSIDAD CATÓLICA DEL MAULE</t>
  </si>
  <si>
    <t>Total Conjunto</t>
  </si>
  <si>
    <t>Total Conjunto &gt;=5 años</t>
  </si>
  <si>
    <t>Ind+Conj &gt;=5 años</t>
  </si>
  <si>
    <t>Categorías</t>
  </si>
  <si>
    <t>1/2</t>
  </si>
  <si>
    <t>3/4</t>
  </si>
  <si>
    <t>(3+5+6)/4</t>
  </si>
  <si>
    <t>7/4</t>
  </si>
  <si>
    <t>7/3</t>
  </si>
  <si>
    <t>(8/9)</t>
  </si>
  <si>
    <t>10/11</t>
  </si>
  <si>
    <t>12/13</t>
  </si>
  <si>
    <t>14/15</t>
  </si>
  <si>
    <t>a) N° Académicos JC por cada 100 matriculados</t>
  </si>
  <si>
    <t>b) Porcentaje de Ac con Doc respecto a JCE</t>
  </si>
  <si>
    <t>c) Porcentaje de Ac con Esp. Méd., Mg o Doc respecto a JCE</t>
  </si>
  <si>
    <t>d) N° Publicaciones Scopus por JCE</t>
  </si>
  <si>
    <t>e) N° Publicaciones Scopus por JCE con Doc.</t>
  </si>
  <si>
    <t>f) Promedio de citas por publicación quinquenio</t>
  </si>
  <si>
    <t>g) Porcentaje de est. 1er año Q1, Q2, Q3 respecto al total de alumnos de 1er año</t>
  </si>
  <si>
    <t>h) Porcentaje de retención primer año pregrado</t>
  </si>
  <si>
    <t>i) Tasa de titulación respecto a alumnos 1er año de la promoción</t>
  </si>
  <si>
    <t>j) Tasa de graduación programas doctorado</t>
  </si>
  <si>
    <t>k) N° Patentes solicitadas PCT por JCE</t>
  </si>
  <si>
    <t>d) N° Public. Scopus 2014/JCE 2014</t>
  </si>
  <si>
    <t>e) N° Public. Scopus 2014/N° JCE Doc 2014</t>
  </si>
  <si>
    <t>Resultado i/Resultado Máximo</t>
  </si>
  <si>
    <t>Concatenado</t>
  </si>
  <si>
    <t>Ajustes</t>
  </si>
  <si>
    <t>Promedio</t>
  </si>
  <si>
    <t>Ponderación</t>
  </si>
  <si>
    <t>Montos Categorías</t>
  </si>
  <si>
    <t>CRUCH-PRIVADACategoría I</t>
  </si>
  <si>
    <t>CRUCH-PRIVADACategoría II</t>
  </si>
  <si>
    <t>CRUCH-PRIVADACategoría III</t>
  </si>
  <si>
    <t>Factor</t>
  </si>
  <si>
    <t>Concatenar</t>
  </si>
  <si>
    <t>N° IES</t>
  </si>
  <si>
    <t>Montos</t>
  </si>
  <si>
    <t>M$</t>
  </si>
  <si>
    <t>Monto Categ</t>
  </si>
  <si>
    <t>AFI 2016</t>
  </si>
  <si>
    <t>Total Elemento Mixto</t>
  </si>
  <si>
    <t>BD-Universidades CRUCH-PRIVADAS</t>
  </si>
  <si>
    <t>% Por tipo de IES</t>
  </si>
  <si>
    <t>Monto por Tipo IES-Categoría</t>
  </si>
  <si>
    <t>Suma Promedio por Tipo IES-Categoría</t>
  </si>
  <si>
    <t>Total por IES</t>
  </si>
  <si>
    <t>Redondear por IES</t>
  </si>
  <si>
    <t>Ajustado por IES</t>
  </si>
  <si>
    <t>16/19</t>
  </si>
  <si>
    <t>(20+21)/4)</t>
  </si>
  <si>
    <t>Redondear</t>
  </si>
  <si>
    <t>f) (N° Citas 2010-2014)/(N° Public. Scopus 2010-2014)</t>
  </si>
  <si>
    <t>% por IES</t>
  </si>
  <si>
    <t>TOTAL MAT PhD 2011</t>
  </si>
  <si>
    <t>Reajuste AFI</t>
  </si>
  <si>
    <t>Tipos IES</t>
  </si>
  <si>
    <t>j) Mat Graduados 2016 Doctorados/Mat 1er año 2012 Doctorados</t>
  </si>
  <si>
    <t>a) (N° Ac. JC 2016/Mat Total 2016)*100</t>
  </si>
  <si>
    <t>b) (N° JCE Doc 2016/JCE 2016)</t>
  </si>
  <si>
    <t>c) ((N° JCE Doc 2016+N° JCE Mg 2016+N° JCE Esp Med 2016)/JCE 2016)</t>
  </si>
  <si>
    <t>TOTAL MAT PhD 2012</t>
  </si>
  <si>
    <t>Solicitud_ pat_nac_2016</t>
  </si>
  <si>
    <t>g) (N° Est 1er año Q1, Q2, Q3 2016/Mat 1er nivel 2016)</t>
  </si>
  <si>
    <t>h) (Mat 1er nivel 2015 Retenida 2016/Mat 1er nivel 2015)</t>
  </si>
  <si>
    <t>i) (Mat Ret 4° Año 2016/Mat 1er año 2013)</t>
  </si>
  <si>
    <t>k) (N° Patentes solicitadas PCT 2015 +2016)*1000/(JCE 2016))</t>
  </si>
  <si>
    <t>AFI 2016 Reajustado 3,0%</t>
  </si>
  <si>
    <t>Porcentaje</t>
  </si>
  <si>
    <t>Monto</t>
  </si>
  <si>
    <t>Monto Publicaciones</t>
  </si>
  <si>
    <t>Publicaciones M$</t>
  </si>
  <si>
    <t>Acreditación Institucional M$</t>
  </si>
  <si>
    <t>Académicos JC con Doctorado M$</t>
  </si>
  <si>
    <t>Programas Doctorado Acreditado M$</t>
  </si>
  <si>
    <t>Académicos Jornada Completa M$</t>
  </si>
  <si>
    <t>Matrícula Regular Pregrado M$</t>
  </si>
  <si>
    <t>Acreditación Investigación</t>
  </si>
  <si>
    <t>Acreditación Todas las Áreas</t>
  </si>
  <si>
    <t>Años Acreditación Institucional</t>
  </si>
  <si>
    <t>Puntaje Acreditación Investigación</t>
  </si>
  <si>
    <t>Puntaje Acreditación Todas las Áreas</t>
  </si>
  <si>
    <t>Puntaje Años Acreditación</t>
  </si>
  <si>
    <t>Suma Puntajes</t>
  </si>
  <si>
    <t>Monto por IES</t>
  </si>
  <si>
    <t>Porcentaje por IES</t>
  </si>
  <si>
    <t>Monto Acreditaciones</t>
  </si>
  <si>
    <t>Monto Académicos JC Doctorado</t>
  </si>
  <si>
    <t>N° Doctorados Acreditados</t>
  </si>
  <si>
    <t>PONTIFICIA UNIVERSIDAD CATOLICA DE CHILE</t>
  </si>
  <si>
    <t>UNIVERSIDAD DE CONCEPCION</t>
  </si>
  <si>
    <t>PONTIFICIA UNIVERSIDAD CATOLICA DE VALPARAISO</t>
  </si>
  <si>
    <t>UNIVERSIDAD CATOLICA DEL NORTE</t>
  </si>
  <si>
    <t>UNIVERSIDAD TECNICA FEDERICO SANTA MARIA</t>
  </si>
  <si>
    <t>UNIVERSIDAD CATOLICA DE TEMUCO</t>
  </si>
  <si>
    <t>UNIVERSIDAD CATOLICA DE LA SANTISIMA CONCEPCION</t>
  </si>
  <si>
    <t>UNIVERSIDAD CATOLICA DEL MAULE</t>
  </si>
  <si>
    <t>Monto Matrícula Regula Pregrado</t>
  </si>
  <si>
    <t>Monto Académicos JC</t>
  </si>
  <si>
    <t>Monto Programas Doct. Acreditados</t>
  </si>
  <si>
    <t>Oferta Pedagogía M$</t>
  </si>
  <si>
    <t>Indicadores Pedagogía M$</t>
  </si>
  <si>
    <t>TOTAL Mejoramiento Pedagogía M$</t>
  </si>
  <si>
    <t>Total</t>
  </si>
  <si>
    <t>Total Complejidad Institucional</t>
  </si>
  <si>
    <t>Unidad de Análisis e Información, DFI</t>
  </si>
  <si>
    <t>Detalle del cálculo</t>
  </si>
  <si>
    <t>Código DFI</t>
  </si>
  <si>
    <t>Doctorado Conjunto Años Acreditación</t>
  </si>
  <si>
    <t>Total individual</t>
  </si>
  <si>
    <t>Total General</t>
  </si>
  <si>
    <t>N° Publicaciones 2017</t>
  </si>
  <si>
    <t>JC_2017</t>
  </si>
  <si>
    <t>MAT_2017</t>
  </si>
  <si>
    <t>JCE Doctor 2017</t>
  </si>
  <si>
    <t>JCE 2017</t>
  </si>
  <si>
    <t>JCE Magister 2017</t>
  </si>
  <si>
    <t>JCE Esp. Med._Odont. 2017</t>
  </si>
  <si>
    <t>Q1_Q2_Q3_MAT_1año_2017</t>
  </si>
  <si>
    <t>MAT_1año_2017(g)</t>
  </si>
  <si>
    <t>MAT_2016_Ret_1er_enMAT_2017</t>
  </si>
  <si>
    <t>MAT_2014_Ret_4to_enMAT_2017</t>
  </si>
  <si>
    <t>MAT_1año_2014(i)</t>
  </si>
  <si>
    <t>Grad_PhD_2013 al_2017</t>
  </si>
  <si>
    <t>TOTAL MAT PhD 2013</t>
  </si>
  <si>
    <t>Solicitud_ pat_nac_2017</t>
  </si>
  <si>
    <t>Publicaciones  (citables)
2017</t>
  </si>
  <si>
    <t>Citas 2013_2017</t>
  </si>
  <si>
    <t>Publicaciones 2013-2017 (citables)</t>
  </si>
  <si>
    <t>N° Scopus 2017</t>
  </si>
  <si>
    <t>Categoría I</t>
  </si>
  <si>
    <t>Categoría II</t>
  </si>
  <si>
    <t>Categoría III</t>
  </si>
  <si>
    <t>Transferencias Corrientes</t>
  </si>
  <si>
    <t>Transferencias de Capital</t>
  </si>
  <si>
    <t>Presupuesto 2019</t>
  </si>
  <si>
    <t>Complejidad Institucional BD 30%</t>
  </si>
  <si>
    <t>Doctorado Individual Años Acreditación</t>
  </si>
  <si>
    <t>Distribución Recursos Basal por Desempeño 2019 M$</t>
  </si>
  <si>
    <t>N° Doc JC 2018</t>
  </si>
  <si>
    <t>MAT_2016</t>
  </si>
  <si>
    <t>Reglamento año 2019</t>
  </si>
  <si>
    <t>Santiago, 13 de junio de 2019</t>
  </si>
  <si>
    <t>Total Asignación 2019
 M$</t>
  </si>
  <si>
    <t>Total Asignación 2019 
M$
Sin decimales</t>
  </si>
  <si>
    <t>a) ELEMENTO MIXTO</t>
  </si>
  <si>
    <t>b) Total Elemento Desempeño</t>
  </si>
  <si>
    <t>1. AFI 2016</t>
  </si>
  <si>
    <t>2. Oferta Pedagogía M$</t>
  </si>
  <si>
    <t>3. Complejidad Institucional</t>
  </si>
  <si>
    <t>4. Reubicación</t>
  </si>
  <si>
    <t>a) Elemento Mixto</t>
  </si>
  <si>
    <t>b) Elemento Desempeño</t>
  </si>
  <si>
    <t>1. AFI 2016 Reajustado</t>
  </si>
  <si>
    <t>2. Pedagogías</t>
  </si>
  <si>
    <t>% Saldo respecto a la Universidad</t>
  </si>
  <si>
    <t>BD 2018
Nominal
M$</t>
  </si>
  <si>
    <t>%  año 2018</t>
  </si>
  <si>
    <t>Anticipo y Saldo</t>
  </si>
  <si>
    <t>Decreto N°5 10/01/2019</t>
  </si>
  <si>
    <t>Anticipo 2019</t>
  </si>
  <si>
    <t>Saldo
2019</t>
  </si>
  <si>
    <t>CÁLCULO BASAL POR DESEMPEÑO 2018, Santiago, 30 de enero de 2019</t>
  </si>
  <si>
    <t>Indicadores y Montos por IES, BD, Santiago, junio de 2019</t>
  </si>
  <si>
    <t>Santiago, junio de 2019</t>
  </si>
  <si>
    <t>N° Acad. JC 2018</t>
  </si>
  <si>
    <t>N° Matrícula Regular Pregrado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</si>
</sst>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_-;\-* #,##0.00_-;_-* &quot;-&quot;??_-;_-@_-"/>
    <numFmt numFmtId="165" formatCode="0.00000"/>
    <numFmt numFmtId="166" formatCode="_-* #,##0_-;\-* #,##0_-;_-* &quot;-&quot;??_-;_-@_-"/>
    <numFmt numFmtId="167" formatCode="0.0000000"/>
    <numFmt numFmtId="168" formatCode="_-* #,##0.0000_-;\-* #,##0.0000_-;_-* &quot;-&quot;??_-;_-@_-"/>
    <numFmt numFmtId="169" formatCode="_-* #,##0.0000_-;\-* #,##0.0000_-;_-* &quot;-&quot;????_-;_-@_-"/>
    <numFmt numFmtId="170" formatCode="_-* #,##0.00\ _€_-;\-* #,##0.00\ _€_-;_-* &quot;-&quot;??\ _€_-;_-@_-"/>
    <numFmt numFmtId="171" formatCode="_-* #,##0.000_-;\-* #,##0.000_-;_-* &quot;-&quot;??_-;_-@_-"/>
    <numFmt numFmtId="172" formatCode="_-* #,##0.0_-;\-* #,##0.0_-;_-* &quot;-&quot;??_-;_-@_-"/>
    <numFmt numFmtId="173" formatCode="#,##0.0"/>
    <numFmt numFmtId="174" formatCode="0.000%"/>
    <numFmt numFmtId="175" formatCode="0.0%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6" tint="0.39997558519241921"/>
      <name val="Calibri"/>
      <family val="2"/>
      <scheme val="minor"/>
    </font>
    <font>
      <sz val="10"/>
      <color theme="6" tint="0.3999755851924192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4" fillId="3" borderId="1" xfId="1" applyFont="1" applyFill="1" applyBorder="1" applyAlignment="1">
      <alignment horizontal="left" vertical="top" wrapText="1"/>
    </xf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6" fontId="1" fillId="0" borderId="0" xfId="3" applyNumberFormat="1" applyFont="1"/>
    <xf numFmtId="166" fontId="6" fillId="0" borderId="0" xfId="3" applyNumberFormat="1" applyFont="1"/>
    <xf numFmtId="0" fontId="6" fillId="0" borderId="0" xfId="0" applyFont="1"/>
    <xf numFmtId="0" fontId="6" fillId="4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65" fontId="2" fillId="7" borderId="0" xfId="0" applyNumberFormat="1" applyFont="1" applyFill="1" applyAlignment="1">
      <alignment horizontal="center" wrapText="1"/>
    </xf>
    <xf numFmtId="0" fontId="4" fillId="6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10" fontId="1" fillId="0" borderId="1" xfId="0" applyNumberFormat="1" applyFont="1" applyBorder="1"/>
    <xf numFmtId="166" fontId="1" fillId="0" borderId="1" xfId="3" applyNumberFormat="1" applyFont="1" applyBorder="1"/>
    <xf numFmtId="10" fontId="2" fillId="7" borderId="0" xfId="4" applyNumberFormat="1" applyFont="1" applyFill="1" applyAlignment="1">
      <alignment horizontal="center" wrapText="1"/>
    </xf>
    <xf numFmtId="0" fontId="6" fillId="0" borderId="0" xfId="0" applyFont="1" applyFill="1" applyBorder="1"/>
    <xf numFmtId="0" fontId="6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1" fillId="10" borderId="3" xfId="0" applyFont="1" applyFill="1" applyBorder="1"/>
    <xf numFmtId="0" fontId="1" fillId="10" borderId="0" xfId="0" applyFont="1" applyFill="1"/>
    <xf numFmtId="0" fontId="2" fillId="10" borderId="0" xfId="0" applyFont="1" applyFill="1"/>
    <xf numFmtId="0" fontId="2" fillId="2" borderId="0" xfId="0" applyFont="1" applyFill="1" applyAlignment="1">
      <alignment horizontal="center" wrapText="1"/>
    </xf>
    <xf numFmtId="0" fontId="2" fillId="11" borderId="3" xfId="0" applyFont="1" applyFill="1" applyBorder="1" applyAlignment="1">
      <alignment horizontal="center" wrapText="1"/>
    </xf>
    <xf numFmtId="0" fontId="2" fillId="11" borderId="0" xfId="0" applyFont="1" applyFill="1" applyAlignment="1">
      <alignment horizontal="center" wrapText="1"/>
    </xf>
    <xf numFmtId="0" fontId="2" fillId="11" borderId="5" xfId="0" applyFont="1" applyFill="1" applyBorder="1" applyAlignment="1">
      <alignment horizontal="center" wrapText="1"/>
    </xf>
    <xf numFmtId="165" fontId="2" fillId="12" borderId="0" xfId="0" applyNumberFormat="1" applyFont="1" applyFill="1" applyAlignment="1">
      <alignment horizontal="center" wrapText="1"/>
    </xf>
    <xf numFmtId="165" fontId="2" fillId="12" borderId="5" xfId="0" applyNumberFormat="1" applyFont="1" applyFill="1" applyBorder="1" applyAlignment="1">
      <alignment horizontal="center" wrapText="1"/>
    </xf>
    <xf numFmtId="165" fontId="2" fillId="13" borderId="0" xfId="0" applyNumberFormat="1" applyFont="1" applyFill="1" applyAlignment="1">
      <alignment horizontal="center" wrapText="1"/>
    </xf>
    <xf numFmtId="166" fontId="2" fillId="13" borderId="0" xfId="3" applyNumberFormat="1" applyFont="1" applyFill="1" applyAlignment="1">
      <alignment horizontal="center" wrapText="1"/>
    </xf>
    <xf numFmtId="0" fontId="4" fillId="14" borderId="4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167" fontId="2" fillId="13" borderId="0" xfId="0" applyNumberFormat="1" applyFont="1" applyFill="1" applyAlignment="1">
      <alignment horizontal="center" wrapText="1"/>
    </xf>
    <xf numFmtId="0" fontId="0" fillId="0" borderId="0" xfId="0" applyFill="1"/>
    <xf numFmtId="0" fontId="1" fillId="0" borderId="0" xfId="0" applyFont="1" applyFill="1"/>
    <xf numFmtId="1" fontId="0" fillId="0" borderId="0" xfId="0" applyNumberFormat="1" applyFill="1"/>
    <xf numFmtId="165" fontId="0" fillId="0" borderId="0" xfId="0" applyNumberFormat="1"/>
    <xf numFmtId="0" fontId="6" fillId="0" borderId="0" xfId="0" applyFont="1" applyFill="1" applyBorder="1" applyAlignment="1">
      <alignment horizontal="center"/>
    </xf>
    <xf numFmtId="166" fontId="6" fillId="0" borderId="0" xfId="3" applyNumberFormat="1" applyFont="1" applyFill="1" applyBorder="1"/>
    <xf numFmtId="166" fontId="1" fillId="8" borderId="1" xfId="3" applyNumberFormat="1" applyFont="1" applyFill="1" applyBorder="1"/>
    <xf numFmtId="0" fontId="1" fillId="0" borderId="1" xfId="0" applyFont="1" applyFill="1" applyBorder="1"/>
    <xf numFmtId="166" fontId="1" fillId="0" borderId="1" xfId="3" applyNumberFormat="1" applyFont="1" applyFill="1" applyBorder="1"/>
    <xf numFmtId="166" fontId="2" fillId="17" borderId="1" xfId="3" applyNumberFormat="1" applyFont="1" applyFill="1" applyBorder="1" applyAlignment="1">
      <alignment horizontal="center"/>
    </xf>
    <xf numFmtId="166" fontId="2" fillId="12" borderId="1" xfId="3" applyNumberFormat="1" applyFont="1" applyFill="1" applyBorder="1" applyAlignment="1">
      <alignment horizontal="center"/>
    </xf>
    <xf numFmtId="0" fontId="1" fillId="12" borderId="0" xfId="0" applyFont="1" applyFill="1"/>
    <xf numFmtId="0" fontId="2" fillId="12" borderId="0" xfId="0" applyFont="1" applyFill="1"/>
    <xf numFmtId="166" fontId="2" fillId="12" borderId="1" xfId="3" applyNumberFormat="1" applyFont="1" applyFill="1" applyBorder="1" applyAlignment="1">
      <alignment horizontal="center" vertical="center"/>
    </xf>
    <xf numFmtId="166" fontId="2" fillId="12" borderId="1" xfId="3" applyNumberFormat="1" applyFont="1" applyFill="1" applyBorder="1"/>
    <xf numFmtId="168" fontId="0" fillId="0" borderId="0" xfId="0" applyNumberFormat="1"/>
    <xf numFmtId="169" fontId="0" fillId="0" borderId="0" xfId="0" applyNumberFormat="1"/>
    <xf numFmtId="0" fontId="1" fillId="0" borderId="1" xfId="0" applyFont="1" applyBorder="1"/>
    <xf numFmtId="10" fontId="1" fillId="0" borderId="1" xfId="4" applyNumberFormat="1" applyFont="1" applyBorder="1"/>
    <xf numFmtId="166" fontId="1" fillId="0" borderId="1" xfId="0" applyNumberFormat="1" applyFont="1" applyBorder="1"/>
    <xf numFmtId="0" fontId="1" fillId="8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10" fontId="7" fillId="0" borderId="1" xfId="4" applyNumberFormat="1" applyFont="1" applyBorder="1"/>
    <xf numFmtId="166" fontId="7" fillId="0" borderId="1" xfId="3" applyNumberFormat="1" applyFont="1" applyBorder="1"/>
    <xf numFmtId="0" fontId="1" fillId="8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10" fontId="1" fillId="8" borderId="1" xfId="4" applyNumberFormat="1" applyFont="1" applyFill="1" applyBorder="1"/>
    <xf numFmtId="166" fontId="1" fillId="8" borderId="1" xfId="0" applyNumberFormat="1" applyFont="1" applyFill="1" applyBorder="1"/>
    <xf numFmtId="166" fontId="7" fillId="8" borderId="1" xfId="3" applyNumberFormat="1" applyFont="1" applyFill="1" applyBorder="1"/>
    <xf numFmtId="166" fontId="7" fillId="0" borderId="1" xfId="0" applyNumberFormat="1" applyFont="1" applyBorder="1"/>
    <xf numFmtId="166" fontId="7" fillId="6" borderId="1" xfId="3" applyNumberFormat="1" applyFont="1" applyFill="1" applyBorder="1"/>
    <xf numFmtId="10" fontId="7" fillId="6" borderId="2" xfId="4" applyNumberFormat="1" applyFont="1" applyFill="1" applyBorder="1"/>
    <xf numFmtId="166" fontId="7" fillId="6" borderId="1" xfId="4" applyNumberFormat="1" applyFont="1" applyFill="1" applyBorder="1"/>
    <xf numFmtId="0" fontId="1" fillId="0" borderId="2" xfId="0" applyFont="1" applyBorder="1"/>
    <xf numFmtId="0" fontId="7" fillId="6" borderId="1" xfId="0" applyFont="1" applyFill="1" applyBorder="1"/>
    <xf numFmtId="10" fontId="7" fillId="6" borderId="1" xfId="4" applyNumberFormat="1" applyFont="1" applyFill="1" applyBorder="1"/>
    <xf numFmtId="164" fontId="1" fillId="0" borderId="0" xfId="3" applyNumberFormat="1" applyFont="1"/>
    <xf numFmtId="164" fontId="6" fillId="0" borderId="0" xfId="3" applyNumberFormat="1" applyFont="1"/>
    <xf numFmtId="164" fontId="1" fillId="0" borderId="1" xfId="3" applyNumberFormat="1" applyFont="1" applyBorder="1"/>
    <xf numFmtId="166" fontId="2" fillId="13" borderId="1" xfId="3" applyNumberFormat="1" applyFont="1" applyFill="1" applyBorder="1" applyAlignment="1">
      <alignment horizontal="center" wrapText="1"/>
    </xf>
    <xf numFmtId="171" fontId="7" fillId="0" borderId="0" xfId="0" applyNumberFormat="1" applyFont="1"/>
    <xf numFmtId="166" fontId="0" fillId="0" borderId="0" xfId="0" applyNumberFormat="1"/>
    <xf numFmtId="172" fontId="1" fillId="0" borderId="0" xfId="3" applyNumberFormat="1" applyFont="1"/>
    <xf numFmtId="172" fontId="2" fillId="13" borderId="0" xfId="3" applyNumberFormat="1" applyFont="1" applyFill="1" applyAlignment="1">
      <alignment horizontal="center" wrapText="1"/>
    </xf>
    <xf numFmtId="164" fontId="2" fillId="13" borderId="0" xfId="3" applyNumberFormat="1" applyFont="1" applyFill="1" applyAlignment="1">
      <alignment horizontal="center" wrapText="1"/>
    </xf>
    <xf numFmtId="164" fontId="2" fillId="13" borderId="1" xfId="3" applyNumberFormat="1" applyFont="1" applyFill="1" applyBorder="1" applyAlignment="1">
      <alignment horizontal="center" wrapText="1"/>
    </xf>
    <xf numFmtId="172" fontId="2" fillId="13" borderId="1" xfId="3" applyNumberFormat="1" applyFont="1" applyFill="1" applyBorder="1" applyAlignment="1">
      <alignment horizontal="center" wrapText="1"/>
    </xf>
    <xf numFmtId="0" fontId="8" fillId="0" borderId="0" xfId="0" applyFont="1"/>
    <xf numFmtId="0" fontId="2" fillId="0" borderId="1" xfId="0" applyFont="1" applyBorder="1"/>
    <xf numFmtId="0" fontId="2" fillId="0" borderId="7" xfId="0" applyFont="1" applyBorder="1"/>
    <xf numFmtId="166" fontId="6" fillId="8" borderId="9" xfId="3" applyNumberFormat="1" applyFont="1" applyFill="1" applyBorder="1"/>
    <xf numFmtId="166" fontId="6" fillId="16" borderId="9" xfId="3" applyNumberFormat="1" applyFont="1" applyFill="1" applyBorder="1"/>
    <xf numFmtId="166" fontId="6" fillId="4" borderId="9" xfId="3" applyNumberFormat="1" applyFont="1" applyFill="1" applyBorder="1"/>
    <xf numFmtId="172" fontId="6" fillId="15" borderId="9" xfId="3" applyNumberFormat="1" applyFont="1" applyFill="1" applyBorder="1"/>
    <xf numFmtId="0" fontId="9" fillId="0" borderId="0" xfId="0" applyFont="1" applyAlignment="1">
      <alignment horizontal="center"/>
    </xf>
    <xf numFmtId="166" fontId="1" fillId="16" borderId="1" xfId="3" applyNumberFormat="1" applyFont="1" applyFill="1" applyBorder="1"/>
    <xf numFmtId="166" fontId="1" fillId="4" borderId="1" xfId="3" applyNumberFormat="1" applyFont="1" applyFill="1" applyBorder="1"/>
    <xf numFmtId="0" fontId="1" fillId="0" borderId="14" xfId="0" applyFont="1" applyBorder="1"/>
    <xf numFmtId="0" fontId="1" fillId="0" borderId="17" xfId="0" applyFont="1" applyBorder="1"/>
    <xf numFmtId="0" fontId="2" fillId="0" borderId="6" xfId="0" applyFont="1" applyBorder="1"/>
    <xf numFmtId="166" fontId="1" fillId="8" borderId="6" xfId="3" applyNumberFormat="1" applyFont="1" applyFill="1" applyBorder="1"/>
    <xf numFmtId="166" fontId="1" fillId="16" borderId="6" xfId="3" applyNumberFormat="1" applyFont="1" applyFill="1" applyBorder="1"/>
    <xf numFmtId="166" fontId="1" fillId="4" borderId="6" xfId="3" applyNumberFormat="1" applyFont="1" applyFill="1" applyBorder="1"/>
    <xf numFmtId="172" fontId="6" fillId="15" borderId="6" xfId="3" applyNumberFormat="1" applyFont="1" applyFill="1" applyBorder="1"/>
    <xf numFmtId="10" fontId="6" fillId="15" borderId="18" xfId="4" applyNumberFormat="1" applyFont="1" applyFill="1" applyBorder="1" applyAlignment="1">
      <alignment horizontal="center" wrapText="1"/>
    </xf>
    <xf numFmtId="0" fontId="6" fillId="8" borderId="20" xfId="0" applyFont="1" applyFill="1" applyBorder="1" applyAlignment="1">
      <alignment horizontal="center" vertical="center" wrapText="1"/>
    </xf>
    <xf numFmtId="0" fontId="6" fillId="16" borderId="20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1" fillId="0" borderId="21" xfId="0" applyFont="1" applyBorder="1"/>
    <xf numFmtId="166" fontId="1" fillId="8" borderId="7" xfId="3" applyNumberFormat="1" applyFont="1" applyFill="1" applyBorder="1"/>
    <xf numFmtId="166" fontId="1" fillId="16" borderId="7" xfId="3" applyNumberFormat="1" applyFont="1" applyFill="1" applyBorder="1"/>
    <xf numFmtId="166" fontId="1" fillId="4" borderId="7" xfId="3" applyNumberFormat="1" applyFont="1" applyFill="1" applyBorder="1"/>
    <xf numFmtId="9" fontId="6" fillId="15" borderId="10" xfId="4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4" fillId="3" borderId="1" xfId="0" applyNumberFormat="1" applyFont="1" applyFill="1" applyBorder="1" applyAlignment="1">
      <alignment horizontal="center" vertical="top" wrapText="1"/>
    </xf>
    <xf numFmtId="0" fontId="4" fillId="18" borderId="1" xfId="0" applyFont="1" applyFill="1" applyBorder="1" applyAlignment="1">
      <alignment horizontal="center" vertical="top" wrapText="1"/>
    </xf>
    <xf numFmtId="0" fontId="4" fillId="3" borderId="1" xfId="1" applyNumberFormat="1" applyFont="1" applyFill="1" applyBorder="1" applyAlignment="1">
      <alignment horizontal="center" vertical="top" wrapText="1"/>
    </xf>
    <xf numFmtId="0" fontId="4" fillId="18" borderId="1" xfId="1" applyFont="1" applyFill="1" applyBorder="1" applyAlignment="1">
      <alignment horizontal="left" vertical="top" wrapText="1"/>
    </xf>
    <xf numFmtId="0" fontId="6" fillId="11" borderId="1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1" applyFont="1" applyFill="1" applyBorder="1" applyAlignment="1">
      <alignment horizontal="center" vertical="top" wrapText="1"/>
    </xf>
    <xf numFmtId="0" fontId="4" fillId="18" borderId="1" xfId="1" applyFont="1" applyFill="1" applyBorder="1" applyAlignment="1">
      <alignment horizontal="center" vertical="top" wrapText="1"/>
    </xf>
    <xf numFmtId="166" fontId="6" fillId="19" borderId="6" xfId="3" applyNumberFormat="1" applyFont="1" applyFill="1" applyBorder="1"/>
    <xf numFmtId="166" fontId="6" fillId="19" borderId="1" xfId="3" applyNumberFormat="1" applyFont="1" applyFill="1" applyBorder="1"/>
    <xf numFmtId="166" fontId="6" fillId="19" borderId="7" xfId="3" applyNumberFormat="1" applyFont="1" applyFill="1" applyBorder="1"/>
    <xf numFmtId="166" fontId="6" fillId="19" borderId="9" xfId="3" applyNumberFormat="1" applyFont="1" applyFill="1" applyBorder="1"/>
    <xf numFmtId="0" fontId="6" fillId="19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center" vertical="center" wrapText="1"/>
    </xf>
    <xf numFmtId="172" fontId="6" fillId="4" borderId="6" xfId="3" applyNumberFormat="1" applyFont="1" applyFill="1" applyBorder="1"/>
    <xf numFmtId="172" fontId="6" fillId="4" borderId="1" xfId="3" applyNumberFormat="1" applyFont="1" applyFill="1" applyBorder="1"/>
    <xf numFmtId="172" fontId="6" fillId="4" borderId="7" xfId="3" applyNumberFormat="1" applyFont="1" applyFill="1" applyBorder="1"/>
    <xf numFmtId="9" fontId="2" fillId="13" borderId="1" xfId="4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171" fontId="2" fillId="17" borderId="1" xfId="3" applyNumberFormat="1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2" fontId="6" fillId="8" borderId="6" xfId="3" applyNumberFormat="1" applyFont="1" applyFill="1" applyBorder="1"/>
    <xf numFmtId="172" fontId="6" fillId="8" borderId="1" xfId="3" applyNumberFormat="1" applyFont="1" applyFill="1" applyBorder="1"/>
    <xf numFmtId="172" fontId="6" fillId="8" borderId="7" xfId="3" applyNumberFormat="1" applyFont="1" applyFill="1" applyBorder="1"/>
    <xf numFmtId="172" fontId="6" fillId="16" borderId="6" xfId="3" applyNumberFormat="1" applyFont="1" applyFill="1" applyBorder="1"/>
    <xf numFmtId="172" fontId="6" fillId="16" borderId="1" xfId="3" applyNumberFormat="1" applyFont="1" applyFill="1" applyBorder="1"/>
    <xf numFmtId="172" fontId="6" fillId="16" borderId="7" xfId="3" applyNumberFormat="1" applyFont="1" applyFill="1" applyBorder="1"/>
    <xf numFmtId="172" fontId="6" fillId="11" borderId="6" xfId="3" applyNumberFormat="1" applyFont="1" applyFill="1" applyBorder="1"/>
    <xf numFmtId="172" fontId="6" fillId="11" borderId="1" xfId="3" applyNumberFormat="1" applyFont="1" applyFill="1" applyBorder="1"/>
    <xf numFmtId="172" fontId="6" fillId="11" borderId="7" xfId="3" applyNumberFormat="1" applyFont="1" applyFill="1" applyBorder="1"/>
    <xf numFmtId="172" fontId="6" fillId="11" borderId="9" xfId="3" applyNumberFormat="1" applyFont="1" applyFill="1" applyBorder="1"/>
    <xf numFmtId="172" fontId="6" fillId="9" borderId="6" xfId="3" applyNumberFormat="1" applyFont="1" applyFill="1" applyBorder="1"/>
    <xf numFmtId="172" fontId="6" fillId="9" borderId="9" xfId="3" applyNumberFormat="1" applyFont="1" applyFill="1" applyBorder="1"/>
    <xf numFmtId="0" fontId="5" fillId="0" borderId="1" xfId="0" applyFont="1" applyBorder="1" applyAlignment="1">
      <alignment horizontal="center" wrapText="1"/>
    </xf>
    <xf numFmtId="9" fontId="11" fillId="0" borderId="1" xfId="0" applyNumberFormat="1" applyFont="1" applyBorder="1" applyAlignment="1">
      <alignment horizontal="center" vertical="center"/>
    </xf>
    <xf numFmtId="173" fontId="12" fillId="0" borderId="1" xfId="0" applyNumberFormat="1" applyFont="1" applyBorder="1"/>
    <xf numFmtId="174" fontId="12" fillId="0" borderId="1" xfId="4" applyNumberFormat="1" applyFont="1" applyBorder="1" applyAlignment="1">
      <alignment horizontal="right"/>
    </xf>
    <xf numFmtId="173" fontId="1" fillId="0" borderId="1" xfId="0" applyNumberFormat="1" applyFont="1" applyBorder="1"/>
    <xf numFmtId="9" fontId="1" fillId="0" borderId="1" xfId="4" applyFont="1" applyBorder="1" applyAlignment="1">
      <alignment horizontal="center"/>
    </xf>
    <xf numFmtId="173" fontId="0" fillId="0" borderId="0" xfId="0" applyNumberFormat="1"/>
    <xf numFmtId="175" fontId="0" fillId="0" borderId="0" xfId="0" applyNumberFormat="1"/>
    <xf numFmtId="0" fontId="6" fillId="15" borderId="12" xfId="0" applyFont="1" applyFill="1" applyBorder="1" applyAlignment="1">
      <alignment vertical="center" wrapText="1"/>
    </xf>
    <xf numFmtId="0" fontId="6" fillId="15" borderId="13" xfId="0" applyFont="1" applyFill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12" xfId="0" applyFont="1" applyBorder="1" applyAlignment="1">
      <alignment vertical="center"/>
    </xf>
    <xf numFmtId="0" fontId="2" fillId="0" borderId="1" xfId="0" applyFont="1" applyFill="1" applyBorder="1"/>
    <xf numFmtId="0" fontId="6" fillId="0" borderId="8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9" borderId="2" xfId="0" applyFont="1" applyFill="1" applyBorder="1" applyAlignment="1">
      <alignment horizontal="center"/>
    </xf>
    <xf numFmtId="0" fontId="6" fillId="9" borderId="23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6" fillId="15" borderId="13" xfId="0" applyFont="1" applyFill="1" applyBorder="1" applyAlignment="1">
      <alignment horizontal="center" vertical="center"/>
    </xf>
    <xf numFmtId="0" fontId="6" fillId="15" borderId="15" xfId="0" applyFont="1" applyFill="1" applyBorder="1" applyAlignment="1">
      <alignment horizontal="center" vertical="center"/>
    </xf>
    <xf numFmtId="0" fontId="6" fillId="15" borderId="16" xfId="0" applyFont="1" applyFill="1" applyBorder="1" applyAlignment="1">
      <alignment horizontal="center" vertical="center"/>
    </xf>
    <xf numFmtId="0" fontId="6" fillId="9" borderId="22" xfId="0" applyFont="1" applyFill="1" applyBorder="1" applyAlignment="1">
      <alignment horizontal="center"/>
    </xf>
    <xf numFmtId="0" fontId="6" fillId="9" borderId="27" xfId="0" applyFont="1" applyFill="1" applyBorder="1" applyAlignment="1">
      <alignment horizontal="center"/>
    </xf>
    <xf numFmtId="0" fontId="6" fillId="9" borderId="28" xfId="0" applyFont="1" applyFill="1" applyBorder="1" applyAlignment="1">
      <alignment horizontal="center"/>
    </xf>
    <xf numFmtId="0" fontId="6" fillId="11" borderId="25" xfId="0" applyFont="1" applyFill="1" applyBorder="1" applyAlignment="1">
      <alignment horizontal="center" vertical="center" wrapText="1"/>
    </xf>
    <xf numFmtId="0" fontId="6" fillId="11" borderId="26" xfId="0" applyFont="1" applyFill="1" applyBorder="1" applyAlignment="1">
      <alignment horizontal="center" vertical="center" wrapText="1"/>
    </xf>
    <xf numFmtId="0" fontId="6" fillId="11" borderId="24" xfId="0" applyFont="1" applyFill="1" applyBorder="1" applyAlignment="1">
      <alignment horizontal="center" vertical="center" wrapText="1"/>
    </xf>
    <xf numFmtId="0" fontId="6" fillId="15" borderId="25" xfId="0" applyFont="1" applyFill="1" applyBorder="1" applyAlignment="1">
      <alignment horizontal="center" vertical="center" wrapText="1"/>
    </xf>
    <xf numFmtId="0" fontId="6" fillId="15" borderId="26" xfId="0" applyFont="1" applyFill="1" applyBorder="1" applyAlignment="1">
      <alignment horizontal="center" vertical="center" wrapText="1"/>
    </xf>
    <xf numFmtId="0" fontId="6" fillId="15" borderId="24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0" fontId="6" fillId="16" borderId="2" xfId="0" applyFont="1" applyFill="1" applyBorder="1" applyAlignment="1">
      <alignment horizontal="center" wrapText="1"/>
    </xf>
    <xf numFmtId="0" fontId="6" fillId="16" borderId="23" xfId="0" applyFont="1" applyFill="1" applyBorder="1" applyAlignment="1">
      <alignment horizontal="center" wrapText="1"/>
    </xf>
    <xf numFmtId="0" fontId="6" fillId="16" borderId="4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19" borderId="7" xfId="0" applyFont="1" applyFill="1" applyBorder="1" applyAlignment="1">
      <alignment horizontal="center" vertical="center" wrapText="1"/>
    </xf>
    <xf numFmtId="0" fontId="6" fillId="19" borderId="24" xfId="0" applyFont="1" applyFill="1" applyBorder="1" applyAlignment="1">
      <alignment horizontal="center" vertical="center" wrapText="1"/>
    </xf>
    <xf numFmtId="0" fontId="6" fillId="9" borderId="25" xfId="0" applyFont="1" applyFill="1" applyBorder="1" applyAlignment="1">
      <alignment horizontal="center" vertical="center" wrapText="1"/>
    </xf>
    <xf numFmtId="0" fontId="6" fillId="9" borderId="26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6" fillId="15" borderId="12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0" fontId="6" fillId="15" borderId="20" xfId="0" applyFont="1" applyFill="1" applyBorder="1" applyAlignment="1">
      <alignment horizontal="center" vertical="center" wrapText="1"/>
    </xf>
  </cellXfs>
  <cellStyles count="8">
    <cellStyle name="Millares" xfId="3" builtinId="3"/>
    <cellStyle name="Millares 2" xfId="2" xr:uid="{00000000-0005-0000-0000-000001000000}"/>
    <cellStyle name="Millares 3" xfId="6" xr:uid="{00000000-0005-0000-0000-000031000000}"/>
    <cellStyle name="Normal" xfId="0" builtinId="0"/>
    <cellStyle name="Normal 2" xfId="1" xr:uid="{00000000-0005-0000-0000-000003000000}"/>
    <cellStyle name="Normal 3" xfId="5" xr:uid="{00000000-0005-0000-0000-000032000000}"/>
    <cellStyle name="Porcentaje" xfId="4" builtinId="5"/>
    <cellStyle name="Porcentaje 2" xfId="7" xr:uid="{00000000-0005-0000-0000-000033000000}"/>
  </cellStyles>
  <dxfs count="0"/>
  <tableStyles count="0" defaultTableStyle="TableStyleMedium2" defaultPivotStyle="PivotStyleLight16"/>
  <colors>
    <mruColors>
      <color rgb="FFE9F5D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1013314</xdr:colOff>
      <xdr:row>0</xdr:row>
      <xdr:rowOff>1054954</xdr:rowOff>
    </xdr:to>
    <xdr:pic>
      <xdr:nvPicPr>
        <xdr:cNvPr id="2" name="Imagen 1" descr="../../../../Desktop/Logotipo%20-%20Ministerio%20de%20Educacion/Logo%20Mineduc%20SIN%20SLOGAN/01-Mineduc-Col">
          <a:extLst>
            <a:ext uri="{FF2B5EF4-FFF2-40B4-BE49-F238E27FC236}">
              <a16:creationId xmlns:a16="http://schemas.microsoft.com/office/drawing/2014/main" id="{EEA93015-CCDE-4971-A9EB-90ECA72E62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3314" cy="10549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1013314</xdr:colOff>
      <xdr:row>0</xdr:row>
      <xdr:rowOff>1054954</xdr:rowOff>
    </xdr:to>
    <xdr:pic>
      <xdr:nvPicPr>
        <xdr:cNvPr id="2" name="Imagen 1" descr="../../../../Desktop/Logotipo%20-%20Ministerio%20de%20Educacion/Logo%20Mineduc%20SIN%20SLOGAN/01-Mineduc-Col">
          <a:extLst>
            <a:ext uri="{FF2B5EF4-FFF2-40B4-BE49-F238E27FC236}">
              <a16:creationId xmlns:a16="http://schemas.microsoft.com/office/drawing/2014/main" id="{DF77837B-6302-44E3-976C-4E4D08DD055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3314" cy="10549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752475</xdr:colOff>
      <xdr:row>0</xdr:row>
      <xdr:rowOff>514350</xdr:rowOff>
    </xdr:from>
    <xdr:to>
      <xdr:col>11</xdr:col>
      <xdr:colOff>702037</xdr:colOff>
      <xdr:row>0</xdr:row>
      <xdr:rowOff>933910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D6FCF31-8FAB-4136-80D2-1A2BD9B66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5650" y="514350"/>
          <a:ext cx="1473562" cy="4195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Unidad%20An&#225;lisis/Presupuesto%202019/Pedagog&#237;as/Pedagog&#237;a%20G9/Montos_Pedagogia_G9_2019_300119_matriculamodific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0.5.112\Dfi\UdA_compartido\Anticipos%202019\BD_2019_Anticipo40%25%20(04ene19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Unidad%20An&#225;lisis/Presupuesto%202019/BD/Doctorados_acreditados_2801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Unidad%20An&#225;lisis/Presupuesto%202019/BD/Reporte_Basal_2018_conicyt_3001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Unidad%20An&#225;lisis/Presupuesto%202019/BD/Acad&#233;micos%20Universidades%20JC_2012-2018_1802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Unidad%20An&#225;lisis/Presupuesto%202019/BD/Indicadores_BD_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Unidad%20An&#225;lisis/Presupuesto%202019/BD/Solicitudes%20PCT_2017_3001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Unidad%20An&#225;lisis/Basal%20por%20Desempe&#241;o/2018/BD_Monto2018_VF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Unidad%20An&#225;lisis/Presupuesto%202019/BD/Matr&#237;cula_pedagog&#237;a_2018_28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ntaje Final FID"/>
      <sheetName val="Criterios Puntajes"/>
      <sheetName val="Promedio Acreditación"/>
      <sheetName val="Cantidad Matrícula FID"/>
      <sheetName val="Porcentaje Matrícula FID"/>
      <sheetName val="Oferta FID"/>
      <sheetName val="Puntaje Postgrado"/>
      <sheetName val="Porcentaje Matrícula Per 1-6"/>
    </sheetNames>
    <sheetDataSet>
      <sheetData sheetId="0">
        <row r="7">
          <cell r="C7" t="str">
            <v>UCV</v>
          </cell>
          <cell r="D7">
            <v>8</v>
          </cell>
          <cell r="E7">
            <v>25</v>
          </cell>
          <cell r="F7">
            <v>6</v>
          </cell>
          <cell r="G7">
            <v>25</v>
          </cell>
          <cell r="H7">
            <v>8</v>
          </cell>
          <cell r="I7">
            <v>12</v>
          </cell>
          <cell r="J7">
            <v>84</v>
          </cell>
          <cell r="K7">
            <v>0.15162454873646208</v>
          </cell>
          <cell r="L7">
            <v>970397.11191335728</v>
          </cell>
        </row>
        <row r="8">
          <cell r="C8" t="str">
            <v>UCO</v>
          </cell>
          <cell r="D8">
            <v>6</v>
          </cell>
          <cell r="E8">
            <v>25</v>
          </cell>
          <cell r="F8">
            <v>6</v>
          </cell>
          <cell r="G8">
            <v>25</v>
          </cell>
          <cell r="H8">
            <v>8</v>
          </cell>
          <cell r="I8">
            <v>12</v>
          </cell>
          <cell r="J8">
            <v>82</v>
          </cell>
          <cell r="K8">
            <v>0.14801444043321299</v>
          </cell>
          <cell r="L8">
            <v>947292.41877256311</v>
          </cell>
        </row>
        <row r="9">
          <cell r="C9" t="str">
            <v>USC</v>
          </cell>
          <cell r="D9">
            <v>6</v>
          </cell>
          <cell r="E9">
            <v>20</v>
          </cell>
          <cell r="F9">
            <v>6</v>
          </cell>
          <cell r="G9">
            <v>25</v>
          </cell>
          <cell r="H9">
            <v>6</v>
          </cell>
          <cell r="I9">
            <v>15</v>
          </cell>
          <cell r="J9">
            <v>78</v>
          </cell>
          <cell r="K9">
            <v>0.1407942238267148</v>
          </cell>
          <cell r="L9">
            <v>901083.03249097476</v>
          </cell>
        </row>
        <row r="10">
          <cell r="C10" t="str">
            <v>UCT</v>
          </cell>
          <cell r="D10">
            <v>8</v>
          </cell>
          <cell r="E10">
            <v>20</v>
          </cell>
          <cell r="F10">
            <v>6</v>
          </cell>
          <cell r="G10">
            <v>25</v>
          </cell>
          <cell r="H10">
            <v>4</v>
          </cell>
          <cell r="I10">
            <v>15</v>
          </cell>
          <cell r="J10">
            <v>78</v>
          </cell>
          <cell r="K10">
            <v>0.1407942238267148</v>
          </cell>
          <cell r="L10">
            <v>901083.03249097476</v>
          </cell>
        </row>
        <row r="11">
          <cell r="C11" t="str">
            <v>UCM</v>
          </cell>
          <cell r="D11">
            <v>6</v>
          </cell>
          <cell r="E11">
            <v>20</v>
          </cell>
          <cell r="F11">
            <v>6</v>
          </cell>
          <cell r="G11">
            <v>25</v>
          </cell>
          <cell r="H11">
            <v>4</v>
          </cell>
          <cell r="I11">
            <v>15</v>
          </cell>
          <cell r="J11">
            <v>76</v>
          </cell>
          <cell r="K11">
            <v>0.13718411552346571</v>
          </cell>
          <cell r="L11">
            <v>877978.33935018058</v>
          </cell>
        </row>
        <row r="12">
          <cell r="C12" t="str">
            <v>PUC</v>
          </cell>
          <cell r="D12">
            <v>4</v>
          </cell>
          <cell r="E12">
            <v>20</v>
          </cell>
          <cell r="F12">
            <v>3</v>
          </cell>
          <cell r="G12">
            <v>20</v>
          </cell>
          <cell r="H12">
            <v>4</v>
          </cell>
          <cell r="I12">
            <v>9</v>
          </cell>
          <cell r="J12">
            <v>60</v>
          </cell>
          <cell r="K12">
            <v>0.10830324909747292</v>
          </cell>
          <cell r="L12">
            <v>693140.79422382673</v>
          </cell>
        </row>
        <row r="13">
          <cell r="C13" t="str">
            <v>AUS</v>
          </cell>
          <cell r="D13">
            <v>6</v>
          </cell>
          <cell r="E13">
            <v>15</v>
          </cell>
          <cell r="F13">
            <v>3</v>
          </cell>
          <cell r="G13">
            <v>15</v>
          </cell>
          <cell r="H13">
            <v>4</v>
          </cell>
          <cell r="I13">
            <v>15</v>
          </cell>
          <cell r="J13">
            <v>58</v>
          </cell>
          <cell r="K13">
            <v>0.10469314079422383</v>
          </cell>
          <cell r="L13">
            <v>670036.10108303255</v>
          </cell>
        </row>
        <row r="14">
          <cell r="C14" t="str">
            <v>UCN</v>
          </cell>
          <cell r="D14">
            <v>6</v>
          </cell>
          <cell r="E14">
            <v>10</v>
          </cell>
          <cell r="F14">
            <v>3</v>
          </cell>
          <cell r="G14">
            <v>10</v>
          </cell>
          <cell r="H14">
            <v>0</v>
          </cell>
          <cell r="I14">
            <v>9</v>
          </cell>
          <cell r="J14">
            <v>38</v>
          </cell>
          <cell r="K14">
            <v>6.8592057761732855E-2</v>
          </cell>
          <cell r="L14">
            <v>438989.16967509029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os BD 2019 Anticipo"/>
    </sheetNames>
    <sheetDataSet>
      <sheetData sheetId="0">
        <row r="7">
          <cell r="B7" t="str">
            <v>PUC</v>
          </cell>
          <cell r="C7" t="str">
            <v>CRUCH-PRIVADA</v>
          </cell>
          <cell r="D7">
            <v>9289972</v>
          </cell>
          <cell r="E7">
            <v>0.24856907130542369</v>
          </cell>
          <cell r="F7">
            <v>3808816.1242579827</v>
          </cell>
          <cell r="G7">
            <v>3808816</v>
          </cell>
        </row>
        <row r="8">
          <cell r="B8" t="str">
            <v>UCO</v>
          </cell>
          <cell r="C8" t="str">
            <v>CRUCH-PRIVADA</v>
          </cell>
          <cell r="D8">
            <v>6380854</v>
          </cell>
          <cell r="E8">
            <v>0.17073064944818972</v>
          </cell>
          <cell r="F8">
            <v>2616100.4146983484</v>
          </cell>
          <cell r="G8">
            <v>2616100</v>
          </cell>
        </row>
        <row r="9">
          <cell r="B9" t="str">
            <v>UCV</v>
          </cell>
          <cell r="C9" t="str">
            <v>CRUCH-PRIVADA</v>
          </cell>
          <cell r="D9">
            <v>4331258</v>
          </cell>
          <cell r="E9">
            <v>0.11589020705812533</v>
          </cell>
          <cell r="F9">
            <v>1775782.0269771942</v>
          </cell>
          <cell r="G9">
            <v>1775782</v>
          </cell>
        </row>
        <row r="10">
          <cell r="B10" t="str">
            <v>AUS</v>
          </cell>
          <cell r="C10" t="str">
            <v>CRUCH-PRIVADA</v>
          </cell>
          <cell r="D10">
            <v>4008941</v>
          </cell>
          <cell r="E10">
            <v>0.10726606509559303</v>
          </cell>
          <cell r="F10">
            <v>1643634.568758541</v>
          </cell>
          <cell r="G10">
            <v>1643635</v>
          </cell>
        </row>
        <row r="11">
          <cell r="B11" t="str">
            <v>UCN</v>
          </cell>
          <cell r="C11" t="str">
            <v>CRUCH-PRIVADA</v>
          </cell>
          <cell r="D11">
            <v>3080354</v>
          </cell>
          <cell r="E11">
            <v>8.2420133566812367E-2</v>
          </cell>
          <cell r="F11">
            <v>1262921.1351360986</v>
          </cell>
          <cell r="G11">
            <v>1262921</v>
          </cell>
        </row>
        <row r="12">
          <cell r="B12" t="str">
            <v>FSM</v>
          </cell>
          <cell r="C12" t="str">
            <v>CRUCH-PRIVADA</v>
          </cell>
          <cell r="D12">
            <v>4401660</v>
          </cell>
          <cell r="E12">
            <v>0.11777393283878909</v>
          </cell>
          <cell r="F12">
            <v>1804646.2983420608</v>
          </cell>
          <cell r="G12">
            <v>1804646</v>
          </cell>
        </row>
        <row r="13">
          <cell r="B13" t="str">
            <v>UCT</v>
          </cell>
          <cell r="C13" t="str">
            <v>CRUCH-PRIVADA</v>
          </cell>
          <cell r="D13">
            <v>2509693</v>
          </cell>
          <cell r="E13">
            <v>6.7151123627899267E-2</v>
          </cell>
          <cell r="F13">
            <v>1028954.5722352433</v>
          </cell>
          <cell r="G13">
            <v>1028955</v>
          </cell>
        </row>
        <row r="14">
          <cell r="B14" t="str">
            <v>USC</v>
          </cell>
          <cell r="C14" t="str">
            <v>CRUCH-PRIVADA</v>
          </cell>
          <cell r="D14">
            <v>1546060</v>
          </cell>
          <cell r="E14">
            <v>4.1367476498579685E-2</v>
          </cell>
          <cell r="F14">
            <v>633872.55172246974</v>
          </cell>
          <cell r="G14">
            <v>633873</v>
          </cell>
        </row>
        <row r="15">
          <cell r="B15" t="str">
            <v>UCM</v>
          </cell>
          <cell r="C15" t="str">
            <v>CRUCH-PRIVADA</v>
          </cell>
          <cell r="D15">
            <v>1825013</v>
          </cell>
          <cell r="E15">
            <v>4.883134056058782E-2</v>
          </cell>
          <cell r="F15">
            <v>748241.10787206166</v>
          </cell>
          <cell r="G15">
            <v>748241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reditación Investigación"/>
      <sheetName val="IES"/>
      <sheetName val="PED"/>
      <sheetName val="PREG"/>
      <sheetName val="Acreditación Doctorados"/>
      <sheetName val="DOC"/>
      <sheetName val="MAG"/>
    </sheetNames>
    <sheetDataSet>
      <sheetData sheetId="0">
        <row r="17">
          <cell r="D17" t="str">
            <v>PUC</v>
          </cell>
          <cell r="E17" t="str">
            <v>SÍ</v>
          </cell>
          <cell r="F17">
            <v>1</v>
          </cell>
        </row>
        <row r="18">
          <cell r="D18" t="str">
            <v>UCV</v>
          </cell>
          <cell r="E18" t="str">
            <v>SÍ</v>
          </cell>
          <cell r="F18">
            <v>1</v>
          </cell>
        </row>
        <row r="19">
          <cell r="D19" t="str">
            <v>AUS</v>
          </cell>
          <cell r="E19" t="str">
            <v>SÍ</v>
          </cell>
          <cell r="F19">
            <v>1</v>
          </cell>
        </row>
        <row r="20">
          <cell r="D20" t="str">
            <v>UCT</v>
          </cell>
          <cell r="E20" t="str">
            <v>SÍ</v>
          </cell>
          <cell r="F20">
            <v>1</v>
          </cell>
        </row>
        <row r="21">
          <cell r="D21" t="str">
            <v>UCN</v>
          </cell>
          <cell r="E21" t="str">
            <v>SÍ</v>
          </cell>
          <cell r="F21">
            <v>1</v>
          </cell>
        </row>
        <row r="22">
          <cell r="D22" t="str">
            <v>UCO</v>
          </cell>
          <cell r="E22" t="str">
            <v>SÍ</v>
          </cell>
          <cell r="F22">
            <v>1</v>
          </cell>
        </row>
        <row r="23">
          <cell r="D23" t="str">
            <v>FSM</v>
          </cell>
          <cell r="E23" t="str">
            <v>SÍ</v>
          </cell>
          <cell r="F23">
            <v>1</v>
          </cell>
        </row>
        <row r="43">
          <cell r="D43" t="str">
            <v>PUC</v>
          </cell>
          <cell r="E43" t="str">
            <v>SÍ</v>
          </cell>
          <cell r="F43" t="str">
            <v>SÍ</v>
          </cell>
          <cell r="G43" t="str">
            <v>SÍ</v>
          </cell>
          <cell r="H43" t="str">
            <v>SÍ</v>
          </cell>
          <cell r="I43" t="str">
            <v>SÍ</v>
          </cell>
          <cell r="J43">
            <v>1</v>
          </cell>
        </row>
        <row r="44">
          <cell r="D44" t="str">
            <v>UCV</v>
          </cell>
          <cell r="E44" t="str">
            <v>SÍ</v>
          </cell>
          <cell r="F44" t="str">
            <v>SÍ</v>
          </cell>
          <cell r="G44" t="str">
            <v>SÍ</v>
          </cell>
          <cell r="H44" t="str">
            <v>SÍ</v>
          </cell>
          <cell r="I44" t="str">
            <v>SÍ</v>
          </cell>
          <cell r="J44">
            <v>1</v>
          </cell>
        </row>
        <row r="45">
          <cell r="D45" t="str">
            <v>AUS</v>
          </cell>
          <cell r="E45" t="str">
            <v>SÍ</v>
          </cell>
          <cell r="F45" t="str">
            <v>SÍ</v>
          </cell>
          <cell r="G45" t="str">
            <v>SÍ</v>
          </cell>
          <cell r="H45" t="str">
            <v>SÍ</v>
          </cell>
          <cell r="I45" t="str">
            <v>SÍ</v>
          </cell>
          <cell r="J45">
            <v>1</v>
          </cell>
        </row>
        <row r="46">
          <cell r="D46" t="str">
            <v>UCN</v>
          </cell>
          <cell r="E46" t="str">
            <v>SÍ</v>
          </cell>
          <cell r="F46" t="str">
            <v>SÍ</v>
          </cell>
          <cell r="G46" t="str">
            <v>SÍ</v>
          </cell>
          <cell r="H46" t="str">
            <v>SÍ</v>
          </cell>
          <cell r="I46" t="str">
            <v>SÍ</v>
          </cell>
          <cell r="J46">
            <v>1</v>
          </cell>
        </row>
        <row r="47">
          <cell r="D47" t="str">
            <v>UCO</v>
          </cell>
          <cell r="E47" t="str">
            <v>SÍ</v>
          </cell>
          <cell r="F47" t="str">
            <v>SÍ</v>
          </cell>
          <cell r="G47" t="str">
            <v>SÍ</v>
          </cell>
          <cell r="H47" t="str">
            <v>SÍ</v>
          </cell>
          <cell r="I47" t="str">
            <v>SÍ</v>
          </cell>
          <cell r="J47">
            <v>1</v>
          </cell>
        </row>
        <row r="48">
          <cell r="D48" t="str">
            <v>FSM</v>
          </cell>
          <cell r="E48" t="str">
            <v>SÍ</v>
          </cell>
          <cell r="F48" t="str">
            <v>SÍ</v>
          </cell>
          <cell r="G48" t="str">
            <v>SÍ</v>
          </cell>
          <cell r="H48" t="str">
            <v>SÍ</v>
          </cell>
          <cell r="I48" t="str">
            <v>SÍ</v>
          </cell>
          <cell r="J48">
            <v>1</v>
          </cell>
        </row>
        <row r="79">
          <cell r="D79" t="str">
            <v>PUC</v>
          </cell>
          <cell r="E79">
            <v>7</v>
          </cell>
        </row>
        <row r="80">
          <cell r="D80" t="str">
            <v>UCV</v>
          </cell>
          <cell r="E80">
            <v>6</v>
          </cell>
        </row>
        <row r="81">
          <cell r="D81" t="str">
            <v>AUS</v>
          </cell>
          <cell r="E81">
            <v>6</v>
          </cell>
        </row>
        <row r="82">
          <cell r="D82" t="str">
            <v>USC</v>
          </cell>
          <cell r="E82">
            <v>4</v>
          </cell>
        </row>
        <row r="83">
          <cell r="D83" t="str">
            <v>UCT</v>
          </cell>
          <cell r="E83">
            <v>4</v>
          </cell>
        </row>
        <row r="84">
          <cell r="D84" t="str">
            <v>UCM</v>
          </cell>
          <cell r="E84">
            <v>5</v>
          </cell>
        </row>
        <row r="85">
          <cell r="D85" t="str">
            <v>UCN</v>
          </cell>
          <cell r="E85">
            <v>6</v>
          </cell>
        </row>
        <row r="86">
          <cell r="D86" t="str">
            <v>UCO</v>
          </cell>
          <cell r="E86">
            <v>7</v>
          </cell>
        </row>
        <row r="87">
          <cell r="D87" t="str">
            <v>FSM</v>
          </cell>
          <cell r="E87">
            <v>6</v>
          </cell>
        </row>
      </sheetData>
      <sheetData sheetId="1"/>
      <sheetData sheetId="2"/>
      <sheetData sheetId="3"/>
      <sheetData sheetId="4">
        <row r="19">
          <cell r="D19" t="str">
            <v>PUC</v>
          </cell>
          <cell r="E19"/>
          <cell r="F19"/>
          <cell r="G19"/>
          <cell r="H19">
            <v>1</v>
          </cell>
          <cell r="I19"/>
          <cell r="J19"/>
          <cell r="K19">
            <v>1</v>
          </cell>
          <cell r="L19">
            <v>1</v>
          </cell>
          <cell r="M19">
            <v>6</v>
          </cell>
          <cell r="N19">
            <v>6</v>
          </cell>
          <cell r="O19">
            <v>6</v>
          </cell>
          <cell r="P19">
            <v>2</v>
          </cell>
          <cell r="Q19">
            <v>7</v>
          </cell>
          <cell r="R19">
            <v>4</v>
          </cell>
          <cell r="S19">
            <v>1</v>
          </cell>
        </row>
        <row r="20">
          <cell r="D20" t="str">
            <v>UCV</v>
          </cell>
          <cell r="E20"/>
          <cell r="F20">
            <v>1</v>
          </cell>
          <cell r="G20"/>
          <cell r="H20">
            <v>2</v>
          </cell>
          <cell r="I20"/>
          <cell r="J20">
            <v>1</v>
          </cell>
          <cell r="K20">
            <v>4</v>
          </cell>
          <cell r="L20">
            <v>2</v>
          </cell>
          <cell r="M20">
            <v>2</v>
          </cell>
          <cell r="N20">
            <v>2</v>
          </cell>
          <cell r="O20">
            <v>1</v>
          </cell>
          <cell r="P20"/>
          <cell r="Q20">
            <v>2</v>
          </cell>
          <cell r="R20"/>
          <cell r="S20"/>
        </row>
        <row r="21">
          <cell r="D21" t="str">
            <v>AUS</v>
          </cell>
          <cell r="E21"/>
          <cell r="F21"/>
          <cell r="G21"/>
          <cell r="H21"/>
          <cell r="I21"/>
          <cell r="J21"/>
          <cell r="K21"/>
          <cell r="L21"/>
          <cell r="M21">
            <v>5</v>
          </cell>
          <cell r="N21">
            <v>1</v>
          </cell>
          <cell r="O21"/>
          <cell r="P21">
            <v>2</v>
          </cell>
          <cell r="Q21">
            <v>1</v>
          </cell>
          <cell r="R21"/>
          <cell r="S21"/>
        </row>
        <row r="22">
          <cell r="D22" t="str">
            <v>USC</v>
          </cell>
          <cell r="E22">
            <v>1</v>
          </cell>
          <cell r="F22"/>
          <cell r="G22"/>
          <cell r="H22"/>
          <cell r="I22"/>
          <cell r="J22"/>
          <cell r="K22">
            <v>1</v>
          </cell>
          <cell r="L22"/>
          <cell r="M22"/>
          <cell r="N22"/>
          <cell r="O22"/>
          <cell r="P22"/>
          <cell r="Q22"/>
          <cell r="R22"/>
          <cell r="S22"/>
        </row>
        <row r="23">
          <cell r="D23" t="str">
            <v>UCT</v>
          </cell>
          <cell r="E23">
            <v>1</v>
          </cell>
          <cell r="F23"/>
          <cell r="G23"/>
          <cell r="H23"/>
          <cell r="I23"/>
          <cell r="J23"/>
          <cell r="K23">
            <v>1</v>
          </cell>
          <cell r="L23">
            <v>2</v>
          </cell>
          <cell r="M23"/>
          <cell r="N23"/>
          <cell r="O23"/>
          <cell r="P23"/>
          <cell r="Q23"/>
          <cell r="R23"/>
          <cell r="S23"/>
        </row>
        <row r="24">
          <cell r="D24" t="str">
            <v>UCM</v>
          </cell>
          <cell r="E24">
            <v>1</v>
          </cell>
          <cell r="F24"/>
          <cell r="G24"/>
          <cell r="H24"/>
          <cell r="I24"/>
          <cell r="J24"/>
          <cell r="K24">
            <v>1</v>
          </cell>
          <cell r="L24"/>
          <cell r="M24"/>
          <cell r="N24"/>
          <cell r="O24"/>
          <cell r="P24"/>
          <cell r="Q24"/>
          <cell r="R24"/>
          <cell r="S24"/>
        </row>
        <row r="25">
          <cell r="D25" t="str">
            <v>UCN</v>
          </cell>
          <cell r="E25">
            <v>1</v>
          </cell>
          <cell r="F25"/>
          <cell r="G25">
            <v>1</v>
          </cell>
          <cell r="H25">
            <v>1</v>
          </cell>
          <cell r="I25"/>
          <cell r="J25"/>
          <cell r="K25">
            <v>3</v>
          </cell>
          <cell r="L25">
            <v>1</v>
          </cell>
          <cell r="M25">
            <v>2</v>
          </cell>
          <cell r="N25"/>
          <cell r="O25"/>
          <cell r="P25"/>
          <cell r="Q25"/>
          <cell r="R25"/>
          <cell r="S25"/>
        </row>
        <row r="26">
          <cell r="D26" t="str">
            <v>UCO</v>
          </cell>
          <cell r="E26"/>
          <cell r="F26"/>
          <cell r="G26"/>
          <cell r="H26"/>
          <cell r="I26"/>
          <cell r="J26"/>
          <cell r="K26"/>
          <cell r="L26">
            <v>2</v>
          </cell>
          <cell r="M26">
            <v>4</v>
          </cell>
          <cell r="N26">
            <v>3</v>
          </cell>
          <cell r="O26">
            <v>4</v>
          </cell>
          <cell r="P26">
            <v>4</v>
          </cell>
          <cell r="Q26">
            <v>5</v>
          </cell>
          <cell r="R26">
            <v>1</v>
          </cell>
          <cell r="S26"/>
        </row>
        <row r="27">
          <cell r="D27" t="str">
            <v>FSM</v>
          </cell>
          <cell r="E27"/>
          <cell r="F27">
            <v>2</v>
          </cell>
          <cell r="G27"/>
          <cell r="H27">
            <v>1</v>
          </cell>
          <cell r="I27"/>
          <cell r="J27">
            <v>1</v>
          </cell>
          <cell r="K27">
            <v>4</v>
          </cell>
          <cell r="L27">
            <v>1</v>
          </cell>
          <cell r="M27"/>
          <cell r="N27">
            <v>1</v>
          </cell>
          <cell r="O27"/>
          <cell r="P27"/>
          <cell r="Q27">
            <v>1</v>
          </cell>
          <cell r="R27"/>
          <cell r="S27"/>
        </row>
      </sheetData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ielo.Chile"/>
      <sheetName val="WOS"/>
      <sheetName val="SCOPUS"/>
    </sheetNames>
    <sheetDataSet>
      <sheetData sheetId="0"/>
      <sheetData sheetId="1"/>
      <sheetData sheetId="2">
        <row r="7">
          <cell r="C7" t="str">
            <v>UCH</v>
          </cell>
          <cell r="D7">
            <v>1980</v>
          </cell>
          <cell r="E7">
            <v>26055</v>
          </cell>
          <cell r="F7">
            <v>2359</v>
          </cell>
          <cell r="G7">
            <v>24426</v>
          </cell>
          <cell r="H7">
            <v>2526</v>
          </cell>
          <cell r="I7">
            <v>18386</v>
          </cell>
          <cell r="J7">
            <v>2712</v>
          </cell>
          <cell r="K7">
            <v>13194</v>
          </cell>
          <cell r="L7">
            <v>2693</v>
          </cell>
          <cell r="M7">
            <v>5352</v>
          </cell>
          <cell r="N7">
            <v>12270</v>
          </cell>
          <cell r="O7">
            <v>87413</v>
          </cell>
        </row>
        <row r="8">
          <cell r="C8" t="str">
            <v>PUC</v>
          </cell>
          <cell r="D8">
            <v>1756</v>
          </cell>
          <cell r="E8">
            <v>27398</v>
          </cell>
          <cell r="F8">
            <v>2053</v>
          </cell>
          <cell r="G8">
            <v>24460</v>
          </cell>
          <cell r="H8">
            <v>2086</v>
          </cell>
          <cell r="I8">
            <v>19502</v>
          </cell>
          <cell r="J8">
            <v>2387</v>
          </cell>
          <cell r="K8">
            <v>17228</v>
          </cell>
          <cell r="L8">
            <v>2338</v>
          </cell>
          <cell r="M8">
            <v>6188</v>
          </cell>
          <cell r="N8">
            <v>10620</v>
          </cell>
          <cell r="O8">
            <v>94776</v>
          </cell>
        </row>
        <row r="9">
          <cell r="C9" t="str">
            <v>UCO</v>
          </cell>
          <cell r="D9">
            <v>918</v>
          </cell>
          <cell r="E9">
            <v>11576</v>
          </cell>
          <cell r="F9">
            <v>990</v>
          </cell>
          <cell r="G9">
            <v>8831</v>
          </cell>
          <cell r="H9">
            <v>1010</v>
          </cell>
          <cell r="I9">
            <v>6564</v>
          </cell>
          <cell r="J9">
            <v>1137</v>
          </cell>
          <cell r="K9">
            <v>4409</v>
          </cell>
          <cell r="L9">
            <v>1101</v>
          </cell>
          <cell r="M9">
            <v>1871</v>
          </cell>
          <cell r="N9">
            <v>5156</v>
          </cell>
          <cell r="O9">
            <v>33251</v>
          </cell>
        </row>
        <row r="10">
          <cell r="C10" t="str">
            <v>USA</v>
          </cell>
          <cell r="D10">
            <v>462</v>
          </cell>
          <cell r="E10">
            <v>3797</v>
          </cell>
          <cell r="F10">
            <v>518</v>
          </cell>
          <cell r="G10">
            <v>3134</v>
          </cell>
          <cell r="H10">
            <v>516</v>
          </cell>
          <cell r="I10">
            <v>2746</v>
          </cell>
          <cell r="J10">
            <v>662</v>
          </cell>
          <cell r="K10">
            <v>2506</v>
          </cell>
          <cell r="L10">
            <v>688</v>
          </cell>
          <cell r="M10">
            <v>899</v>
          </cell>
          <cell r="N10">
            <v>2846</v>
          </cell>
          <cell r="O10">
            <v>13082</v>
          </cell>
        </row>
        <row r="11">
          <cell r="C11" t="str">
            <v>UCV</v>
          </cell>
          <cell r="D11">
            <v>383</v>
          </cell>
          <cell r="E11">
            <v>3269</v>
          </cell>
          <cell r="F11">
            <v>466</v>
          </cell>
          <cell r="G11">
            <v>3706</v>
          </cell>
          <cell r="H11">
            <v>541</v>
          </cell>
          <cell r="I11">
            <v>2584</v>
          </cell>
          <cell r="J11">
            <v>658</v>
          </cell>
          <cell r="K11">
            <v>1953</v>
          </cell>
          <cell r="L11">
            <v>608</v>
          </cell>
          <cell r="M11">
            <v>859</v>
          </cell>
          <cell r="N11">
            <v>2656</v>
          </cell>
          <cell r="O11">
            <v>12371</v>
          </cell>
        </row>
        <row r="12">
          <cell r="C12" t="str">
            <v>FSM</v>
          </cell>
          <cell r="D12">
            <v>447</v>
          </cell>
          <cell r="E12">
            <v>9138</v>
          </cell>
          <cell r="F12">
            <v>478</v>
          </cell>
          <cell r="G12">
            <v>7044</v>
          </cell>
          <cell r="H12">
            <v>550</v>
          </cell>
          <cell r="I12">
            <v>7021</v>
          </cell>
          <cell r="J12">
            <v>620</v>
          </cell>
          <cell r="K12">
            <v>4978</v>
          </cell>
          <cell r="L12">
            <v>569</v>
          </cell>
          <cell r="M12">
            <v>1580</v>
          </cell>
          <cell r="N12">
            <v>2664</v>
          </cell>
          <cell r="O12">
            <v>29761</v>
          </cell>
        </row>
        <row r="13">
          <cell r="C13" t="str">
            <v>AUS</v>
          </cell>
          <cell r="D13">
            <v>449</v>
          </cell>
          <cell r="E13">
            <v>4874</v>
          </cell>
          <cell r="F13">
            <v>465</v>
          </cell>
          <cell r="G13">
            <v>4228</v>
          </cell>
          <cell r="H13">
            <v>489</v>
          </cell>
          <cell r="I13">
            <v>2740</v>
          </cell>
          <cell r="J13">
            <v>543</v>
          </cell>
          <cell r="K13">
            <v>3156</v>
          </cell>
          <cell r="L13">
            <v>548</v>
          </cell>
          <cell r="M13">
            <v>939</v>
          </cell>
          <cell r="N13">
            <v>2494</v>
          </cell>
          <cell r="O13">
            <v>15937</v>
          </cell>
        </row>
        <row r="14">
          <cell r="C14" t="str">
            <v>FRO</v>
          </cell>
          <cell r="D14">
            <v>306</v>
          </cell>
          <cell r="E14">
            <v>3489</v>
          </cell>
          <cell r="F14">
            <v>381</v>
          </cell>
          <cell r="G14">
            <v>4099</v>
          </cell>
          <cell r="H14">
            <v>445</v>
          </cell>
          <cell r="I14">
            <v>2686</v>
          </cell>
          <cell r="J14">
            <v>469</v>
          </cell>
          <cell r="K14">
            <v>2029</v>
          </cell>
          <cell r="L14">
            <v>507</v>
          </cell>
          <cell r="M14">
            <v>957</v>
          </cell>
          <cell r="N14">
            <v>2108</v>
          </cell>
          <cell r="O14">
            <v>13260</v>
          </cell>
        </row>
        <row r="15">
          <cell r="C15" t="str">
            <v>UVA</v>
          </cell>
          <cell r="D15">
            <v>288</v>
          </cell>
          <cell r="E15">
            <v>3075</v>
          </cell>
          <cell r="F15">
            <v>341</v>
          </cell>
          <cell r="G15">
            <v>2925</v>
          </cell>
          <cell r="H15">
            <v>385</v>
          </cell>
          <cell r="I15">
            <v>2552</v>
          </cell>
          <cell r="J15">
            <v>412</v>
          </cell>
          <cell r="K15">
            <v>2042</v>
          </cell>
          <cell r="L15">
            <v>433</v>
          </cell>
          <cell r="M15">
            <v>1050</v>
          </cell>
          <cell r="N15">
            <v>1859</v>
          </cell>
          <cell r="O15">
            <v>11644</v>
          </cell>
        </row>
        <row r="16">
          <cell r="C16" t="str">
            <v>TAL</v>
          </cell>
          <cell r="D16">
            <v>298</v>
          </cell>
          <cell r="E16">
            <v>2599</v>
          </cell>
          <cell r="F16">
            <v>319</v>
          </cell>
          <cell r="G16">
            <v>2120</v>
          </cell>
          <cell r="H16">
            <v>375</v>
          </cell>
          <cell r="I16">
            <v>1950</v>
          </cell>
          <cell r="J16">
            <v>401</v>
          </cell>
          <cell r="K16">
            <v>1317</v>
          </cell>
          <cell r="L16">
            <v>414</v>
          </cell>
          <cell r="M16">
            <v>606</v>
          </cell>
          <cell r="N16">
            <v>1807</v>
          </cell>
          <cell r="O16">
            <v>8592</v>
          </cell>
        </row>
        <row r="17">
          <cell r="C17" t="str">
            <v>UCN</v>
          </cell>
          <cell r="D17">
            <v>266</v>
          </cell>
          <cell r="E17">
            <v>2376</v>
          </cell>
          <cell r="F17">
            <v>308</v>
          </cell>
          <cell r="G17">
            <v>2393</v>
          </cell>
          <cell r="H17">
            <v>338</v>
          </cell>
          <cell r="I17">
            <v>1591</v>
          </cell>
          <cell r="J17">
            <v>326</v>
          </cell>
          <cell r="K17">
            <v>940</v>
          </cell>
          <cell r="L17">
            <v>350</v>
          </cell>
          <cell r="M17">
            <v>535</v>
          </cell>
          <cell r="N17">
            <v>1588</v>
          </cell>
          <cell r="O17">
            <v>7835</v>
          </cell>
        </row>
        <row r="18">
          <cell r="C18" t="str">
            <v>UBB</v>
          </cell>
          <cell r="D18">
            <v>150</v>
          </cell>
          <cell r="E18">
            <v>1027</v>
          </cell>
          <cell r="F18">
            <v>174</v>
          </cell>
          <cell r="G18">
            <v>1014</v>
          </cell>
          <cell r="H18">
            <v>186</v>
          </cell>
          <cell r="I18">
            <v>643</v>
          </cell>
          <cell r="J18">
            <v>242</v>
          </cell>
          <cell r="K18">
            <v>583</v>
          </cell>
          <cell r="L18">
            <v>253</v>
          </cell>
          <cell r="M18">
            <v>260</v>
          </cell>
          <cell r="N18">
            <v>1005</v>
          </cell>
          <cell r="O18">
            <v>3527</v>
          </cell>
        </row>
        <row r="19">
          <cell r="C19" t="str">
            <v>UTA</v>
          </cell>
          <cell r="D19">
            <v>168</v>
          </cell>
          <cell r="E19">
            <v>1208</v>
          </cell>
          <cell r="F19">
            <v>203</v>
          </cell>
          <cell r="G19">
            <v>1397</v>
          </cell>
          <cell r="H19">
            <v>202</v>
          </cell>
          <cell r="I19">
            <v>955</v>
          </cell>
          <cell r="J19">
            <v>213</v>
          </cell>
          <cell r="K19">
            <v>620</v>
          </cell>
          <cell r="L19">
            <v>233</v>
          </cell>
          <cell r="M19">
            <v>266</v>
          </cell>
          <cell r="N19">
            <v>1019</v>
          </cell>
          <cell r="O19">
            <v>4446</v>
          </cell>
        </row>
        <row r="20">
          <cell r="C20" t="str">
            <v>ANT</v>
          </cell>
          <cell r="D20">
            <v>115</v>
          </cell>
          <cell r="E20">
            <v>1179</v>
          </cell>
          <cell r="F20">
            <v>138</v>
          </cell>
          <cell r="G20">
            <v>1140</v>
          </cell>
          <cell r="H20">
            <v>159</v>
          </cell>
          <cell r="I20">
            <v>1223</v>
          </cell>
          <cell r="J20">
            <v>203</v>
          </cell>
          <cell r="K20">
            <v>1060</v>
          </cell>
          <cell r="L20">
            <v>207</v>
          </cell>
          <cell r="M20">
            <v>596</v>
          </cell>
          <cell r="N20">
            <v>822</v>
          </cell>
          <cell r="O20">
            <v>5198</v>
          </cell>
        </row>
        <row r="21">
          <cell r="C21" t="str">
            <v>ULS</v>
          </cell>
          <cell r="D21">
            <v>102</v>
          </cell>
          <cell r="E21">
            <v>994</v>
          </cell>
          <cell r="F21">
            <v>111</v>
          </cell>
          <cell r="G21">
            <v>1001</v>
          </cell>
          <cell r="H21">
            <v>113</v>
          </cell>
          <cell r="I21">
            <v>668</v>
          </cell>
          <cell r="J21">
            <v>137</v>
          </cell>
          <cell r="K21">
            <v>643</v>
          </cell>
          <cell r="L21">
            <v>173</v>
          </cell>
          <cell r="M21">
            <v>984</v>
          </cell>
          <cell r="N21">
            <v>636</v>
          </cell>
          <cell r="O21">
            <v>4290</v>
          </cell>
        </row>
        <row r="22">
          <cell r="C22" t="str">
            <v>UCT</v>
          </cell>
          <cell r="D22">
            <v>92</v>
          </cell>
          <cell r="E22">
            <v>438</v>
          </cell>
          <cell r="F22">
            <v>98</v>
          </cell>
          <cell r="G22">
            <v>407</v>
          </cell>
          <cell r="H22">
            <v>120</v>
          </cell>
          <cell r="I22">
            <v>543</v>
          </cell>
          <cell r="J22">
            <v>130</v>
          </cell>
          <cell r="K22">
            <v>273</v>
          </cell>
          <cell r="L22">
            <v>160</v>
          </cell>
          <cell r="M22">
            <v>159</v>
          </cell>
          <cell r="N22">
            <v>600</v>
          </cell>
          <cell r="O22">
            <v>1820</v>
          </cell>
        </row>
        <row r="23">
          <cell r="C23" t="str">
            <v>MAG</v>
          </cell>
          <cell r="D23">
            <v>34</v>
          </cell>
          <cell r="E23">
            <v>168</v>
          </cell>
          <cell r="F23">
            <v>62</v>
          </cell>
          <cell r="G23">
            <v>435</v>
          </cell>
          <cell r="H23">
            <v>87</v>
          </cell>
          <cell r="I23">
            <v>580</v>
          </cell>
          <cell r="J23">
            <v>122</v>
          </cell>
          <cell r="K23">
            <v>685</v>
          </cell>
          <cell r="L23">
            <v>104</v>
          </cell>
          <cell r="M23">
            <v>190</v>
          </cell>
          <cell r="N23">
            <v>409</v>
          </cell>
          <cell r="O23">
            <v>2058</v>
          </cell>
        </row>
        <row r="24">
          <cell r="C24" t="str">
            <v>UPA</v>
          </cell>
          <cell r="D24">
            <v>34</v>
          </cell>
          <cell r="E24">
            <v>144</v>
          </cell>
          <cell r="F24">
            <v>67</v>
          </cell>
          <cell r="G24">
            <v>235</v>
          </cell>
          <cell r="H24">
            <v>115</v>
          </cell>
          <cell r="I24">
            <v>386</v>
          </cell>
          <cell r="J24">
            <v>119</v>
          </cell>
          <cell r="K24">
            <v>171</v>
          </cell>
          <cell r="L24">
            <v>86</v>
          </cell>
          <cell r="M24">
            <v>42</v>
          </cell>
          <cell r="N24">
            <v>421</v>
          </cell>
          <cell r="O24">
            <v>978</v>
          </cell>
        </row>
        <row r="25">
          <cell r="C25" t="str">
            <v>ULA</v>
          </cell>
          <cell r="D25">
            <v>56</v>
          </cell>
          <cell r="E25">
            <v>483</v>
          </cell>
          <cell r="F25">
            <v>68</v>
          </cell>
          <cell r="G25">
            <v>446</v>
          </cell>
          <cell r="H25">
            <v>92</v>
          </cell>
          <cell r="I25">
            <v>392</v>
          </cell>
          <cell r="J25">
            <v>108</v>
          </cell>
          <cell r="K25">
            <v>338</v>
          </cell>
          <cell r="L25">
            <v>121</v>
          </cell>
          <cell r="M25">
            <v>133</v>
          </cell>
          <cell r="N25">
            <v>445</v>
          </cell>
          <cell r="O25">
            <v>1792</v>
          </cell>
        </row>
        <row r="26">
          <cell r="C26" t="str">
            <v>USC</v>
          </cell>
          <cell r="D26">
            <v>61</v>
          </cell>
          <cell r="E26">
            <v>282</v>
          </cell>
          <cell r="F26">
            <v>72</v>
          </cell>
          <cell r="G26">
            <v>376</v>
          </cell>
          <cell r="H26">
            <v>85</v>
          </cell>
          <cell r="I26">
            <v>257</v>
          </cell>
          <cell r="J26">
            <v>102</v>
          </cell>
          <cell r="K26">
            <v>326</v>
          </cell>
          <cell r="L26">
            <v>144</v>
          </cell>
          <cell r="M26">
            <v>164</v>
          </cell>
          <cell r="N26">
            <v>464</v>
          </cell>
          <cell r="O26">
            <v>1405</v>
          </cell>
        </row>
        <row r="27">
          <cell r="C27" t="str">
            <v>UCM</v>
          </cell>
          <cell r="D27">
            <v>69</v>
          </cell>
          <cell r="E27">
            <v>624</v>
          </cell>
          <cell r="F27">
            <v>73</v>
          </cell>
          <cell r="G27">
            <v>509</v>
          </cell>
          <cell r="H27">
            <v>74</v>
          </cell>
          <cell r="I27">
            <v>236</v>
          </cell>
          <cell r="J27">
            <v>92</v>
          </cell>
          <cell r="K27">
            <v>179</v>
          </cell>
          <cell r="L27">
            <v>138</v>
          </cell>
          <cell r="M27">
            <v>105</v>
          </cell>
          <cell r="N27">
            <v>446</v>
          </cell>
          <cell r="O27">
            <v>1653</v>
          </cell>
        </row>
        <row r="28">
          <cell r="C28" t="str">
            <v>UAP</v>
          </cell>
          <cell r="D28">
            <v>51</v>
          </cell>
          <cell r="E28">
            <v>583</v>
          </cell>
          <cell r="F28">
            <v>63</v>
          </cell>
          <cell r="G28">
            <v>259</v>
          </cell>
          <cell r="H28">
            <v>60</v>
          </cell>
          <cell r="I28">
            <v>298</v>
          </cell>
          <cell r="J28">
            <v>82</v>
          </cell>
          <cell r="K28">
            <v>210</v>
          </cell>
          <cell r="L28">
            <v>65</v>
          </cell>
          <cell r="M28">
            <v>66</v>
          </cell>
          <cell r="N28">
            <v>321</v>
          </cell>
          <cell r="O28">
            <v>1416</v>
          </cell>
        </row>
        <row r="29">
          <cell r="C29" t="str">
            <v>ATA</v>
          </cell>
          <cell r="D29">
            <v>20</v>
          </cell>
          <cell r="E29">
            <v>118</v>
          </cell>
          <cell r="F29">
            <v>29</v>
          </cell>
          <cell r="G29">
            <v>161</v>
          </cell>
          <cell r="H29">
            <v>31</v>
          </cell>
          <cell r="I29">
            <v>162</v>
          </cell>
          <cell r="J29">
            <v>54</v>
          </cell>
          <cell r="K29">
            <v>209</v>
          </cell>
          <cell r="L29">
            <v>93</v>
          </cell>
          <cell r="M29">
            <v>119</v>
          </cell>
          <cell r="N29">
            <v>227</v>
          </cell>
          <cell r="O29">
            <v>769</v>
          </cell>
        </row>
        <row r="30">
          <cell r="C30" t="str">
            <v>UMC</v>
          </cell>
          <cell r="D30">
            <v>24</v>
          </cell>
          <cell r="E30">
            <v>215</v>
          </cell>
          <cell r="F30">
            <v>24</v>
          </cell>
          <cell r="G30">
            <v>104</v>
          </cell>
          <cell r="H30">
            <v>41</v>
          </cell>
          <cell r="I30">
            <v>180</v>
          </cell>
          <cell r="J30">
            <v>41</v>
          </cell>
          <cell r="K30">
            <v>47</v>
          </cell>
          <cell r="L30">
            <v>35</v>
          </cell>
          <cell r="M30">
            <v>32</v>
          </cell>
          <cell r="N30">
            <v>165</v>
          </cell>
          <cell r="O30">
            <v>578</v>
          </cell>
        </row>
        <row r="31">
          <cell r="C31" t="str">
            <v>UTM</v>
          </cell>
          <cell r="D31">
            <v>17</v>
          </cell>
          <cell r="E31">
            <v>364</v>
          </cell>
          <cell r="F31">
            <v>11</v>
          </cell>
          <cell r="G31">
            <v>45</v>
          </cell>
          <cell r="H31">
            <v>20</v>
          </cell>
          <cell r="I31">
            <v>57</v>
          </cell>
          <cell r="J31">
            <v>37</v>
          </cell>
          <cell r="K31">
            <v>61</v>
          </cell>
          <cell r="L31">
            <v>60</v>
          </cell>
          <cell r="M31">
            <v>67</v>
          </cell>
          <cell r="N31">
            <v>145</v>
          </cell>
          <cell r="O31">
            <v>594</v>
          </cell>
        </row>
        <row r="32">
          <cell r="C32" t="str">
            <v>URO</v>
          </cell>
          <cell r="D32"/>
          <cell r="E32"/>
          <cell r="F32"/>
          <cell r="G32"/>
          <cell r="H32"/>
          <cell r="I32"/>
          <cell r="J32">
            <v>1</v>
          </cell>
          <cell r="K32">
            <v>2</v>
          </cell>
          <cell r="L32">
            <v>7</v>
          </cell>
          <cell r="M32">
            <v>12</v>
          </cell>
          <cell r="N32">
            <v>8</v>
          </cell>
          <cell r="O32">
            <v>14</v>
          </cell>
        </row>
        <row r="33">
          <cell r="C33" t="str">
            <v>URY</v>
          </cell>
          <cell r="D33"/>
          <cell r="E33"/>
          <cell r="F33"/>
          <cell r="G33"/>
          <cell r="H33"/>
          <cell r="I33"/>
          <cell r="J33"/>
          <cell r="K33"/>
          <cell r="L33">
            <v>5</v>
          </cell>
          <cell r="M33">
            <v>5</v>
          </cell>
          <cell r="N33">
            <v>5</v>
          </cell>
          <cell r="O33">
            <v>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 2012"/>
      <sheetName val="PAC 2013"/>
      <sheetName val="PAC 2014"/>
      <sheetName val="PAC 2015"/>
      <sheetName val="PAC 2016"/>
      <sheetName val="PAC 2017"/>
      <sheetName val="PAC 2018"/>
    </sheetNames>
    <sheetDataSet>
      <sheetData sheetId="0"/>
      <sheetData sheetId="1"/>
      <sheetData sheetId="2"/>
      <sheetData sheetId="3"/>
      <sheetData sheetId="4"/>
      <sheetData sheetId="5">
        <row r="35">
          <cell r="D35" t="str">
            <v>UCH</v>
          </cell>
          <cell r="E35">
            <v>316</v>
          </cell>
          <cell r="F35">
            <v>715</v>
          </cell>
          <cell r="G35">
            <v>112</v>
          </cell>
          <cell r="H35">
            <v>116</v>
          </cell>
          <cell r="I35">
            <v>11</v>
          </cell>
          <cell r="J35">
            <v>16</v>
          </cell>
          <cell r="K35">
            <v>104</v>
          </cell>
          <cell r="L35">
            <v>125</v>
          </cell>
          <cell r="M35">
            <v>18</v>
          </cell>
          <cell r="N35">
            <v>26</v>
          </cell>
          <cell r="W35">
            <v>561</v>
          </cell>
          <cell r="X35">
            <v>998</v>
          </cell>
          <cell r="Y35">
            <v>1559</v>
          </cell>
        </row>
        <row r="36">
          <cell r="D36" t="str">
            <v>USA</v>
          </cell>
          <cell r="E36">
            <v>106</v>
          </cell>
          <cell r="F36">
            <v>299</v>
          </cell>
          <cell r="G36">
            <v>33</v>
          </cell>
          <cell r="H36">
            <v>100</v>
          </cell>
          <cell r="K36">
            <v>32</v>
          </cell>
          <cell r="L36">
            <v>62</v>
          </cell>
          <cell r="M36">
            <v>4</v>
          </cell>
          <cell r="N36">
            <v>4</v>
          </cell>
          <cell r="W36">
            <v>175</v>
          </cell>
          <cell r="X36">
            <v>465</v>
          </cell>
          <cell r="Y36">
            <v>640</v>
          </cell>
        </row>
        <row r="37">
          <cell r="D37" t="str">
            <v>UVA</v>
          </cell>
          <cell r="E37">
            <v>75</v>
          </cell>
          <cell r="F37">
            <v>141</v>
          </cell>
          <cell r="G37">
            <v>118</v>
          </cell>
          <cell r="H37">
            <v>121</v>
          </cell>
          <cell r="I37">
            <v>2</v>
          </cell>
          <cell r="J37">
            <v>7</v>
          </cell>
          <cell r="K37">
            <v>37</v>
          </cell>
          <cell r="L37">
            <v>64</v>
          </cell>
          <cell r="M37">
            <v>1</v>
          </cell>
          <cell r="N37">
            <v>2</v>
          </cell>
          <cell r="W37">
            <v>233</v>
          </cell>
          <cell r="X37">
            <v>335</v>
          </cell>
          <cell r="Y37">
            <v>568</v>
          </cell>
        </row>
        <row r="38">
          <cell r="D38" t="str">
            <v>ANT</v>
          </cell>
          <cell r="E38">
            <v>35</v>
          </cell>
          <cell r="F38">
            <v>100</v>
          </cell>
          <cell r="G38">
            <v>45</v>
          </cell>
          <cell r="H38">
            <v>61</v>
          </cell>
          <cell r="I38">
            <v>2</v>
          </cell>
          <cell r="J38">
            <v>5</v>
          </cell>
          <cell r="K38">
            <v>25</v>
          </cell>
          <cell r="L38">
            <v>41</v>
          </cell>
          <cell r="N38">
            <v>1</v>
          </cell>
          <cell r="W38">
            <v>107</v>
          </cell>
          <cell r="X38">
            <v>208</v>
          </cell>
          <cell r="Y38">
            <v>315</v>
          </cell>
        </row>
        <row r="39">
          <cell r="D39" t="str">
            <v>ULS</v>
          </cell>
          <cell r="E39">
            <v>26</v>
          </cell>
          <cell r="F39">
            <v>85</v>
          </cell>
          <cell r="G39">
            <v>22</v>
          </cell>
          <cell r="H39">
            <v>40</v>
          </cell>
          <cell r="K39">
            <v>13</v>
          </cell>
          <cell r="L39">
            <v>42</v>
          </cell>
          <cell r="M39">
            <v>1</v>
          </cell>
          <cell r="N39">
            <v>2</v>
          </cell>
          <cell r="T39">
            <v>1</v>
          </cell>
          <cell r="W39">
            <v>62</v>
          </cell>
          <cell r="X39">
            <v>170</v>
          </cell>
          <cell r="Y39">
            <v>232</v>
          </cell>
        </row>
        <row r="40">
          <cell r="D40" t="str">
            <v>UBB</v>
          </cell>
          <cell r="E40">
            <v>51</v>
          </cell>
          <cell r="F40">
            <v>166</v>
          </cell>
          <cell r="G40">
            <v>80</v>
          </cell>
          <cell r="H40">
            <v>105</v>
          </cell>
          <cell r="K40">
            <v>12</v>
          </cell>
          <cell r="L40">
            <v>44</v>
          </cell>
          <cell r="M40">
            <v>1</v>
          </cell>
          <cell r="N40">
            <v>2</v>
          </cell>
          <cell r="W40">
            <v>144</v>
          </cell>
          <cell r="X40">
            <v>317</v>
          </cell>
          <cell r="Y40">
            <v>461</v>
          </cell>
        </row>
        <row r="41">
          <cell r="D41" t="str">
            <v>FRO</v>
          </cell>
          <cell r="E41">
            <v>65</v>
          </cell>
          <cell r="F41">
            <v>120</v>
          </cell>
          <cell r="G41">
            <v>38</v>
          </cell>
          <cell r="H41">
            <v>34</v>
          </cell>
          <cell r="J41">
            <v>1</v>
          </cell>
          <cell r="K41">
            <v>24</v>
          </cell>
          <cell r="L41">
            <v>38</v>
          </cell>
          <cell r="W41">
            <v>127</v>
          </cell>
          <cell r="X41">
            <v>193</v>
          </cell>
          <cell r="Y41">
            <v>320</v>
          </cell>
        </row>
        <row r="42">
          <cell r="D42" t="str">
            <v>MAG</v>
          </cell>
          <cell r="E42">
            <v>19</v>
          </cell>
          <cell r="F42">
            <v>38</v>
          </cell>
          <cell r="G42">
            <v>32</v>
          </cell>
          <cell r="H42">
            <v>31</v>
          </cell>
          <cell r="K42">
            <v>29</v>
          </cell>
          <cell r="L42">
            <v>36</v>
          </cell>
          <cell r="M42">
            <v>2</v>
          </cell>
          <cell r="N42">
            <v>1</v>
          </cell>
          <cell r="T42">
            <v>1</v>
          </cell>
          <cell r="W42">
            <v>82</v>
          </cell>
          <cell r="X42">
            <v>107</v>
          </cell>
          <cell r="Y42">
            <v>189</v>
          </cell>
        </row>
        <row r="43">
          <cell r="D43" t="str">
            <v>TAL</v>
          </cell>
          <cell r="E43">
            <v>34</v>
          </cell>
          <cell r="F43">
            <v>179</v>
          </cell>
          <cell r="G43">
            <v>72</v>
          </cell>
          <cell r="H43">
            <v>67</v>
          </cell>
          <cell r="J43">
            <v>1</v>
          </cell>
          <cell r="K43">
            <v>6</v>
          </cell>
          <cell r="L43">
            <v>5</v>
          </cell>
          <cell r="W43">
            <v>112</v>
          </cell>
          <cell r="X43">
            <v>252</v>
          </cell>
          <cell r="Y43">
            <v>364</v>
          </cell>
        </row>
        <row r="44">
          <cell r="D44" t="str">
            <v>ATA</v>
          </cell>
          <cell r="E44">
            <v>13</v>
          </cell>
          <cell r="F44">
            <v>57</v>
          </cell>
          <cell r="G44">
            <v>30</v>
          </cell>
          <cell r="H44">
            <v>38</v>
          </cell>
          <cell r="K44">
            <v>72</v>
          </cell>
          <cell r="L44">
            <v>80</v>
          </cell>
          <cell r="M44">
            <v>9</v>
          </cell>
          <cell r="N44">
            <v>9</v>
          </cell>
          <cell r="O44">
            <v>1</v>
          </cell>
          <cell r="P44">
            <v>2</v>
          </cell>
          <cell r="W44">
            <v>125</v>
          </cell>
          <cell r="X44">
            <v>186</v>
          </cell>
          <cell r="Y44">
            <v>311</v>
          </cell>
        </row>
        <row r="45">
          <cell r="D45" t="str">
            <v>UTA</v>
          </cell>
          <cell r="E45">
            <v>29</v>
          </cell>
          <cell r="F45">
            <v>95</v>
          </cell>
          <cell r="G45">
            <v>71</v>
          </cell>
          <cell r="H45">
            <v>82</v>
          </cell>
          <cell r="J45">
            <v>1</v>
          </cell>
          <cell r="K45">
            <v>21</v>
          </cell>
          <cell r="L45">
            <v>20</v>
          </cell>
          <cell r="W45">
            <v>121</v>
          </cell>
          <cell r="X45">
            <v>198</v>
          </cell>
          <cell r="Y45">
            <v>319</v>
          </cell>
        </row>
        <row r="46">
          <cell r="D46" t="str">
            <v>UAP</v>
          </cell>
          <cell r="E46">
            <v>25</v>
          </cell>
          <cell r="F46">
            <v>37</v>
          </cell>
          <cell r="G46">
            <v>47</v>
          </cell>
          <cell r="H46">
            <v>77</v>
          </cell>
          <cell r="K46">
            <v>36</v>
          </cell>
          <cell r="L46">
            <v>51</v>
          </cell>
          <cell r="W46">
            <v>108</v>
          </cell>
          <cell r="X46">
            <v>165</v>
          </cell>
          <cell r="Y46">
            <v>273</v>
          </cell>
        </row>
        <row r="47">
          <cell r="D47" t="str">
            <v>UMC</v>
          </cell>
          <cell r="E47">
            <v>30</v>
          </cell>
          <cell r="F47">
            <v>30</v>
          </cell>
          <cell r="G47">
            <v>59</v>
          </cell>
          <cell r="H47">
            <v>59</v>
          </cell>
          <cell r="K47">
            <v>19</v>
          </cell>
          <cell r="L47">
            <v>32</v>
          </cell>
          <cell r="M47">
            <v>2</v>
          </cell>
          <cell r="N47">
            <v>9</v>
          </cell>
          <cell r="W47">
            <v>110</v>
          </cell>
          <cell r="X47">
            <v>130</v>
          </cell>
          <cell r="Y47">
            <v>240</v>
          </cell>
        </row>
        <row r="48">
          <cell r="D48" t="str">
            <v>UPA</v>
          </cell>
          <cell r="E48">
            <v>44</v>
          </cell>
          <cell r="F48">
            <v>66</v>
          </cell>
          <cell r="G48">
            <v>68</v>
          </cell>
          <cell r="H48">
            <v>78</v>
          </cell>
          <cell r="K48">
            <v>22</v>
          </cell>
          <cell r="L48">
            <v>33</v>
          </cell>
          <cell r="M48">
            <v>2</v>
          </cell>
          <cell r="N48">
            <v>1</v>
          </cell>
          <cell r="W48">
            <v>136</v>
          </cell>
          <cell r="X48">
            <v>178</v>
          </cell>
          <cell r="Y48">
            <v>314</v>
          </cell>
        </row>
        <row r="49">
          <cell r="D49" t="str">
            <v>ULA</v>
          </cell>
          <cell r="E49">
            <v>23</v>
          </cell>
          <cell r="F49">
            <v>66</v>
          </cell>
          <cell r="G49">
            <v>58</v>
          </cell>
          <cell r="H49">
            <v>74</v>
          </cell>
          <cell r="K49">
            <v>34</v>
          </cell>
          <cell r="L49">
            <v>35</v>
          </cell>
          <cell r="M49">
            <v>3</v>
          </cell>
          <cell r="P49">
            <v>1</v>
          </cell>
          <cell r="W49">
            <v>118</v>
          </cell>
          <cell r="X49">
            <v>176</v>
          </cell>
          <cell r="Y49">
            <v>294</v>
          </cell>
        </row>
        <row r="50">
          <cell r="D50" t="str">
            <v>UTM</v>
          </cell>
          <cell r="E50">
            <v>16</v>
          </cell>
          <cell r="F50">
            <v>31</v>
          </cell>
          <cell r="G50">
            <v>28</v>
          </cell>
          <cell r="H50">
            <v>66</v>
          </cell>
          <cell r="K50">
            <v>19</v>
          </cell>
          <cell r="L50">
            <v>34</v>
          </cell>
          <cell r="N50">
            <v>1</v>
          </cell>
          <cell r="W50">
            <v>63</v>
          </cell>
          <cell r="X50">
            <v>132</v>
          </cell>
          <cell r="Y50">
            <v>195</v>
          </cell>
        </row>
        <row r="51">
          <cell r="D51" t="str">
            <v>PUC</v>
          </cell>
          <cell r="E51">
            <v>286</v>
          </cell>
          <cell r="F51">
            <v>617</v>
          </cell>
          <cell r="G51">
            <v>125</v>
          </cell>
          <cell r="H51">
            <v>122</v>
          </cell>
          <cell r="I51">
            <v>98</v>
          </cell>
          <cell r="J51">
            <v>221</v>
          </cell>
          <cell r="K51">
            <v>34</v>
          </cell>
          <cell r="L51">
            <v>28</v>
          </cell>
          <cell r="M51">
            <v>17</v>
          </cell>
          <cell r="N51">
            <v>13</v>
          </cell>
          <cell r="W51">
            <v>560</v>
          </cell>
          <cell r="X51">
            <v>1001</v>
          </cell>
          <cell r="Y51">
            <v>1561</v>
          </cell>
        </row>
        <row r="52">
          <cell r="D52" t="str">
            <v>UCO</v>
          </cell>
          <cell r="E52">
            <v>221</v>
          </cell>
          <cell r="F52">
            <v>472</v>
          </cell>
          <cell r="G52">
            <v>155</v>
          </cell>
          <cell r="H52">
            <v>152</v>
          </cell>
          <cell r="J52">
            <v>2</v>
          </cell>
          <cell r="K52">
            <v>40</v>
          </cell>
          <cell r="L52">
            <v>76</v>
          </cell>
          <cell r="M52">
            <v>5</v>
          </cell>
          <cell r="N52">
            <v>4</v>
          </cell>
          <cell r="W52">
            <v>421</v>
          </cell>
          <cell r="X52">
            <v>706</v>
          </cell>
          <cell r="Y52">
            <v>1127</v>
          </cell>
        </row>
        <row r="53">
          <cell r="D53" t="str">
            <v>FSM</v>
          </cell>
          <cell r="E53">
            <v>37</v>
          </cell>
          <cell r="F53">
            <v>193</v>
          </cell>
          <cell r="G53">
            <v>18</v>
          </cell>
          <cell r="H53">
            <v>83</v>
          </cell>
          <cell r="K53">
            <v>15</v>
          </cell>
          <cell r="L53">
            <v>87</v>
          </cell>
          <cell r="N53">
            <v>9</v>
          </cell>
          <cell r="O53">
            <v>1</v>
          </cell>
          <cell r="P53">
            <v>1</v>
          </cell>
          <cell r="W53">
            <v>71</v>
          </cell>
          <cell r="X53">
            <v>373</v>
          </cell>
          <cell r="Y53">
            <v>444</v>
          </cell>
        </row>
        <row r="54">
          <cell r="D54" t="str">
            <v>UCV</v>
          </cell>
          <cell r="E54">
            <v>109</v>
          </cell>
          <cell r="F54">
            <v>253</v>
          </cell>
          <cell r="G54">
            <v>45</v>
          </cell>
          <cell r="H54">
            <v>46</v>
          </cell>
          <cell r="K54">
            <v>16</v>
          </cell>
          <cell r="L54">
            <v>31</v>
          </cell>
          <cell r="M54">
            <v>1</v>
          </cell>
          <cell r="N54">
            <v>3</v>
          </cell>
          <cell r="W54">
            <v>171</v>
          </cell>
          <cell r="X54">
            <v>333</v>
          </cell>
          <cell r="Y54">
            <v>504</v>
          </cell>
        </row>
        <row r="55">
          <cell r="D55" t="str">
            <v>AUS</v>
          </cell>
          <cell r="E55">
            <v>102</v>
          </cell>
          <cell r="F55">
            <v>254</v>
          </cell>
          <cell r="G55">
            <v>93</v>
          </cell>
          <cell r="H55">
            <v>114</v>
          </cell>
          <cell r="I55">
            <v>3</v>
          </cell>
          <cell r="J55">
            <v>8</v>
          </cell>
          <cell r="K55">
            <v>77</v>
          </cell>
          <cell r="L55">
            <v>64</v>
          </cell>
          <cell r="M55">
            <v>1</v>
          </cell>
          <cell r="N55">
            <v>5</v>
          </cell>
          <cell r="W55">
            <v>276</v>
          </cell>
          <cell r="X55">
            <v>445</v>
          </cell>
          <cell r="Y55">
            <v>721</v>
          </cell>
        </row>
        <row r="56">
          <cell r="D56" t="str">
            <v>UCN</v>
          </cell>
          <cell r="E56">
            <v>52</v>
          </cell>
          <cell r="F56">
            <v>154</v>
          </cell>
          <cell r="G56">
            <v>51</v>
          </cell>
          <cell r="H56">
            <v>77</v>
          </cell>
          <cell r="J56">
            <v>3</v>
          </cell>
          <cell r="K56">
            <v>30</v>
          </cell>
          <cell r="L56">
            <v>48</v>
          </cell>
          <cell r="M56">
            <v>8</v>
          </cell>
          <cell r="N56">
            <v>11</v>
          </cell>
          <cell r="W56">
            <v>141</v>
          </cell>
          <cell r="X56">
            <v>293</v>
          </cell>
          <cell r="Y56">
            <v>434</v>
          </cell>
        </row>
        <row r="57">
          <cell r="D57" t="str">
            <v>UCM</v>
          </cell>
          <cell r="E57">
            <v>46</v>
          </cell>
          <cell r="F57">
            <v>82</v>
          </cell>
          <cell r="G57">
            <v>54</v>
          </cell>
          <cell r="H57">
            <v>69</v>
          </cell>
          <cell r="I57">
            <v>1</v>
          </cell>
          <cell r="J57">
            <v>1</v>
          </cell>
          <cell r="K57">
            <v>28</v>
          </cell>
          <cell r="L57">
            <v>12</v>
          </cell>
          <cell r="M57">
            <v>2</v>
          </cell>
          <cell r="N57">
            <v>2</v>
          </cell>
          <cell r="W57">
            <v>131</v>
          </cell>
          <cell r="X57">
            <v>166</v>
          </cell>
          <cell r="Y57">
            <v>297</v>
          </cell>
        </row>
        <row r="58">
          <cell r="D58" t="str">
            <v>USC</v>
          </cell>
          <cell r="E58">
            <v>33</v>
          </cell>
          <cell r="F58">
            <v>89</v>
          </cell>
          <cell r="G58">
            <v>54</v>
          </cell>
          <cell r="H58">
            <v>54</v>
          </cell>
          <cell r="J58">
            <v>4</v>
          </cell>
          <cell r="K58">
            <v>19</v>
          </cell>
          <cell r="L58">
            <v>21</v>
          </cell>
          <cell r="M58">
            <v>1</v>
          </cell>
          <cell r="N58">
            <v>7</v>
          </cell>
          <cell r="P58">
            <v>1</v>
          </cell>
          <cell r="T58">
            <v>1</v>
          </cell>
          <cell r="W58">
            <v>107</v>
          </cell>
          <cell r="X58">
            <v>177</v>
          </cell>
          <cell r="Y58">
            <v>284</v>
          </cell>
        </row>
        <row r="59">
          <cell r="D59" t="str">
            <v>UCT</v>
          </cell>
          <cell r="E59">
            <v>51</v>
          </cell>
          <cell r="F59">
            <v>91</v>
          </cell>
          <cell r="G59">
            <v>67</v>
          </cell>
          <cell r="H59">
            <v>68</v>
          </cell>
          <cell r="K59">
            <v>19</v>
          </cell>
          <cell r="L59">
            <v>20</v>
          </cell>
          <cell r="M59">
            <v>7</v>
          </cell>
          <cell r="N59">
            <v>8</v>
          </cell>
          <cell r="P59">
            <v>1</v>
          </cell>
          <cell r="W59">
            <v>144</v>
          </cell>
          <cell r="X59">
            <v>188</v>
          </cell>
          <cell r="Y59">
            <v>332</v>
          </cell>
        </row>
        <row r="60">
          <cell r="E60">
            <v>2</v>
          </cell>
          <cell r="G60">
            <v>2</v>
          </cell>
          <cell r="H60">
            <v>1</v>
          </cell>
          <cell r="K60">
            <v>1</v>
          </cell>
          <cell r="W60">
            <v>5</v>
          </cell>
          <cell r="X60">
            <v>1</v>
          </cell>
          <cell r="Y60">
            <v>6</v>
          </cell>
        </row>
        <row r="61">
          <cell r="D61" t="str">
            <v>URO</v>
          </cell>
          <cell r="E61">
            <v>6</v>
          </cell>
          <cell r="F61">
            <v>16</v>
          </cell>
          <cell r="G61">
            <v>3</v>
          </cell>
          <cell r="H61">
            <v>1</v>
          </cell>
          <cell r="K61">
            <v>1</v>
          </cell>
          <cell r="W61">
            <v>10</v>
          </cell>
          <cell r="X61">
            <v>17</v>
          </cell>
          <cell r="Y61">
            <v>27</v>
          </cell>
        </row>
        <row r="62">
          <cell r="D62" t="str">
            <v>URY</v>
          </cell>
          <cell r="E62">
            <v>2</v>
          </cell>
          <cell r="F62">
            <v>5</v>
          </cell>
          <cell r="G62">
            <v>3</v>
          </cell>
          <cell r="I62">
            <v>1</v>
          </cell>
          <cell r="K62">
            <v>1</v>
          </cell>
          <cell r="L62">
            <v>1</v>
          </cell>
          <cell r="M62">
            <v>1</v>
          </cell>
          <cell r="W62">
            <v>8</v>
          </cell>
          <cell r="X62">
            <v>6</v>
          </cell>
          <cell r="Y62">
            <v>14</v>
          </cell>
        </row>
      </sheetData>
      <sheetData sheetId="6">
        <row r="48">
          <cell r="C48" t="str">
            <v>PUC</v>
          </cell>
          <cell r="D48">
            <v>291</v>
          </cell>
          <cell r="E48">
            <v>640</v>
          </cell>
          <cell r="F48">
            <v>931</v>
          </cell>
          <cell r="G48">
            <v>129</v>
          </cell>
          <cell r="H48">
            <v>119</v>
          </cell>
          <cell r="I48">
            <v>90</v>
          </cell>
          <cell r="J48">
            <v>210</v>
          </cell>
          <cell r="K48">
            <v>35</v>
          </cell>
          <cell r="L48">
            <v>28</v>
          </cell>
          <cell r="M48">
            <v>16</v>
          </cell>
          <cell r="N48">
            <v>14</v>
          </cell>
          <cell r="O48"/>
          <cell r="P48"/>
          <cell r="Q48"/>
          <cell r="R48"/>
          <cell r="S48"/>
          <cell r="T48"/>
          <cell r="U48"/>
          <cell r="V48"/>
          <cell r="W48">
            <v>561</v>
          </cell>
          <cell r="X48">
            <v>1011</v>
          </cell>
          <cell r="Y48">
            <v>1572</v>
          </cell>
        </row>
        <row r="49">
          <cell r="C49" t="str">
            <v>UCO</v>
          </cell>
          <cell r="D49">
            <v>234</v>
          </cell>
          <cell r="E49">
            <v>487</v>
          </cell>
          <cell r="F49">
            <v>721</v>
          </cell>
          <cell r="G49">
            <v>161</v>
          </cell>
          <cell r="H49">
            <v>150</v>
          </cell>
          <cell r="I49"/>
          <cell r="J49">
            <v>4</v>
          </cell>
          <cell r="K49">
            <v>35</v>
          </cell>
          <cell r="L49">
            <v>74</v>
          </cell>
          <cell r="M49">
            <v>4</v>
          </cell>
          <cell r="N49">
            <v>5</v>
          </cell>
          <cell r="O49"/>
          <cell r="P49"/>
          <cell r="Q49"/>
          <cell r="R49"/>
          <cell r="S49"/>
          <cell r="T49"/>
          <cell r="U49"/>
          <cell r="V49"/>
          <cell r="W49">
            <v>434</v>
          </cell>
          <cell r="X49">
            <v>720</v>
          </cell>
          <cell r="Y49">
            <v>1154</v>
          </cell>
        </row>
        <row r="50">
          <cell r="C50" t="str">
            <v>FSM</v>
          </cell>
          <cell r="D50">
            <v>40</v>
          </cell>
          <cell r="E50">
            <v>208</v>
          </cell>
          <cell r="F50">
            <v>248</v>
          </cell>
          <cell r="G50">
            <v>21</v>
          </cell>
          <cell r="H50">
            <v>91</v>
          </cell>
          <cell r="I50"/>
          <cell r="J50"/>
          <cell r="K50">
            <v>15</v>
          </cell>
          <cell r="L50">
            <v>89</v>
          </cell>
          <cell r="M50"/>
          <cell r="N50">
            <v>8</v>
          </cell>
          <cell r="O50">
            <v>1</v>
          </cell>
          <cell r="P50">
            <v>3</v>
          </cell>
          <cell r="Q50"/>
          <cell r="R50"/>
          <cell r="S50"/>
          <cell r="T50"/>
          <cell r="U50"/>
          <cell r="V50"/>
          <cell r="W50">
            <v>77</v>
          </cell>
          <cell r="X50">
            <v>399</v>
          </cell>
          <cell r="Y50">
            <v>476</v>
          </cell>
        </row>
        <row r="51">
          <cell r="C51" t="str">
            <v>UCV</v>
          </cell>
          <cell r="D51">
            <v>126</v>
          </cell>
          <cell r="E51">
            <v>275</v>
          </cell>
          <cell r="F51">
            <v>401</v>
          </cell>
          <cell r="G51">
            <v>37</v>
          </cell>
          <cell r="H51">
            <v>46</v>
          </cell>
          <cell r="I51"/>
          <cell r="J51"/>
          <cell r="K51">
            <v>11</v>
          </cell>
          <cell r="L51">
            <v>23</v>
          </cell>
          <cell r="M51">
            <v>1</v>
          </cell>
          <cell r="N51">
            <v>3</v>
          </cell>
          <cell r="O51"/>
          <cell r="P51"/>
          <cell r="Q51"/>
          <cell r="R51"/>
          <cell r="S51"/>
          <cell r="T51"/>
          <cell r="U51"/>
          <cell r="V51"/>
          <cell r="W51">
            <v>175</v>
          </cell>
          <cell r="X51">
            <v>347</v>
          </cell>
          <cell r="Y51">
            <v>522</v>
          </cell>
        </row>
        <row r="52">
          <cell r="C52" t="str">
            <v>AUS</v>
          </cell>
          <cell r="D52">
            <v>121</v>
          </cell>
          <cell r="E52">
            <v>274</v>
          </cell>
          <cell r="F52">
            <v>395</v>
          </cell>
          <cell r="G52">
            <v>95</v>
          </cell>
          <cell r="H52">
            <v>116</v>
          </cell>
          <cell r="I52">
            <v>3</v>
          </cell>
          <cell r="J52">
            <v>7</v>
          </cell>
          <cell r="K52">
            <v>73</v>
          </cell>
          <cell r="L52">
            <v>51</v>
          </cell>
          <cell r="M52">
            <v>3</v>
          </cell>
          <cell r="N52">
            <v>5</v>
          </cell>
          <cell r="O52"/>
          <cell r="P52"/>
          <cell r="Q52"/>
          <cell r="R52"/>
          <cell r="S52"/>
          <cell r="T52"/>
          <cell r="U52"/>
          <cell r="V52"/>
          <cell r="W52">
            <v>295</v>
          </cell>
          <cell r="X52">
            <v>453</v>
          </cell>
          <cell r="Y52">
            <v>748</v>
          </cell>
        </row>
        <row r="53">
          <cell r="C53" t="str">
            <v>UCN</v>
          </cell>
          <cell r="D53">
            <v>53</v>
          </cell>
          <cell r="E53">
            <v>160</v>
          </cell>
          <cell r="F53">
            <v>213</v>
          </cell>
          <cell r="G53">
            <v>59</v>
          </cell>
          <cell r="H53">
            <v>78</v>
          </cell>
          <cell r="I53"/>
          <cell r="J53">
            <v>3</v>
          </cell>
          <cell r="K53">
            <v>33</v>
          </cell>
          <cell r="L53">
            <v>48</v>
          </cell>
          <cell r="M53">
            <v>8</v>
          </cell>
          <cell r="N53">
            <v>8</v>
          </cell>
          <cell r="O53"/>
          <cell r="P53"/>
          <cell r="Q53"/>
          <cell r="R53"/>
          <cell r="S53"/>
          <cell r="T53"/>
          <cell r="U53"/>
          <cell r="V53"/>
          <cell r="W53">
            <v>153</v>
          </cell>
          <cell r="X53">
            <v>297</v>
          </cell>
          <cell r="Y53">
            <v>450</v>
          </cell>
        </row>
        <row r="54">
          <cell r="C54" t="str">
            <v>UCM</v>
          </cell>
          <cell r="D54">
            <v>50</v>
          </cell>
          <cell r="E54">
            <v>90</v>
          </cell>
          <cell r="F54">
            <v>140</v>
          </cell>
          <cell r="G54">
            <v>62</v>
          </cell>
          <cell r="H54">
            <v>61</v>
          </cell>
          <cell r="I54"/>
          <cell r="J54">
            <v>1</v>
          </cell>
          <cell r="K54">
            <v>18</v>
          </cell>
          <cell r="L54">
            <v>13</v>
          </cell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>
            <v>130</v>
          </cell>
          <cell r="X54">
            <v>165</v>
          </cell>
          <cell r="Y54">
            <v>295</v>
          </cell>
        </row>
        <row r="55">
          <cell r="C55" t="str">
            <v>USC</v>
          </cell>
          <cell r="D55">
            <v>40</v>
          </cell>
          <cell r="E55">
            <v>97</v>
          </cell>
          <cell r="F55">
            <v>137</v>
          </cell>
          <cell r="G55">
            <v>53</v>
          </cell>
          <cell r="H55">
            <v>57</v>
          </cell>
          <cell r="I55"/>
          <cell r="J55">
            <v>3</v>
          </cell>
          <cell r="K55">
            <v>23</v>
          </cell>
          <cell r="L55">
            <v>18</v>
          </cell>
          <cell r="M55">
            <v>1</v>
          </cell>
          <cell r="N55">
            <v>6</v>
          </cell>
          <cell r="O55"/>
          <cell r="P55">
            <v>1</v>
          </cell>
          <cell r="Q55"/>
          <cell r="R55"/>
          <cell r="S55"/>
          <cell r="T55">
            <v>1</v>
          </cell>
          <cell r="U55"/>
          <cell r="V55"/>
          <cell r="W55">
            <v>117</v>
          </cell>
          <cell r="X55">
            <v>183</v>
          </cell>
          <cell r="Y55">
            <v>300</v>
          </cell>
        </row>
        <row r="56">
          <cell r="C56" t="str">
            <v>UCT</v>
          </cell>
          <cell r="D56">
            <v>51</v>
          </cell>
          <cell r="E56">
            <v>103</v>
          </cell>
          <cell r="F56">
            <v>154</v>
          </cell>
          <cell r="G56">
            <v>62</v>
          </cell>
          <cell r="H56">
            <v>64</v>
          </cell>
          <cell r="I56"/>
          <cell r="J56"/>
          <cell r="K56">
            <v>16</v>
          </cell>
          <cell r="L56">
            <v>20</v>
          </cell>
          <cell r="M56">
            <v>6</v>
          </cell>
          <cell r="N56">
            <v>12</v>
          </cell>
          <cell r="O56"/>
          <cell r="P56">
            <v>1</v>
          </cell>
          <cell r="Q56"/>
          <cell r="R56"/>
          <cell r="S56"/>
          <cell r="T56"/>
          <cell r="U56"/>
          <cell r="V56"/>
          <cell r="W56">
            <v>135</v>
          </cell>
          <cell r="X56">
            <v>200</v>
          </cell>
          <cell r="Y56">
            <v>335</v>
          </cell>
        </row>
        <row r="57">
          <cell r="D57">
            <v>1</v>
          </cell>
          <cell r="E57"/>
          <cell r="F57">
            <v>1</v>
          </cell>
          <cell r="G57">
            <v>1</v>
          </cell>
          <cell r="H57">
            <v>1</v>
          </cell>
          <cell r="I57"/>
          <cell r="J57"/>
          <cell r="K57">
            <v>1</v>
          </cell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>
            <v>3</v>
          </cell>
          <cell r="X57">
            <v>1</v>
          </cell>
          <cell r="Y57">
            <v>4</v>
          </cell>
        </row>
        <row r="58">
          <cell r="C58" t="str">
            <v>URO</v>
          </cell>
          <cell r="D58">
            <v>17</v>
          </cell>
          <cell r="E58">
            <v>25</v>
          </cell>
          <cell r="F58">
            <v>42</v>
          </cell>
          <cell r="G58">
            <v>3</v>
          </cell>
          <cell r="H58"/>
          <cell r="I58">
            <v>1</v>
          </cell>
          <cell r="J58">
            <v>1</v>
          </cell>
          <cell r="K58">
            <v>3</v>
          </cell>
          <cell r="L58">
            <v>1</v>
          </cell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>
            <v>24</v>
          </cell>
          <cell r="X58">
            <v>27</v>
          </cell>
          <cell r="Y58">
            <v>51</v>
          </cell>
        </row>
        <row r="59">
          <cell r="C59" t="str">
            <v>URY</v>
          </cell>
          <cell r="D59">
            <v>5</v>
          </cell>
          <cell r="E59">
            <v>12</v>
          </cell>
          <cell r="F59">
            <v>17</v>
          </cell>
          <cell r="G59">
            <v>1</v>
          </cell>
          <cell r="H59">
            <v>2</v>
          </cell>
          <cell r="I59">
            <v>1</v>
          </cell>
          <cell r="J59"/>
          <cell r="K59"/>
          <cell r="L59">
            <v>1</v>
          </cell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>
            <v>7</v>
          </cell>
          <cell r="X59">
            <v>15</v>
          </cell>
          <cell r="Y59">
            <v>22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 a)"/>
      <sheetName val="Indicador b)"/>
      <sheetName val="Indicador b.1)"/>
      <sheetName val="Indicador c)"/>
      <sheetName val="Indicador c.1)"/>
      <sheetName val="Ind G 2018 con QUINTIL PERFIL"/>
      <sheetName val="Indicador H 2018"/>
      <sheetName val="Indicador I 1) 2018"/>
      <sheetName val="INDICADOR J 2017"/>
    </sheetNames>
    <sheetDataSet>
      <sheetData sheetId="0">
        <row r="2">
          <cell r="D2" t="str">
            <v>U.PRIVADA</v>
          </cell>
          <cell r="E2">
            <v>48</v>
          </cell>
          <cell r="F2">
            <v>2034</v>
          </cell>
        </row>
        <row r="3">
          <cell r="C3" t="str">
            <v>UFT</v>
          </cell>
          <cell r="D3" t="str">
            <v>U.PRIVADA</v>
          </cell>
          <cell r="E3">
            <v>103</v>
          </cell>
          <cell r="F3">
            <v>8751</v>
          </cell>
        </row>
        <row r="4">
          <cell r="C4" t="str">
            <v>UDP</v>
          </cell>
          <cell r="D4" t="str">
            <v>U.PRIVADA</v>
          </cell>
          <cell r="E4">
            <v>380</v>
          </cell>
          <cell r="F4">
            <v>17641</v>
          </cell>
        </row>
        <row r="5">
          <cell r="D5" t="str">
            <v>U.PRIVADA</v>
          </cell>
          <cell r="E5">
            <v>265</v>
          </cell>
          <cell r="F5">
            <v>12892</v>
          </cell>
        </row>
        <row r="6">
          <cell r="D6" t="str">
            <v>U.PRIVADA</v>
          </cell>
          <cell r="E6">
            <v>26</v>
          </cell>
          <cell r="F6">
            <v>4512</v>
          </cell>
        </row>
        <row r="7">
          <cell r="D7" t="str">
            <v>U.PRIVADA</v>
          </cell>
          <cell r="E7">
            <v>54</v>
          </cell>
          <cell r="F7">
            <v>6369</v>
          </cell>
        </row>
        <row r="8">
          <cell r="D8" t="str">
            <v>U.PRIVADA</v>
          </cell>
          <cell r="E8">
            <v>647</v>
          </cell>
          <cell r="F8">
            <v>22030</v>
          </cell>
        </row>
        <row r="9">
          <cell r="C9" t="str">
            <v>AHC</v>
          </cell>
          <cell r="D9" t="str">
            <v>U.PRIVADA</v>
          </cell>
          <cell r="E9">
            <v>53</v>
          </cell>
          <cell r="F9">
            <v>3451</v>
          </cell>
        </row>
        <row r="10">
          <cell r="D10" t="str">
            <v>U.PRIVADA</v>
          </cell>
          <cell r="E10">
            <v>466</v>
          </cell>
          <cell r="F10">
            <v>29851</v>
          </cell>
        </row>
        <row r="11">
          <cell r="D11" t="str">
            <v>U.PRIVADA</v>
          </cell>
          <cell r="E11">
            <v>43</v>
          </cell>
          <cell r="F11">
            <v>5350</v>
          </cell>
        </row>
        <row r="12">
          <cell r="D12" t="str">
            <v>U.PRIVADA</v>
          </cell>
          <cell r="E12">
            <v>45</v>
          </cell>
          <cell r="F12">
            <v>6719</v>
          </cell>
        </row>
        <row r="13">
          <cell r="D13" t="str">
            <v>U.PRIVADA</v>
          </cell>
          <cell r="E13">
            <v>517</v>
          </cell>
          <cell r="F13">
            <v>24377</v>
          </cell>
        </row>
        <row r="14">
          <cell r="D14" t="str">
            <v>U.PRIVADA</v>
          </cell>
          <cell r="E14">
            <v>954</v>
          </cell>
          <cell r="F14">
            <v>47372</v>
          </cell>
        </row>
        <row r="15">
          <cell r="D15" t="str">
            <v>U.PRIVADA</v>
          </cell>
          <cell r="E15">
            <v>171</v>
          </cell>
          <cell r="F15">
            <v>8942</v>
          </cell>
        </row>
        <row r="16">
          <cell r="D16" t="str">
            <v>U.PRIVADA</v>
          </cell>
          <cell r="E16">
            <v>291</v>
          </cell>
          <cell r="F16">
            <v>11257</v>
          </cell>
        </row>
        <row r="17">
          <cell r="D17" t="str">
            <v>U.PRIVADA</v>
          </cell>
          <cell r="E17">
            <v>74</v>
          </cell>
          <cell r="F17">
            <v>2626</v>
          </cell>
        </row>
        <row r="18">
          <cell r="D18" t="str">
            <v>U.PRIVADA</v>
          </cell>
          <cell r="E18">
            <v>42</v>
          </cell>
          <cell r="F18">
            <v>4307</v>
          </cell>
        </row>
        <row r="19">
          <cell r="D19" t="str">
            <v>U.PRIVADA</v>
          </cell>
          <cell r="E19">
            <v>1</v>
          </cell>
          <cell r="F19">
            <v>30</v>
          </cell>
        </row>
        <row r="20">
          <cell r="D20" t="str">
            <v>U.PRIVADA</v>
          </cell>
          <cell r="E20">
            <v>2</v>
          </cell>
          <cell r="F20">
            <v>704</v>
          </cell>
        </row>
        <row r="21">
          <cell r="C21" t="str">
            <v>UAU</v>
          </cell>
          <cell r="D21" t="str">
            <v>U.PRIVADA</v>
          </cell>
          <cell r="E21">
            <v>452</v>
          </cell>
          <cell r="F21">
            <v>23347</v>
          </cell>
        </row>
        <row r="22">
          <cell r="D22" t="str">
            <v>U.PRIVADA</v>
          </cell>
          <cell r="E22">
            <v>187</v>
          </cell>
          <cell r="F22">
            <v>9060</v>
          </cell>
        </row>
        <row r="23">
          <cell r="D23" t="str">
            <v>U.PRIVADA</v>
          </cell>
          <cell r="E23">
            <v>110</v>
          </cell>
          <cell r="F23">
            <v>2168</v>
          </cell>
        </row>
        <row r="24">
          <cell r="D24" t="str">
            <v>U.PRIVADA</v>
          </cell>
          <cell r="E24">
            <v>619</v>
          </cell>
          <cell r="F24">
            <v>29714</v>
          </cell>
        </row>
        <row r="25">
          <cell r="D25" t="str">
            <v>U.PRIVADA</v>
          </cell>
          <cell r="E25">
            <v>12</v>
          </cell>
          <cell r="F25">
            <v>714</v>
          </cell>
        </row>
        <row r="26">
          <cell r="C26" t="str">
            <v>UCS</v>
          </cell>
          <cell r="D26" t="str">
            <v>U.PRIVADA</v>
          </cell>
          <cell r="E26">
            <v>132</v>
          </cell>
          <cell r="F26">
            <v>6442</v>
          </cell>
        </row>
        <row r="27">
          <cell r="D27" t="str">
            <v>U.PRIVADA</v>
          </cell>
          <cell r="E27">
            <v>318</v>
          </cell>
          <cell r="F27">
            <v>16148</v>
          </cell>
        </row>
        <row r="28">
          <cell r="D28" t="str">
            <v>U.PRIVADA</v>
          </cell>
          <cell r="E28">
            <v>36</v>
          </cell>
          <cell r="F28">
            <v>7715</v>
          </cell>
        </row>
        <row r="29">
          <cell r="D29" t="str">
            <v>U.PRIVADA</v>
          </cell>
          <cell r="E29">
            <v>74</v>
          </cell>
          <cell r="F29">
            <v>3676</v>
          </cell>
        </row>
        <row r="30">
          <cell r="D30" t="str">
            <v>U.PRIVADA</v>
          </cell>
          <cell r="E30">
            <v>4</v>
          </cell>
          <cell r="F30">
            <v>1995</v>
          </cell>
        </row>
        <row r="31">
          <cell r="D31" t="str">
            <v>U.PRIVADA</v>
          </cell>
          <cell r="E31">
            <v>186</v>
          </cell>
          <cell r="F31">
            <v>5985</v>
          </cell>
        </row>
        <row r="32">
          <cell r="D32" t="str">
            <v>U.PRIVADA</v>
          </cell>
          <cell r="E32">
            <v>20</v>
          </cell>
          <cell r="F32">
            <v>36488</v>
          </cell>
        </row>
        <row r="33">
          <cell r="D33" t="str">
            <v>U.PRIVADA</v>
          </cell>
          <cell r="E33">
            <v>18</v>
          </cell>
          <cell r="F33">
            <v>2076</v>
          </cell>
        </row>
        <row r="34">
          <cell r="C34" t="str">
            <v>UAH</v>
          </cell>
          <cell r="D34" t="str">
            <v>U.PRIVADA</v>
          </cell>
          <cell r="E34">
            <v>151</v>
          </cell>
          <cell r="F34">
            <v>7472</v>
          </cell>
        </row>
        <row r="35">
          <cell r="C35" t="str">
            <v>UCH</v>
          </cell>
          <cell r="D35" t="str">
            <v>CRUCH-ESTATAL</v>
          </cell>
          <cell r="E35">
            <v>1558</v>
          </cell>
          <cell r="F35">
            <v>39108</v>
          </cell>
        </row>
        <row r="36">
          <cell r="C36" t="str">
            <v>USA</v>
          </cell>
          <cell r="D36" t="str">
            <v>CRUCH-ESTATAL</v>
          </cell>
          <cell r="E36">
            <v>639</v>
          </cell>
          <cell r="F36">
            <v>22989</v>
          </cell>
        </row>
        <row r="37">
          <cell r="C37" t="str">
            <v>UVA</v>
          </cell>
          <cell r="D37" t="str">
            <v>CRUCH-ESTATAL</v>
          </cell>
          <cell r="E37">
            <v>563</v>
          </cell>
          <cell r="F37">
            <v>16211</v>
          </cell>
        </row>
        <row r="38">
          <cell r="C38" t="str">
            <v>ANT</v>
          </cell>
          <cell r="D38" t="str">
            <v>CRUCH-ESTATAL</v>
          </cell>
          <cell r="E38">
            <v>315</v>
          </cell>
          <cell r="F38">
            <v>7752</v>
          </cell>
        </row>
        <row r="39">
          <cell r="C39" t="str">
            <v>ULS</v>
          </cell>
          <cell r="D39" t="str">
            <v>CRUCH-ESTATAL</v>
          </cell>
          <cell r="E39">
            <v>232</v>
          </cell>
          <cell r="F39">
            <v>7619</v>
          </cell>
        </row>
        <row r="40">
          <cell r="C40" t="str">
            <v>UBB</v>
          </cell>
          <cell r="D40" t="str">
            <v>CRUCH-ESTATAL</v>
          </cell>
          <cell r="E40">
            <v>461</v>
          </cell>
          <cell r="F40">
            <v>12677</v>
          </cell>
        </row>
        <row r="41">
          <cell r="C41" t="str">
            <v>FRO</v>
          </cell>
          <cell r="D41" t="str">
            <v>CRUCH-ESTATAL</v>
          </cell>
          <cell r="E41">
            <v>320</v>
          </cell>
          <cell r="F41">
            <v>10618</v>
          </cell>
        </row>
        <row r="42">
          <cell r="C42" t="str">
            <v>MAG</v>
          </cell>
          <cell r="D42" t="str">
            <v>CRUCH-ESTATAL</v>
          </cell>
          <cell r="E42">
            <v>188</v>
          </cell>
          <cell r="F42">
            <v>4510</v>
          </cell>
        </row>
        <row r="43">
          <cell r="C43" t="str">
            <v>TAL</v>
          </cell>
          <cell r="D43" t="str">
            <v>CRUCH-ESTATAL</v>
          </cell>
          <cell r="E43">
            <v>364</v>
          </cell>
          <cell r="F43">
            <v>10990</v>
          </cell>
        </row>
        <row r="44">
          <cell r="C44" t="str">
            <v>ATA</v>
          </cell>
          <cell r="D44" t="str">
            <v>CRUCH-ESTATAL</v>
          </cell>
          <cell r="E44">
            <v>311</v>
          </cell>
          <cell r="F44">
            <v>6947</v>
          </cell>
        </row>
        <row r="45">
          <cell r="C45" t="str">
            <v>UTA</v>
          </cell>
          <cell r="D45" t="str">
            <v>CRUCH-ESTATAL</v>
          </cell>
          <cell r="E45">
            <v>319</v>
          </cell>
          <cell r="F45">
            <v>8548</v>
          </cell>
        </row>
        <row r="46">
          <cell r="C46" t="str">
            <v>UAP</v>
          </cell>
          <cell r="D46" t="str">
            <v>CRUCH-ESTATAL</v>
          </cell>
          <cell r="E46">
            <v>272</v>
          </cell>
          <cell r="F46">
            <v>13191</v>
          </cell>
        </row>
        <row r="47">
          <cell r="C47" t="str">
            <v>UMC</v>
          </cell>
          <cell r="D47" t="str">
            <v>CRUCH-ESTATAL</v>
          </cell>
          <cell r="E47">
            <v>240</v>
          </cell>
          <cell r="F47">
            <v>4924</v>
          </cell>
        </row>
        <row r="48">
          <cell r="C48" t="str">
            <v>UPA</v>
          </cell>
          <cell r="D48" t="str">
            <v>CRUCH-ESTATAL</v>
          </cell>
          <cell r="E48">
            <v>314</v>
          </cell>
          <cell r="F48">
            <v>8334</v>
          </cell>
        </row>
        <row r="49">
          <cell r="C49" t="str">
            <v>ULA</v>
          </cell>
          <cell r="D49" t="str">
            <v>CRUCH-ESTATAL</v>
          </cell>
          <cell r="E49">
            <v>293</v>
          </cell>
          <cell r="F49">
            <v>9560</v>
          </cell>
        </row>
        <row r="50">
          <cell r="C50" t="str">
            <v>UTM</v>
          </cell>
          <cell r="D50" t="str">
            <v>CRUCH-ESTATAL</v>
          </cell>
          <cell r="E50">
            <v>195</v>
          </cell>
          <cell r="F50">
            <v>8463</v>
          </cell>
        </row>
        <row r="51">
          <cell r="C51" t="str">
            <v>PUC</v>
          </cell>
          <cell r="D51" t="str">
            <v>CRUCH-PRIVADA</v>
          </cell>
          <cell r="E51">
            <v>1557</v>
          </cell>
          <cell r="F51">
            <v>31802</v>
          </cell>
        </row>
        <row r="52">
          <cell r="C52" t="str">
            <v>UCO</v>
          </cell>
          <cell r="D52" t="str">
            <v>CRUCH-PRIVADA</v>
          </cell>
          <cell r="E52">
            <v>1127</v>
          </cell>
          <cell r="F52">
            <v>26969</v>
          </cell>
        </row>
        <row r="53">
          <cell r="C53" t="str">
            <v>FSM</v>
          </cell>
          <cell r="D53" t="str">
            <v>CRUCH-PRIVADA</v>
          </cell>
          <cell r="E53">
            <v>444</v>
          </cell>
          <cell r="F53">
            <v>19084</v>
          </cell>
        </row>
        <row r="54">
          <cell r="C54" t="str">
            <v>UCV</v>
          </cell>
          <cell r="D54" t="str">
            <v>CRUCH-PRIVADA</v>
          </cell>
          <cell r="E54">
            <v>504</v>
          </cell>
          <cell r="F54">
            <v>15948</v>
          </cell>
        </row>
        <row r="55">
          <cell r="C55" t="str">
            <v>AUS</v>
          </cell>
          <cell r="D55" t="str">
            <v>CRUCH-PRIVADA</v>
          </cell>
          <cell r="E55">
            <v>721</v>
          </cell>
          <cell r="F55">
            <v>15256</v>
          </cell>
        </row>
        <row r="56">
          <cell r="C56" t="str">
            <v>UCN</v>
          </cell>
          <cell r="D56" t="str">
            <v>CRUCH-PRIVADA</v>
          </cell>
          <cell r="E56">
            <v>433</v>
          </cell>
          <cell r="F56">
            <v>11140</v>
          </cell>
        </row>
        <row r="57">
          <cell r="C57" t="str">
            <v>UCM</v>
          </cell>
          <cell r="D57" t="str">
            <v>CRUCH-PRIVADA</v>
          </cell>
          <cell r="E57">
            <v>297</v>
          </cell>
          <cell r="F57">
            <v>8032</v>
          </cell>
        </row>
        <row r="58">
          <cell r="C58" t="str">
            <v>USC</v>
          </cell>
          <cell r="D58" t="str">
            <v>CRUCH-PRIVADA</v>
          </cell>
          <cell r="E58">
            <v>284</v>
          </cell>
          <cell r="F58">
            <v>14145</v>
          </cell>
        </row>
        <row r="59">
          <cell r="C59" t="str">
            <v>UCT</v>
          </cell>
          <cell r="D59" t="str">
            <v>CRUCH-PRIVADA</v>
          </cell>
          <cell r="E59">
            <v>331</v>
          </cell>
          <cell r="F59">
            <v>10915</v>
          </cell>
        </row>
        <row r="60">
          <cell r="D60" t="str">
            <v>U.PRIVADA</v>
          </cell>
          <cell r="E60">
            <v>6</v>
          </cell>
          <cell r="F60">
            <v>439</v>
          </cell>
        </row>
        <row r="61">
          <cell r="C61" t="str">
            <v>URO</v>
          </cell>
          <cell r="D61" t="str">
            <v>CRUCH-ESTATAL</v>
          </cell>
          <cell r="E61">
            <v>27</v>
          </cell>
          <cell r="F61">
            <v>435</v>
          </cell>
        </row>
        <row r="62">
          <cell r="C62" t="str">
            <v>URY</v>
          </cell>
          <cell r="D62" t="str">
            <v>CRUCH-ESTATAL</v>
          </cell>
          <cell r="E62">
            <v>14</v>
          </cell>
          <cell r="F62">
            <v>93</v>
          </cell>
        </row>
      </sheetData>
      <sheetData sheetId="1">
        <row r="2">
          <cell r="D2" t="str">
            <v>U.PRIVADA</v>
          </cell>
          <cell r="E2">
            <v>10.726590909090909</v>
          </cell>
          <cell r="F2">
            <v>83.46454545454543</v>
          </cell>
        </row>
        <row r="3">
          <cell r="C3" t="str">
            <v>UFT</v>
          </cell>
          <cell r="D3" t="str">
            <v>U.PRIVADA</v>
          </cell>
          <cell r="E3">
            <v>45.559905302909094</v>
          </cell>
          <cell r="F3">
            <v>387.66752146345453</v>
          </cell>
        </row>
        <row r="4">
          <cell r="C4" t="str">
            <v>UDP</v>
          </cell>
          <cell r="D4" t="str">
            <v>U.PRIVADA</v>
          </cell>
          <cell r="E4">
            <v>196.72954545454533</v>
          </cell>
          <cell r="F4">
            <v>716.09999999999798</v>
          </cell>
        </row>
        <row r="5">
          <cell r="D5" t="str">
            <v>U.PRIVADA</v>
          </cell>
          <cell r="E5">
            <v>85.318181818181642</v>
          </cell>
          <cell r="F5">
            <v>485.77272727272708</v>
          </cell>
        </row>
        <row r="6">
          <cell r="D6" t="str">
            <v>U.PRIVADA</v>
          </cell>
          <cell r="E6">
            <v>3.9545454545454546</v>
          </cell>
          <cell r="F6">
            <v>202.07954545454524</v>
          </cell>
        </row>
        <row r="7">
          <cell r="D7" t="str">
            <v>U.PRIVADA</v>
          </cell>
          <cell r="E7">
            <v>6.4772727272727257</v>
          </cell>
          <cell r="F7">
            <v>316.49999999999869</v>
          </cell>
        </row>
        <row r="8">
          <cell r="D8" t="str">
            <v>U.PRIVADA</v>
          </cell>
          <cell r="E8">
            <v>72.758181818181839</v>
          </cell>
          <cell r="F8">
            <v>1377.9922727272735</v>
          </cell>
        </row>
        <row r="9">
          <cell r="C9" t="str">
            <v>AHC</v>
          </cell>
          <cell r="D9" t="str">
            <v>U.PRIVADA</v>
          </cell>
          <cell r="E9">
            <v>18.75</v>
          </cell>
          <cell r="F9">
            <v>120.84090909090916</v>
          </cell>
        </row>
        <row r="10">
          <cell r="D10" t="str">
            <v>U.PRIVADA</v>
          </cell>
          <cell r="E10">
            <v>104.2534090909091</v>
          </cell>
          <cell r="F10">
            <v>1164.1956818181698</v>
          </cell>
        </row>
        <row r="11">
          <cell r="D11" t="str">
            <v>U.PRIVADA</v>
          </cell>
          <cell r="E11">
            <v>3.0000000000000009</v>
          </cell>
          <cell r="F11">
            <v>158.15909090909068</v>
          </cell>
        </row>
        <row r="12">
          <cell r="D12" t="str">
            <v>U.PRIVADA</v>
          </cell>
          <cell r="E12">
            <v>11.801136363636362</v>
          </cell>
          <cell r="F12">
            <v>126.06136363636381</v>
          </cell>
        </row>
        <row r="13">
          <cell r="D13" t="str">
            <v>U.PRIVADA</v>
          </cell>
          <cell r="E13">
            <v>26.129545454545458</v>
          </cell>
          <cell r="F13">
            <v>996.81590909088675</v>
          </cell>
        </row>
        <row r="14">
          <cell r="D14" t="str">
            <v>U.PRIVADA</v>
          </cell>
          <cell r="E14">
            <v>414.31818181818028</v>
          </cell>
          <cell r="F14">
            <v>2038.0681818181827</v>
          </cell>
        </row>
        <row r="15">
          <cell r="D15" t="str">
            <v>U.PRIVADA</v>
          </cell>
          <cell r="E15">
            <v>20.846946022772741</v>
          </cell>
          <cell r="F15">
            <v>348.33730113361236</v>
          </cell>
        </row>
        <row r="16">
          <cell r="D16" t="str">
            <v>U.PRIVADA</v>
          </cell>
          <cell r="E16">
            <v>230.18181818181833</v>
          </cell>
          <cell r="F16">
            <v>453.52272727272805</v>
          </cell>
        </row>
        <row r="17">
          <cell r="D17" t="str">
            <v>U.PRIVADA</v>
          </cell>
          <cell r="E17">
            <v>8.1318181818181809</v>
          </cell>
          <cell r="F17">
            <v>139.24545454545458</v>
          </cell>
        </row>
        <row r="18">
          <cell r="D18" t="str">
            <v>U.PRIVADA</v>
          </cell>
          <cell r="E18">
            <v>5.3887805494545455</v>
          </cell>
          <cell r="F18">
            <v>164.46067803468179</v>
          </cell>
        </row>
        <row r="19">
          <cell r="D19" t="str">
            <v>U.PRIVADA</v>
          </cell>
          <cell r="E19">
            <v>0.59090909090909083</v>
          </cell>
          <cell r="F19">
            <v>12.84090909090909</v>
          </cell>
        </row>
        <row r="20">
          <cell r="D20" t="str">
            <v>U.PRIVADA</v>
          </cell>
          <cell r="E20">
            <v>0.12045454545454545</v>
          </cell>
          <cell r="F20">
            <v>7.4636363636363638</v>
          </cell>
        </row>
        <row r="21">
          <cell r="C21" t="str">
            <v>UAU</v>
          </cell>
          <cell r="D21" t="str">
            <v>U.PRIVADA</v>
          </cell>
          <cell r="E21">
            <v>126.30659090909074</v>
          </cell>
          <cell r="F21">
            <v>893.13613636363209</v>
          </cell>
        </row>
        <row r="22">
          <cell r="D22" t="str">
            <v>U.PRIVADA</v>
          </cell>
          <cell r="E22">
            <v>158.7727272727272</v>
          </cell>
          <cell r="F22">
            <v>598.22727272727229</v>
          </cell>
        </row>
        <row r="23">
          <cell r="D23" t="str">
            <v>U.PRIVADA</v>
          </cell>
          <cell r="E23">
            <v>14.25</v>
          </cell>
          <cell r="F23">
            <v>156.9545454545455</v>
          </cell>
        </row>
        <row r="24">
          <cell r="D24" t="str">
            <v>U.PRIVADA</v>
          </cell>
          <cell r="E24">
            <v>113.73409090909081</v>
          </cell>
          <cell r="F24">
            <v>1576.4713636363513</v>
          </cell>
        </row>
        <row r="25">
          <cell r="D25" t="str">
            <v>U.PRIVADA</v>
          </cell>
          <cell r="E25">
            <v>1.5784090909090911</v>
          </cell>
          <cell r="F25">
            <v>30.151136363636382</v>
          </cell>
        </row>
        <row r="26">
          <cell r="C26" t="str">
            <v>UCS</v>
          </cell>
          <cell r="D26" t="str">
            <v>U.PRIVADA</v>
          </cell>
          <cell r="E26">
            <v>53.840909090909115</v>
          </cell>
          <cell r="F26">
            <v>254.29545454545482</v>
          </cell>
        </row>
        <row r="27">
          <cell r="D27" t="str">
            <v>U.PRIVADA</v>
          </cell>
          <cell r="E27">
            <v>112.72727272727252</v>
          </cell>
          <cell r="F27">
            <v>885.09090909090958</v>
          </cell>
        </row>
        <row r="28">
          <cell r="D28" t="str">
            <v>U.PRIVADA</v>
          </cell>
          <cell r="E28">
            <v>3.897727272727272</v>
          </cell>
          <cell r="F28">
            <v>203.00454545454602</v>
          </cell>
        </row>
        <row r="29">
          <cell r="D29" t="str">
            <v>U.PRIVADA</v>
          </cell>
          <cell r="E29">
            <v>8.5</v>
          </cell>
          <cell r="F29">
            <v>143.84090909090901</v>
          </cell>
        </row>
        <row r="30">
          <cell r="D30" t="str">
            <v>U.PRIVADA</v>
          </cell>
          <cell r="E30">
            <v>0</v>
          </cell>
          <cell r="F30">
            <v>28.48863636370454</v>
          </cell>
        </row>
        <row r="31">
          <cell r="D31" t="str">
            <v>U.PRIVADA</v>
          </cell>
          <cell r="E31">
            <v>56.386363636363662</v>
          </cell>
          <cell r="F31">
            <v>313.22727272727172</v>
          </cell>
        </row>
        <row r="32">
          <cell r="D32" t="str">
            <v>U.PRIVADA</v>
          </cell>
          <cell r="E32">
            <v>6.9872477272727256</v>
          </cell>
          <cell r="F32">
            <v>884.05316590909092</v>
          </cell>
        </row>
        <row r="33">
          <cell r="D33" t="str">
            <v>U.PRIVADA</v>
          </cell>
          <cell r="E33">
            <v>4.7840909090909092</v>
          </cell>
          <cell r="F33">
            <v>52.556818181818201</v>
          </cell>
        </row>
        <row r="34">
          <cell r="C34" t="str">
            <v>UAH</v>
          </cell>
          <cell r="D34" t="str">
            <v>U.PRIVADA</v>
          </cell>
          <cell r="E34">
            <v>111.03409090909057</v>
          </cell>
          <cell r="F34">
            <v>229.68181818181662</v>
          </cell>
        </row>
        <row r="35">
          <cell r="C35" t="str">
            <v>UCH</v>
          </cell>
          <cell r="D35" t="str">
            <v>CRUCH-ESTATAL</v>
          </cell>
          <cell r="E35">
            <v>1153.1363636363621</v>
          </cell>
          <cell r="F35">
            <v>2264.2954545454536</v>
          </cell>
        </row>
        <row r="36">
          <cell r="C36" t="str">
            <v>USA</v>
          </cell>
          <cell r="D36" t="str">
            <v>CRUCH-ESTATAL</v>
          </cell>
          <cell r="E36">
            <v>460.11363636363649</v>
          </cell>
          <cell r="F36">
            <v>1142.1363636363694</v>
          </cell>
        </row>
        <row r="37">
          <cell r="C37" t="str">
            <v>UVA</v>
          </cell>
          <cell r="D37" t="str">
            <v>CRUCH-ESTATAL</v>
          </cell>
          <cell r="E37">
            <v>239.5454545454545</v>
          </cell>
          <cell r="F37">
            <v>877.85340909090871</v>
          </cell>
        </row>
        <row r="38">
          <cell r="C38" t="str">
            <v>ANT</v>
          </cell>
          <cell r="D38" t="str">
            <v>CRUCH-ESTATAL</v>
          </cell>
          <cell r="E38">
            <v>138.19318181818181</v>
          </cell>
          <cell r="F38">
            <v>401.21590909090878</v>
          </cell>
        </row>
        <row r="39">
          <cell r="C39" t="str">
            <v>ULS</v>
          </cell>
          <cell r="D39" t="str">
            <v>CRUCH-ESTATAL</v>
          </cell>
          <cell r="E39">
            <v>122.70454545454547</v>
          </cell>
          <cell r="F39">
            <v>373.45454545454504</v>
          </cell>
        </row>
        <row r="40">
          <cell r="C40" t="str">
            <v>UBB</v>
          </cell>
          <cell r="D40" t="str">
            <v>CRUCH-ESTATAL</v>
          </cell>
          <cell r="E40">
            <v>233.2954545454545</v>
          </cell>
          <cell r="F40">
            <v>517.22727272727263</v>
          </cell>
        </row>
        <row r="41">
          <cell r="C41" t="str">
            <v>FRO</v>
          </cell>
          <cell r="D41" t="str">
            <v>CRUCH-ESTATAL</v>
          </cell>
          <cell r="E41">
            <v>207.95454545454547</v>
          </cell>
          <cell r="F41">
            <v>424.27272727272725</v>
          </cell>
        </row>
        <row r="42">
          <cell r="C42" t="str">
            <v>MAG</v>
          </cell>
          <cell r="D42" t="str">
            <v>CRUCH-ESTATAL</v>
          </cell>
          <cell r="E42">
            <v>60.594715909090915</v>
          </cell>
          <cell r="F42">
            <v>270.42346590909085</v>
          </cell>
        </row>
        <row r="43">
          <cell r="C43" t="str">
            <v>TAL</v>
          </cell>
          <cell r="D43" t="str">
            <v>CRUCH-ESTATAL</v>
          </cell>
          <cell r="E43">
            <v>228.5895454545454</v>
          </cell>
          <cell r="F43">
            <v>465.83749999999969</v>
          </cell>
        </row>
        <row r="44">
          <cell r="C44" t="str">
            <v>ATA</v>
          </cell>
          <cell r="D44" t="str">
            <v>CRUCH-ESTATAL</v>
          </cell>
          <cell r="E44">
            <v>70</v>
          </cell>
          <cell r="F44">
            <v>319.06818181818181</v>
          </cell>
        </row>
        <row r="45">
          <cell r="C45" t="str">
            <v>UTA</v>
          </cell>
          <cell r="D45" t="str">
            <v>CRUCH-ESTATAL</v>
          </cell>
          <cell r="E45">
            <v>127.25</v>
          </cell>
          <cell r="F45">
            <v>358.2272727272728</v>
          </cell>
        </row>
        <row r="46">
          <cell r="C46" t="str">
            <v>UAP</v>
          </cell>
          <cell r="D46" t="str">
            <v>CRUCH-ESTATAL</v>
          </cell>
          <cell r="E46">
            <v>72.295454545454533</v>
          </cell>
          <cell r="F46">
            <v>459.56818181818221</v>
          </cell>
        </row>
        <row r="47">
          <cell r="C47" t="str">
            <v>UMC</v>
          </cell>
          <cell r="D47" t="str">
            <v>CRUCH-ESTATAL</v>
          </cell>
          <cell r="E47">
            <v>70.5</v>
          </cell>
          <cell r="F47">
            <v>328.24999999999989</v>
          </cell>
        </row>
        <row r="48">
          <cell r="C48" t="str">
            <v>UPA</v>
          </cell>
          <cell r="D48" t="str">
            <v>CRUCH-ESTATAL</v>
          </cell>
          <cell r="E48">
            <v>125.62954545454545</v>
          </cell>
          <cell r="F48">
            <v>427.83114545454538</v>
          </cell>
        </row>
        <row r="49">
          <cell r="C49" t="str">
            <v>ULA</v>
          </cell>
          <cell r="D49" t="str">
            <v>CRUCH-ESTATAL</v>
          </cell>
          <cell r="E49">
            <v>93.090909090909093</v>
          </cell>
          <cell r="F49">
            <v>432.45227272727323</v>
          </cell>
        </row>
        <row r="50">
          <cell r="C50" t="str">
            <v>UTM</v>
          </cell>
          <cell r="D50" t="str">
            <v>CRUCH-ESTATAL</v>
          </cell>
          <cell r="E50">
            <v>54.148863636363636</v>
          </cell>
          <cell r="F50">
            <v>300.66761363636385</v>
          </cell>
        </row>
        <row r="51">
          <cell r="C51" t="str">
            <v>PUC</v>
          </cell>
          <cell r="D51" t="str">
            <v>CRUCH-PRIVADA</v>
          </cell>
          <cell r="E51">
            <v>1035.5909090909086</v>
          </cell>
          <cell r="F51">
            <v>2236.9999999999982</v>
          </cell>
        </row>
        <row r="52">
          <cell r="C52" t="str">
            <v>UCO</v>
          </cell>
          <cell r="D52" t="str">
            <v>CRUCH-PRIVADA</v>
          </cell>
          <cell r="E52">
            <v>738.72727272727263</v>
          </cell>
          <cell r="F52">
            <v>1434.4999999999998</v>
          </cell>
        </row>
        <row r="53">
          <cell r="C53" t="str">
            <v>FSM</v>
          </cell>
          <cell r="D53" t="str">
            <v>CRUCH-PRIVADA</v>
          </cell>
          <cell r="E53">
            <v>251.55681818181876</v>
          </cell>
          <cell r="F53">
            <v>698.74750000000097</v>
          </cell>
        </row>
        <row r="54">
          <cell r="C54" t="str">
            <v>UCV</v>
          </cell>
          <cell r="D54" t="str">
            <v>CRUCH-PRIVADA</v>
          </cell>
          <cell r="E54">
            <v>379.45454545454584</v>
          </cell>
          <cell r="F54">
            <v>638.65909090909201</v>
          </cell>
        </row>
        <row r="55">
          <cell r="C55" t="str">
            <v>AUS</v>
          </cell>
          <cell r="D55" t="str">
            <v>CRUCH-PRIVADA</v>
          </cell>
          <cell r="E55">
            <v>372.45454545454544</v>
          </cell>
          <cell r="F55">
            <v>911.97727272727263</v>
          </cell>
        </row>
        <row r="56">
          <cell r="C56" t="str">
            <v>UCN</v>
          </cell>
          <cell r="D56" t="str">
            <v>CRUCH-PRIVADA</v>
          </cell>
          <cell r="E56">
            <v>209.61363636363635</v>
          </cell>
          <cell r="F56">
            <v>593.09090909090958</v>
          </cell>
        </row>
        <row r="57">
          <cell r="C57" t="str">
            <v>UCM</v>
          </cell>
          <cell r="D57" t="str">
            <v>CRUCH-PRIVADA</v>
          </cell>
          <cell r="E57">
            <v>132.72727272727269</v>
          </cell>
          <cell r="F57">
            <v>406.86136363636319</v>
          </cell>
        </row>
        <row r="58">
          <cell r="C58" t="str">
            <v>USC</v>
          </cell>
          <cell r="D58" t="str">
            <v>CRUCH-PRIVADA</v>
          </cell>
          <cell r="E58">
            <v>131.70454545454541</v>
          </cell>
          <cell r="F58">
            <v>501.31818181818102</v>
          </cell>
        </row>
        <row r="59">
          <cell r="C59" t="str">
            <v>UCT</v>
          </cell>
          <cell r="D59" t="str">
            <v>CRUCH-PRIVADA</v>
          </cell>
          <cell r="E59">
            <v>149.56863636363636</v>
          </cell>
          <cell r="F59">
            <v>492.53931818181826</v>
          </cell>
        </row>
        <row r="60">
          <cell r="D60" t="str">
            <v>U.PRIVADA</v>
          </cell>
          <cell r="E60">
            <v>3.0909090909090904</v>
          </cell>
          <cell r="F60">
            <v>18.909090909090907</v>
          </cell>
        </row>
        <row r="61">
          <cell r="C61" t="str">
            <v>URO</v>
          </cell>
          <cell r="D61" t="str">
            <v>CRUCH-ESTATAL</v>
          </cell>
          <cell r="E61">
            <v>24.022727272727273</v>
          </cell>
          <cell r="F61">
            <v>35.988636363636367</v>
          </cell>
        </row>
        <row r="62">
          <cell r="C62" t="str">
            <v>URY</v>
          </cell>
          <cell r="D62" t="str">
            <v>CRUCH-ESTATAL</v>
          </cell>
          <cell r="E62">
            <v>7.9090909090909092</v>
          </cell>
          <cell r="F62">
            <v>15.352272727272728</v>
          </cell>
        </row>
      </sheetData>
      <sheetData sheetId="2"/>
      <sheetData sheetId="3">
        <row r="2">
          <cell r="D2" t="str">
            <v>U.PRIVADA</v>
          </cell>
          <cell r="E2">
            <v>10.726590909090909</v>
          </cell>
          <cell r="F2">
            <v>37.774545454545553</v>
          </cell>
          <cell r="G2">
            <v>0.18159090909090908</v>
          </cell>
        </row>
        <row r="3">
          <cell r="C3" t="str">
            <v>UFT</v>
          </cell>
          <cell r="D3" t="str">
            <v>U.PRIVADA</v>
          </cell>
          <cell r="E3">
            <v>45.559905302909094</v>
          </cell>
          <cell r="F3">
            <v>131.68311079495447</v>
          </cell>
          <cell r="G3">
            <v>53.571136363340926</v>
          </cell>
        </row>
        <row r="4">
          <cell r="C4" t="str">
            <v>UDP</v>
          </cell>
          <cell r="D4" t="str">
            <v>U.PRIVADA</v>
          </cell>
          <cell r="E4">
            <v>196.72954545454533</v>
          </cell>
          <cell r="F4">
            <v>263.16818181818036</v>
          </cell>
          <cell r="G4">
            <v>61.41136363636361</v>
          </cell>
        </row>
        <row r="5">
          <cell r="D5" t="str">
            <v>U.PRIVADA</v>
          </cell>
          <cell r="E5">
            <v>85.318181818181642</v>
          </cell>
          <cell r="F5">
            <v>266.31818181818221</v>
          </cell>
          <cell r="G5">
            <v>1</v>
          </cell>
        </row>
        <row r="6">
          <cell r="D6" t="str">
            <v>U.PRIVADA</v>
          </cell>
          <cell r="E6">
            <v>3.9545454545454546</v>
          </cell>
          <cell r="F6">
            <v>42.568181818181849</v>
          </cell>
          <cell r="G6">
            <v>9.5454545454545432</v>
          </cell>
        </row>
        <row r="7">
          <cell r="D7" t="str">
            <v>U.PRIVADA</v>
          </cell>
          <cell r="E7">
            <v>6.4772727272727257</v>
          </cell>
          <cell r="F7">
            <v>91.045454545454305</v>
          </cell>
          <cell r="G7">
            <v>29.886363636363647</v>
          </cell>
        </row>
        <row r="8">
          <cell r="D8" t="str">
            <v>U.PRIVADA</v>
          </cell>
          <cell r="E8">
            <v>72.758181818181839</v>
          </cell>
          <cell r="F8">
            <v>426.5402272727294</v>
          </cell>
          <cell r="G8">
            <v>114.57590909090898</v>
          </cell>
        </row>
        <row r="9">
          <cell r="C9" t="str">
            <v>AHC</v>
          </cell>
          <cell r="D9" t="str">
            <v>U.PRIVADA</v>
          </cell>
          <cell r="E9">
            <v>18.75</v>
          </cell>
          <cell r="F9">
            <v>55.454545454545489</v>
          </cell>
          <cell r="G9">
            <v>19.590909090909086</v>
          </cell>
        </row>
        <row r="10">
          <cell r="D10" t="str">
            <v>U.PRIVADA</v>
          </cell>
          <cell r="E10">
            <v>104.2534090909091</v>
          </cell>
          <cell r="F10">
            <v>519.71681818181219</v>
          </cell>
          <cell r="G10">
            <v>1.4047727272727273</v>
          </cell>
        </row>
        <row r="11">
          <cell r="D11" t="str">
            <v>U.PRIVADA</v>
          </cell>
          <cell r="E11">
            <v>3.0000000000000009</v>
          </cell>
          <cell r="F11">
            <v>37.431818181818343</v>
          </cell>
          <cell r="G11">
            <v>0</v>
          </cell>
        </row>
        <row r="12">
          <cell r="D12" t="str">
            <v>U.PRIVADA</v>
          </cell>
          <cell r="E12">
            <v>11.801136363636362</v>
          </cell>
          <cell r="F12">
            <v>60.426136363636509</v>
          </cell>
          <cell r="G12">
            <v>0.23863636363636362</v>
          </cell>
        </row>
        <row r="13">
          <cell r="D13" t="str">
            <v>U.PRIVADA</v>
          </cell>
          <cell r="E13">
            <v>26.129545454545458</v>
          </cell>
          <cell r="F13">
            <v>406.40909090908559</v>
          </cell>
          <cell r="G13">
            <v>1.1113636363636363</v>
          </cell>
        </row>
        <row r="14">
          <cell r="D14" t="str">
            <v>U.PRIVADA</v>
          </cell>
          <cell r="E14">
            <v>414.31818181818028</v>
          </cell>
          <cell r="F14">
            <v>858.56818181818358</v>
          </cell>
          <cell r="G14">
            <v>163.34090909090901</v>
          </cell>
        </row>
        <row r="15">
          <cell r="D15" t="str">
            <v>U.PRIVADA</v>
          </cell>
          <cell r="E15">
            <v>20.846946022772741</v>
          </cell>
          <cell r="F15">
            <v>128.72709753761328</v>
          </cell>
          <cell r="G15">
            <v>6.3680160983181819</v>
          </cell>
        </row>
        <row r="16">
          <cell r="D16" t="str">
            <v>U.PRIVADA</v>
          </cell>
          <cell r="E16">
            <v>230.18181818181833</v>
          </cell>
          <cell r="F16">
            <v>159.50000000000063</v>
          </cell>
          <cell r="G16">
            <v>0.56818181818181812</v>
          </cell>
        </row>
        <row r="17">
          <cell r="D17" t="str">
            <v>U.PRIVADA</v>
          </cell>
          <cell r="E17">
            <v>8.1318181818181809</v>
          </cell>
          <cell r="F17">
            <v>38.106818181818198</v>
          </cell>
          <cell r="G17">
            <v>0.40909090909090906</v>
          </cell>
        </row>
        <row r="18">
          <cell r="D18" t="str">
            <v>U.PRIVADA</v>
          </cell>
          <cell r="E18">
            <v>5.3887805494545455</v>
          </cell>
          <cell r="F18">
            <v>77.261588375636336</v>
          </cell>
          <cell r="G18">
            <v>0.45702479340909097</v>
          </cell>
        </row>
        <row r="19">
          <cell r="D19" t="str">
            <v>U.PRIVADA</v>
          </cell>
          <cell r="E19">
            <v>0.59090909090909083</v>
          </cell>
          <cell r="F19">
            <v>2.8068181818181812</v>
          </cell>
          <cell r="G19">
            <v>0</v>
          </cell>
        </row>
        <row r="20">
          <cell r="D20" t="str">
            <v>U.PRIVADA</v>
          </cell>
          <cell r="E20">
            <v>0.12045454545454545</v>
          </cell>
          <cell r="F20">
            <v>4.706818181818182</v>
          </cell>
          <cell r="G20">
            <v>0</v>
          </cell>
        </row>
        <row r="21">
          <cell r="C21" t="str">
            <v>UAU</v>
          </cell>
          <cell r="D21" t="str">
            <v>U.PRIVADA</v>
          </cell>
          <cell r="E21">
            <v>126.30659090909074</v>
          </cell>
          <cell r="F21">
            <v>466.07795454545021</v>
          </cell>
          <cell r="G21">
            <v>43.362954545454564</v>
          </cell>
        </row>
        <row r="22">
          <cell r="D22" t="str">
            <v>U.PRIVADA</v>
          </cell>
          <cell r="E22">
            <v>158.7727272727272</v>
          </cell>
          <cell r="F22">
            <v>141.9545454545451</v>
          </cell>
          <cell r="G22">
            <v>149.24999999999994</v>
          </cell>
        </row>
        <row r="23">
          <cell r="D23" t="str">
            <v>U.PRIVADA</v>
          </cell>
          <cell r="E23">
            <v>14.25</v>
          </cell>
          <cell r="F23">
            <v>83.909090909090963</v>
          </cell>
          <cell r="G23">
            <v>0</v>
          </cell>
        </row>
        <row r="24">
          <cell r="D24" t="str">
            <v>U.PRIVADA</v>
          </cell>
          <cell r="E24">
            <v>113.73409090909081</v>
          </cell>
          <cell r="F24">
            <v>512.3704545454483</v>
          </cell>
          <cell r="G24">
            <v>138.76590909090879</v>
          </cell>
        </row>
        <row r="25">
          <cell r="D25" t="str">
            <v>U.PRIVADA</v>
          </cell>
          <cell r="E25">
            <v>1.5784090909090911</v>
          </cell>
          <cell r="F25">
            <v>6.8950000000000022</v>
          </cell>
          <cell r="G25">
            <v>0</v>
          </cell>
        </row>
        <row r="26">
          <cell r="C26" t="str">
            <v>UCS</v>
          </cell>
          <cell r="D26" t="str">
            <v>U.PRIVADA</v>
          </cell>
          <cell r="E26">
            <v>53.840909090909115</v>
          </cell>
          <cell r="F26">
            <v>124.81818181818193</v>
          </cell>
          <cell r="G26">
            <v>0</v>
          </cell>
        </row>
        <row r="27">
          <cell r="D27" t="str">
            <v>U.PRIVADA</v>
          </cell>
          <cell r="E27">
            <v>112.72727272727252</v>
          </cell>
          <cell r="F27">
            <v>311.04545454545473</v>
          </cell>
          <cell r="G27">
            <v>200.72727272727312</v>
          </cell>
        </row>
        <row r="28">
          <cell r="D28" t="str">
            <v>U.PRIVADA</v>
          </cell>
          <cell r="E28">
            <v>3.897727272727272</v>
          </cell>
          <cell r="F28">
            <v>28.895454545454548</v>
          </cell>
          <cell r="G28">
            <v>0</v>
          </cell>
        </row>
        <row r="29">
          <cell r="D29" t="str">
            <v>U.PRIVADA</v>
          </cell>
          <cell r="E29">
            <v>8.5</v>
          </cell>
          <cell r="F29">
            <v>74.590909090909108</v>
          </cell>
          <cell r="G29">
            <v>0</v>
          </cell>
        </row>
        <row r="30">
          <cell r="D30" t="str">
            <v>U.PRIVADA</v>
          </cell>
          <cell r="E30">
            <v>0</v>
          </cell>
          <cell r="F30">
            <v>9.0656565657045522</v>
          </cell>
          <cell r="G30">
            <v>0</v>
          </cell>
        </row>
        <row r="31">
          <cell r="D31" t="str">
            <v>U.PRIVADA</v>
          </cell>
          <cell r="E31">
            <v>56.386363636363662</v>
          </cell>
          <cell r="F31">
            <v>150.52272727272623</v>
          </cell>
          <cell r="G31">
            <v>0</v>
          </cell>
        </row>
        <row r="32">
          <cell r="D32" t="str">
            <v>U.PRIVADA</v>
          </cell>
          <cell r="E32">
            <v>6.9872477272727256</v>
          </cell>
          <cell r="F32">
            <v>213.94041818181782</v>
          </cell>
          <cell r="G32">
            <v>2.7190909090909089E-2</v>
          </cell>
        </row>
        <row r="33">
          <cell r="D33" t="str">
            <v>U.PRIVADA</v>
          </cell>
          <cell r="E33">
            <v>4.7840909090909092</v>
          </cell>
          <cell r="F33">
            <v>34.590909090909108</v>
          </cell>
          <cell r="G33">
            <v>0</v>
          </cell>
        </row>
        <row r="34">
          <cell r="C34" t="str">
            <v>UAH</v>
          </cell>
          <cell r="D34" t="str">
            <v>U.PRIVADA</v>
          </cell>
          <cell r="E34">
            <v>111.03409090909057</v>
          </cell>
          <cell r="F34">
            <v>76.999999999998963</v>
          </cell>
          <cell r="G34">
            <v>0.13636363636363635</v>
          </cell>
        </row>
        <row r="35">
          <cell r="C35" t="str">
            <v>UCH</v>
          </cell>
          <cell r="D35" t="str">
            <v>CRUCH-ESTATAL</v>
          </cell>
          <cell r="E35">
            <v>1153.1363636363621</v>
          </cell>
          <cell r="F35">
            <v>388.90909090909099</v>
          </cell>
          <cell r="G35">
            <v>146.88636363636354</v>
          </cell>
        </row>
        <row r="36">
          <cell r="C36" t="str">
            <v>USA</v>
          </cell>
          <cell r="D36" t="str">
            <v>CRUCH-ESTATAL</v>
          </cell>
          <cell r="E36">
            <v>460.11363636363649</v>
          </cell>
          <cell r="F36">
            <v>278.38636363636539</v>
          </cell>
          <cell r="G36">
            <v>21.909090909090907</v>
          </cell>
        </row>
        <row r="37">
          <cell r="C37" t="str">
            <v>UVA</v>
          </cell>
          <cell r="D37" t="str">
            <v>CRUCH-ESTATAL</v>
          </cell>
          <cell r="E37">
            <v>239.5454545454545</v>
          </cell>
          <cell r="F37">
            <v>330.66977272727263</v>
          </cell>
          <cell r="G37">
            <v>64.159090909090878</v>
          </cell>
        </row>
        <row r="38">
          <cell r="C38" t="str">
            <v>ANT</v>
          </cell>
          <cell r="D38" t="str">
            <v>CRUCH-ESTATAL</v>
          </cell>
          <cell r="E38">
            <v>138.19318181818181</v>
          </cell>
          <cell r="F38">
            <v>121.22159090909088</v>
          </cell>
          <cell r="G38">
            <v>17.494318181818183</v>
          </cell>
        </row>
        <row r="39">
          <cell r="C39" t="str">
            <v>ULS</v>
          </cell>
          <cell r="D39" t="str">
            <v>CRUCH-ESTATAL</v>
          </cell>
          <cell r="E39">
            <v>122.70454545454547</v>
          </cell>
          <cell r="F39">
            <v>96.772727272727224</v>
          </cell>
          <cell r="G39">
            <v>6.0454545454545441</v>
          </cell>
        </row>
        <row r="40">
          <cell r="C40" t="str">
            <v>UBB</v>
          </cell>
          <cell r="D40" t="str">
            <v>CRUCH-ESTATAL</v>
          </cell>
          <cell r="E40">
            <v>233.2954545454545</v>
          </cell>
          <cell r="F40">
            <v>208.25000000000003</v>
          </cell>
          <cell r="G40">
            <v>0</v>
          </cell>
        </row>
        <row r="41">
          <cell r="C41" t="str">
            <v>FRO</v>
          </cell>
          <cell r="D41" t="str">
            <v>CRUCH-ESTATAL</v>
          </cell>
          <cell r="E41">
            <v>207.95454545454547</v>
          </cell>
          <cell r="F41">
            <v>97.568181818181813</v>
          </cell>
          <cell r="G41">
            <v>33.818181818181813</v>
          </cell>
        </row>
        <row r="42">
          <cell r="C42" t="str">
            <v>MAG</v>
          </cell>
          <cell r="D42" t="str">
            <v>CRUCH-ESTATAL</v>
          </cell>
          <cell r="E42">
            <v>60.594715909090915</v>
          </cell>
          <cell r="F42">
            <v>71.279659090909064</v>
          </cell>
          <cell r="G42">
            <v>0.78017045454545464</v>
          </cell>
        </row>
        <row r="43">
          <cell r="C43" t="str">
            <v>TAL</v>
          </cell>
          <cell r="D43" t="str">
            <v>CRUCH-ESTATAL</v>
          </cell>
          <cell r="E43">
            <v>228.5895454545454</v>
          </cell>
          <cell r="F43">
            <v>200.95318181818163</v>
          </cell>
          <cell r="G43">
            <v>20.59090909090909</v>
          </cell>
        </row>
        <row r="44">
          <cell r="C44" t="str">
            <v>ATA</v>
          </cell>
          <cell r="D44" t="str">
            <v>CRUCH-ESTATAL</v>
          </cell>
          <cell r="E44">
            <v>70</v>
          </cell>
          <cell r="F44">
            <v>69.409090909090907</v>
          </cell>
          <cell r="G44">
            <v>0</v>
          </cell>
        </row>
        <row r="45">
          <cell r="C45" t="str">
            <v>UTA</v>
          </cell>
          <cell r="D45" t="str">
            <v>CRUCH-ESTATAL</v>
          </cell>
          <cell r="E45">
            <v>127.25</v>
          </cell>
          <cell r="F45">
            <v>179.06818181818187</v>
          </cell>
          <cell r="G45">
            <v>2.0454545454545454</v>
          </cell>
        </row>
        <row r="46">
          <cell r="C46" t="str">
            <v>UAP</v>
          </cell>
          <cell r="D46" t="str">
            <v>CRUCH-ESTATAL</v>
          </cell>
          <cell r="E46">
            <v>72.295454545454533</v>
          </cell>
          <cell r="F46">
            <v>174.52272727272754</v>
          </cell>
          <cell r="G46">
            <v>0.18181818181818182</v>
          </cell>
        </row>
        <row r="47">
          <cell r="C47" t="str">
            <v>UMC</v>
          </cell>
          <cell r="D47" t="str">
            <v>CRUCH-ESTATAL</v>
          </cell>
          <cell r="E47">
            <v>70.5</v>
          </cell>
          <cell r="F47">
            <v>155.29545454545448</v>
          </cell>
          <cell r="G47">
            <v>0</v>
          </cell>
        </row>
        <row r="48">
          <cell r="C48" t="str">
            <v>UPA</v>
          </cell>
          <cell r="D48" t="str">
            <v>CRUCH-ESTATAL</v>
          </cell>
          <cell r="E48">
            <v>125.62954545454545</v>
          </cell>
          <cell r="F48">
            <v>196.87727272727278</v>
          </cell>
          <cell r="G48">
            <v>0.13636363636363635</v>
          </cell>
        </row>
        <row r="49">
          <cell r="C49" t="str">
            <v>ULA</v>
          </cell>
          <cell r="D49" t="str">
            <v>CRUCH-ESTATAL</v>
          </cell>
          <cell r="E49">
            <v>93.090909090909093</v>
          </cell>
          <cell r="F49">
            <v>163.85454545454553</v>
          </cell>
          <cell r="G49">
            <v>0</v>
          </cell>
        </row>
        <row r="50">
          <cell r="C50" t="str">
            <v>UTM</v>
          </cell>
          <cell r="D50" t="str">
            <v>CRUCH-ESTATAL</v>
          </cell>
          <cell r="E50">
            <v>54.148863636363636</v>
          </cell>
          <cell r="F50">
            <v>133.59431818181827</v>
          </cell>
          <cell r="G50">
            <v>0</v>
          </cell>
        </row>
        <row r="51">
          <cell r="C51" t="str">
            <v>PUC</v>
          </cell>
          <cell r="D51" t="str">
            <v>CRUCH-PRIVADA</v>
          </cell>
          <cell r="E51">
            <v>1035.5909090909086</v>
          </cell>
          <cell r="F51">
            <v>487.06818181818062</v>
          </cell>
          <cell r="G51">
            <v>439.24999999999989</v>
          </cell>
        </row>
        <row r="52">
          <cell r="C52" t="str">
            <v>UCO</v>
          </cell>
          <cell r="D52" t="str">
            <v>CRUCH-PRIVADA</v>
          </cell>
          <cell r="E52">
            <v>738.72727272727263</v>
          </cell>
          <cell r="F52">
            <v>398.09090909090901</v>
          </cell>
          <cell r="G52">
            <v>90.795454545454575</v>
          </cell>
        </row>
        <row r="53">
          <cell r="C53" t="str">
            <v>FSM</v>
          </cell>
          <cell r="D53" t="str">
            <v>CRUCH-PRIVADA</v>
          </cell>
          <cell r="E53">
            <v>251.55681818181876</v>
          </cell>
          <cell r="F53">
            <v>180.05795454545435</v>
          </cell>
          <cell r="G53">
            <v>0</v>
          </cell>
        </row>
        <row r="54">
          <cell r="C54" t="str">
            <v>UCV</v>
          </cell>
          <cell r="D54" t="str">
            <v>CRUCH-PRIVADA</v>
          </cell>
          <cell r="E54">
            <v>379.45454545454584</v>
          </cell>
          <cell r="F54">
            <v>147.40909090909113</v>
          </cell>
          <cell r="G54">
            <v>0.57954545454545459</v>
          </cell>
        </row>
        <row r="55">
          <cell r="C55" t="str">
            <v>AUS</v>
          </cell>
          <cell r="D55" t="str">
            <v>CRUCH-PRIVADA</v>
          </cell>
          <cell r="E55">
            <v>372.45454545454544</v>
          </cell>
          <cell r="F55">
            <v>255.7727272727272</v>
          </cell>
          <cell r="G55">
            <v>60.681818181818215</v>
          </cell>
        </row>
        <row r="56">
          <cell r="C56" t="str">
            <v>UCN</v>
          </cell>
          <cell r="D56" t="str">
            <v>CRUCH-PRIVADA</v>
          </cell>
          <cell r="E56">
            <v>209.61363636363635</v>
          </cell>
          <cell r="F56">
            <v>158.75000000000009</v>
          </cell>
          <cell r="G56">
            <v>21</v>
          </cell>
        </row>
        <row r="57">
          <cell r="C57" t="str">
            <v>UCM</v>
          </cell>
          <cell r="D57" t="str">
            <v>CRUCH-PRIVADA</v>
          </cell>
          <cell r="E57">
            <v>132.72727272727269</v>
          </cell>
          <cell r="F57">
            <v>152.51363636363627</v>
          </cell>
          <cell r="G57">
            <v>34.377272727272732</v>
          </cell>
        </row>
        <row r="58">
          <cell r="C58" t="str">
            <v>USC</v>
          </cell>
          <cell r="D58" t="str">
            <v>CRUCH-PRIVADA</v>
          </cell>
          <cell r="E58">
            <v>131.70454545454541</v>
          </cell>
          <cell r="F58">
            <v>167.84090909090838</v>
          </cell>
          <cell r="G58">
            <v>28.318181818181817</v>
          </cell>
        </row>
        <row r="59">
          <cell r="C59" t="str">
            <v>UCT</v>
          </cell>
          <cell r="D59" t="str">
            <v>CRUCH-PRIVADA</v>
          </cell>
          <cell r="E59">
            <v>149.56863636363636</v>
          </cell>
          <cell r="F59">
            <v>194.43295454545452</v>
          </cell>
          <cell r="G59">
            <v>1.0909090909090908</v>
          </cell>
        </row>
        <row r="60">
          <cell r="D60" t="str">
            <v>U.PRIVADA</v>
          </cell>
          <cell r="E60">
            <v>3.0909090909090904</v>
          </cell>
          <cell r="F60">
            <v>11.113636363636363</v>
          </cell>
          <cell r="G60">
            <v>0</v>
          </cell>
        </row>
        <row r="61">
          <cell r="C61" t="str">
            <v>URO</v>
          </cell>
          <cell r="D61" t="str">
            <v>CRUCH-ESTATAL</v>
          </cell>
          <cell r="E61">
            <v>24.022727272727273</v>
          </cell>
          <cell r="F61">
            <v>6.1363636363636358</v>
          </cell>
          <cell r="G61">
            <v>0.5</v>
          </cell>
        </row>
        <row r="62">
          <cell r="C62" t="str">
            <v>URY</v>
          </cell>
          <cell r="D62" t="str">
            <v>CRUCH-ESTATAL</v>
          </cell>
          <cell r="E62">
            <v>7.9090909090909092</v>
          </cell>
          <cell r="F62">
            <v>3.375</v>
          </cell>
          <cell r="G62">
            <v>1</v>
          </cell>
        </row>
      </sheetData>
      <sheetData sheetId="4"/>
      <sheetData sheetId="5">
        <row r="10">
          <cell r="F10" t="str">
            <v>PUC</v>
          </cell>
          <cell r="G10">
            <v>0.20474837662337661</v>
          </cell>
          <cell r="H10">
            <v>0.24707462113945905</v>
          </cell>
          <cell r="I10">
            <v>0.25753792971000578</v>
          </cell>
          <cell r="J10">
            <v>0.23735555976510703</v>
          </cell>
          <cell r="K10">
            <v>0.27635899306822326</v>
          </cell>
          <cell r="L10">
            <v>0.25675189052934821</v>
          </cell>
          <cell r="M10">
            <v>0.25574407917992226</v>
          </cell>
          <cell r="N10">
            <v>4928</v>
          </cell>
          <cell r="O10">
            <v>5213</v>
          </cell>
          <cell r="P10">
            <v>5207</v>
          </cell>
          <cell r="Q10">
            <v>5279</v>
          </cell>
          <cell r="R10">
            <v>5482</v>
          </cell>
          <cell r="S10">
            <v>5554</v>
          </cell>
          <cell r="T10">
            <v>5658</v>
          </cell>
          <cell r="U10">
            <v>1009</v>
          </cell>
          <cell r="V10">
            <v>1288</v>
          </cell>
          <cell r="W10">
            <v>1341</v>
          </cell>
          <cell r="X10">
            <v>1253</v>
          </cell>
          <cell r="Y10">
            <v>1515</v>
          </cell>
          <cell r="Z10">
            <v>1426</v>
          </cell>
          <cell r="AA10">
            <v>1447</v>
          </cell>
        </row>
        <row r="11">
          <cell r="F11" t="str">
            <v>UCV</v>
          </cell>
          <cell r="G11">
            <v>0.55459098497495829</v>
          </cell>
          <cell r="H11">
            <v>0.58203368683718026</v>
          </cell>
          <cell r="I11">
            <v>0.5748987854251012</v>
          </cell>
          <cell r="J11">
            <v>0.57042896257986009</v>
          </cell>
          <cell r="K11">
            <v>0.5692036438436674</v>
          </cell>
          <cell r="L11">
            <v>0.57999431656720657</v>
          </cell>
          <cell r="M11">
            <v>0.5607843137254902</v>
          </cell>
          <cell r="N11">
            <v>2995</v>
          </cell>
          <cell r="O11">
            <v>3206</v>
          </cell>
          <cell r="P11">
            <v>3211</v>
          </cell>
          <cell r="Q11">
            <v>3287</v>
          </cell>
          <cell r="R11">
            <v>3403</v>
          </cell>
          <cell r="S11">
            <v>3519</v>
          </cell>
          <cell r="T11">
            <v>3570</v>
          </cell>
          <cell r="U11">
            <v>1661</v>
          </cell>
          <cell r="V11">
            <v>1866</v>
          </cell>
          <cell r="W11">
            <v>1846</v>
          </cell>
          <cell r="X11">
            <v>1875</v>
          </cell>
          <cell r="Y11">
            <v>1937</v>
          </cell>
          <cell r="Z11">
            <v>2041</v>
          </cell>
          <cell r="AA11">
            <v>2002</v>
          </cell>
        </row>
        <row r="12">
          <cell r="F12" t="str">
            <v>UAP</v>
          </cell>
          <cell r="G12">
            <v>0.52252252252252251</v>
          </cell>
          <cell r="H12">
            <v>0.57024793388429751</v>
          </cell>
          <cell r="I12">
            <v>0.63697967086156826</v>
          </cell>
          <cell r="J12">
            <v>0.64012738853503182</v>
          </cell>
          <cell r="K12">
            <v>0.68143459915611815</v>
          </cell>
          <cell r="L12">
            <v>0.69678714859437751</v>
          </cell>
          <cell r="M12">
            <v>0.59149223497636727</v>
          </cell>
          <cell r="N12">
            <v>999</v>
          </cell>
          <cell r="O12">
            <v>968</v>
          </cell>
          <cell r="P12">
            <v>1033</v>
          </cell>
          <cell r="Q12">
            <v>942</v>
          </cell>
          <cell r="R12">
            <v>948</v>
          </cell>
          <cell r="S12">
            <v>996</v>
          </cell>
          <cell r="T12">
            <v>1481</v>
          </cell>
          <cell r="U12">
            <v>522</v>
          </cell>
          <cell r="V12">
            <v>552</v>
          </cell>
          <cell r="W12">
            <v>658</v>
          </cell>
          <cell r="X12">
            <v>603</v>
          </cell>
          <cell r="Y12">
            <v>646</v>
          </cell>
          <cell r="Z12">
            <v>694</v>
          </cell>
          <cell r="AA12">
            <v>876</v>
          </cell>
        </row>
        <row r="13">
          <cell r="F13" t="str">
            <v>AUS</v>
          </cell>
          <cell r="G13">
            <v>0.62584175084175087</v>
          </cell>
          <cell r="H13">
            <v>0.63309885227693452</v>
          </cell>
          <cell r="I13">
            <v>0.64667393675027263</v>
          </cell>
          <cell r="J13">
            <v>0.61967994552264216</v>
          </cell>
          <cell r="K13">
            <v>0.65958200495926322</v>
          </cell>
          <cell r="L13">
            <v>0.65447957839262183</v>
          </cell>
          <cell r="M13">
            <v>0.64413389665258369</v>
          </cell>
          <cell r="N13">
            <v>2376</v>
          </cell>
          <cell r="O13">
            <v>2701</v>
          </cell>
          <cell r="P13">
            <v>2751</v>
          </cell>
          <cell r="Q13">
            <v>2937</v>
          </cell>
          <cell r="R13">
            <v>2823</v>
          </cell>
          <cell r="S13">
            <v>3036</v>
          </cell>
          <cell r="T13">
            <v>3077</v>
          </cell>
          <cell r="U13">
            <v>1487</v>
          </cell>
          <cell r="V13">
            <v>1710</v>
          </cell>
          <cell r="W13">
            <v>1779</v>
          </cell>
          <cell r="X13">
            <v>1820</v>
          </cell>
          <cell r="Y13">
            <v>1862</v>
          </cell>
          <cell r="Z13">
            <v>1987</v>
          </cell>
          <cell r="AA13">
            <v>1982</v>
          </cell>
        </row>
        <row r="14">
          <cell r="F14" t="str">
            <v>USC</v>
          </cell>
          <cell r="G14">
            <v>0.75</v>
          </cell>
          <cell r="H14">
            <v>0.79628400796284005</v>
          </cell>
          <cell r="I14">
            <v>0.83381924198250734</v>
          </cell>
          <cell r="J14">
            <v>0.77976523197316938</v>
          </cell>
          <cell r="K14">
            <v>0.76919060052219324</v>
          </cell>
          <cell r="L14">
            <v>0.77393617021276595</v>
          </cell>
          <cell r="M14">
            <v>0.76580677794638341</v>
          </cell>
          <cell r="N14">
            <v>1876</v>
          </cell>
          <cell r="O14">
            <v>1507</v>
          </cell>
          <cell r="P14">
            <v>1715</v>
          </cell>
          <cell r="Q14">
            <v>1789</v>
          </cell>
          <cell r="R14">
            <v>1915</v>
          </cell>
          <cell r="S14">
            <v>1880</v>
          </cell>
          <cell r="T14">
            <v>1977</v>
          </cell>
          <cell r="U14">
            <v>1407</v>
          </cell>
          <cell r="V14">
            <v>1200</v>
          </cell>
          <cell r="W14">
            <v>1430</v>
          </cell>
          <cell r="X14">
            <v>1395</v>
          </cell>
          <cell r="Y14">
            <v>1473</v>
          </cell>
          <cell r="Z14">
            <v>1455</v>
          </cell>
          <cell r="AA14">
            <v>1514</v>
          </cell>
        </row>
        <row r="15">
          <cell r="F15" t="str">
            <v>UCT</v>
          </cell>
          <cell r="G15">
            <v>0.76699029126213591</v>
          </cell>
          <cell r="H15">
            <v>0.79551667577911422</v>
          </cell>
          <cell r="I15">
            <v>0.80553918680023573</v>
          </cell>
          <cell r="J15">
            <v>0.7954309449636553</v>
          </cell>
          <cell r="K15">
            <v>0.8040130657956136</v>
          </cell>
          <cell r="L15">
            <v>0.8107559614408929</v>
          </cell>
          <cell r="M15">
            <v>0.79243353783231085</v>
          </cell>
          <cell r="N15">
            <v>1648</v>
          </cell>
          <cell r="O15">
            <v>1829</v>
          </cell>
          <cell r="P15">
            <v>1697</v>
          </cell>
          <cell r="Q15">
            <v>1926</v>
          </cell>
          <cell r="R15">
            <v>2143</v>
          </cell>
          <cell r="S15">
            <v>1971</v>
          </cell>
          <cell r="T15">
            <v>1956</v>
          </cell>
          <cell r="U15">
            <v>1264</v>
          </cell>
          <cell r="V15">
            <v>1455</v>
          </cell>
          <cell r="W15">
            <v>1367</v>
          </cell>
          <cell r="X15">
            <v>1532</v>
          </cell>
          <cell r="Y15">
            <v>1723</v>
          </cell>
          <cell r="Z15">
            <v>1598</v>
          </cell>
          <cell r="AA15">
            <v>1550</v>
          </cell>
        </row>
        <row r="16">
          <cell r="F16" t="str">
            <v>UCM</v>
          </cell>
          <cell r="G16">
            <v>0.75</v>
          </cell>
          <cell r="H16">
            <v>0.765474552957359</v>
          </cell>
          <cell r="I16">
            <v>0.79557195571955719</v>
          </cell>
          <cell r="J16">
            <v>0.77298444130127297</v>
          </cell>
          <cell r="K16">
            <v>0.79132473622508792</v>
          </cell>
          <cell r="L16">
            <v>0.79651162790697672</v>
          </cell>
          <cell r="M16">
            <v>0.7714420358152686</v>
          </cell>
          <cell r="N16">
            <v>1308</v>
          </cell>
          <cell r="O16">
            <v>1454</v>
          </cell>
          <cell r="P16">
            <v>1355</v>
          </cell>
          <cell r="Q16">
            <v>1414</v>
          </cell>
          <cell r="R16">
            <v>1706</v>
          </cell>
          <cell r="S16">
            <v>1892</v>
          </cell>
          <cell r="T16">
            <v>2122</v>
          </cell>
          <cell r="U16">
            <v>981</v>
          </cell>
          <cell r="V16">
            <v>1113</v>
          </cell>
          <cell r="W16">
            <v>1078</v>
          </cell>
          <cell r="X16">
            <v>1093</v>
          </cell>
          <cell r="Y16">
            <v>1350</v>
          </cell>
          <cell r="Z16">
            <v>1507</v>
          </cell>
          <cell r="AA16">
            <v>1637</v>
          </cell>
        </row>
        <row r="17">
          <cell r="F17" t="str">
            <v>UCN</v>
          </cell>
          <cell r="G17">
            <v>0.43885714285714283</v>
          </cell>
          <cell r="H17">
            <v>0.45280082987551867</v>
          </cell>
          <cell r="I17">
            <v>0.4891015417331207</v>
          </cell>
          <cell r="J17">
            <v>0.46512820512820513</v>
          </cell>
          <cell r="K17">
            <v>0.51402321083172142</v>
          </cell>
          <cell r="L17">
            <v>0.49296413980935089</v>
          </cell>
          <cell r="M17">
            <v>0.49516797054763001</v>
          </cell>
          <cell r="N17">
            <v>1750</v>
          </cell>
          <cell r="O17">
            <v>1928</v>
          </cell>
          <cell r="P17">
            <v>1881</v>
          </cell>
          <cell r="Q17">
            <v>1950</v>
          </cell>
          <cell r="R17">
            <v>2068</v>
          </cell>
          <cell r="S17">
            <v>2203</v>
          </cell>
          <cell r="T17">
            <v>2173</v>
          </cell>
          <cell r="U17">
            <v>768</v>
          </cell>
          <cell r="V17">
            <v>873</v>
          </cell>
          <cell r="W17">
            <v>920</v>
          </cell>
          <cell r="X17">
            <v>907</v>
          </cell>
          <cell r="Y17">
            <v>1063</v>
          </cell>
          <cell r="Z17">
            <v>1086</v>
          </cell>
          <cell r="AA17">
            <v>1076</v>
          </cell>
        </row>
        <row r="18">
          <cell r="F18" t="str">
            <v>ANT</v>
          </cell>
          <cell r="G18">
            <v>0.37237237237237236</v>
          </cell>
          <cell r="H18">
            <v>0.41467889908256883</v>
          </cell>
          <cell r="I18">
            <v>0.42173913043478262</v>
          </cell>
          <cell r="J18">
            <v>0.38935810810810811</v>
          </cell>
          <cell r="K18">
            <v>0.46887009992313605</v>
          </cell>
          <cell r="L18">
            <v>0.47344110854503463</v>
          </cell>
          <cell r="M18">
            <v>0.44026548672566373</v>
          </cell>
          <cell r="N18">
            <v>999</v>
          </cell>
          <cell r="O18">
            <v>1090</v>
          </cell>
          <cell r="P18">
            <v>1150</v>
          </cell>
          <cell r="Q18">
            <v>1184</v>
          </cell>
          <cell r="R18">
            <v>1301</v>
          </cell>
          <cell r="S18">
            <v>1299</v>
          </cell>
          <cell r="T18">
            <v>1356</v>
          </cell>
          <cell r="U18">
            <v>372</v>
          </cell>
          <cell r="V18">
            <v>452</v>
          </cell>
          <cell r="W18">
            <v>485</v>
          </cell>
          <cell r="X18">
            <v>461</v>
          </cell>
          <cell r="Y18">
            <v>610</v>
          </cell>
          <cell r="Z18">
            <v>615</v>
          </cell>
          <cell r="AA18">
            <v>597</v>
          </cell>
        </row>
        <row r="19">
          <cell r="F19" t="str">
            <v>ATA</v>
          </cell>
          <cell r="G19">
            <v>0.56559766763848396</v>
          </cell>
          <cell r="H19">
            <v>0.54754754754754753</v>
          </cell>
          <cell r="I19">
            <v>0.56735496558505405</v>
          </cell>
          <cell r="J19">
            <v>0.56243854473942967</v>
          </cell>
          <cell r="K19">
            <v>0.64114832535885169</v>
          </cell>
          <cell r="L19">
            <v>0.6701323251417769</v>
          </cell>
          <cell r="M19">
            <v>0.6644486692015209</v>
          </cell>
          <cell r="N19">
            <v>686</v>
          </cell>
          <cell r="O19">
            <v>999</v>
          </cell>
          <cell r="P19">
            <v>1017</v>
          </cell>
          <cell r="Q19">
            <v>1017</v>
          </cell>
          <cell r="R19">
            <v>1045</v>
          </cell>
          <cell r="S19">
            <v>1058</v>
          </cell>
          <cell r="T19">
            <v>1052</v>
          </cell>
          <cell r="U19">
            <v>388</v>
          </cell>
          <cell r="V19">
            <v>547</v>
          </cell>
          <cell r="W19">
            <v>577</v>
          </cell>
          <cell r="X19">
            <v>572</v>
          </cell>
          <cell r="Y19">
            <v>670</v>
          </cell>
          <cell r="Z19">
            <v>709</v>
          </cell>
          <cell r="AA19">
            <v>699</v>
          </cell>
        </row>
        <row r="20">
          <cell r="F20" t="str">
            <v>URY</v>
          </cell>
          <cell r="G20"/>
          <cell r="H20"/>
          <cell r="I20"/>
          <cell r="J20"/>
          <cell r="K20"/>
          <cell r="L20">
            <v>0.68817204301075274</v>
          </cell>
          <cell r="M20">
            <v>0.69747899159663862</v>
          </cell>
          <cell r="N20"/>
          <cell r="O20"/>
          <cell r="P20"/>
          <cell r="Q20"/>
          <cell r="R20"/>
          <cell r="S20">
            <v>93</v>
          </cell>
          <cell r="T20">
            <v>119</v>
          </cell>
          <cell r="U20"/>
          <cell r="V20"/>
          <cell r="W20"/>
          <cell r="X20"/>
          <cell r="Y20"/>
          <cell r="Z20">
            <v>64</v>
          </cell>
          <cell r="AA20">
            <v>83</v>
          </cell>
        </row>
        <row r="21">
          <cell r="F21" t="str">
            <v>UCH</v>
          </cell>
          <cell r="G21">
            <v>0.41156530408773678</v>
          </cell>
          <cell r="H21">
            <v>0.44507683551508254</v>
          </cell>
          <cell r="I21">
            <v>0.45997140814867765</v>
          </cell>
          <cell r="J21">
            <v>0.45439659407237598</v>
          </cell>
          <cell r="K21">
            <v>0.48905738411166638</v>
          </cell>
          <cell r="L21">
            <v>0.48129423660262893</v>
          </cell>
          <cell r="M21">
            <v>0.42911686586985393</v>
          </cell>
          <cell r="N21">
            <v>5015</v>
          </cell>
          <cell r="O21">
            <v>5271</v>
          </cell>
          <cell r="P21">
            <v>5596</v>
          </cell>
          <cell r="Q21">
            <v>6107</v>
          </cell>
          <cell r="R21">
            <v>5803</v>
          </cell>
          <cell r="S21">
            <v>5934</v>
          </cell>
          <cell r="T21">
            <v>6024</v>
          </cell>
          <cell r="U21">
            <v>2064</v>
          </cell>
          <cell r="V21">
            <v>2346</v>
          </cell>
          <cell r="W21">
            <v>2574</v>
          </cell>
          <cell r="X21">
            <v>2775</v>
          </cell>
          <cell r="Y21">
            <v>2838</v>
          </cell>
          <cell r="Z21">
            <v>2856</v>
          </cell>
          <cell r="AA21">
            <v>2585</v>
          </cell>
        </row>
        <row r="22">
          <cell r="F22" t="str">
            <v>UCO</v>
          </cell>
          <cell r="G22">
            <v>0.68837209302325586</v>
          </cell>
          <cell r="H22">
            <v>0.6852334201562813</v>
          </cell>
          <cell r="I22">
            <v>0.70620748299319724</v>
          </cell>
          <cell r="J22">
            <v>0.67432321575061527</v>
          </cell>
          <cell r="K22">
            <v>0.66373450619752095</v>
          </cell>
          <cell r="L22">
            <v>0.67343173431734316</v>
          </cell>
          <cell r="M22">
            <v>0.64698983580922598</v>
          </cell>
          <cell r="N22">
            <v>4730</v>
          </cell>
          <cell r="O22">
            <v>4991</v>
          </cell>
          <cell r="P22">
            <v>4704</v>
          </cell>
          <cell r="Q22">
            <v>4876</v>
          </cell>
          <cell r="R22">
            <v>5002</v>
          </cell>
          <cell r="S22">
            <v>4878</v>
          </cell>
          <cell r="T22">
            <v>5116</v>
          </cell>
          <cell r="U22">
            <v>3256</v>
          </cell>
          <cell r="V22">
            <v>3420</v>
          </cell>
          <cell r="W22">
            <v>3322</v>
          </cell>
          <cell r="X22">
            <v>3288</v>
          </cell>
          <cell r="Y22">
            <v>3320</v>
          </cell>
          <cell r="Z22">
            <v>3285</v>
          </cell>
          <cell r="AA22">
            <v>3310</v>
          </cell>
        </row>
        <row r="23">
          <cell r="F23" t="str">
            <v>FRO</v>
          </cell>
          <cell r="G23">
            <v>0.66393022062596208</v>
          </cell>
          <cell r="H23">
            <v>0.67006629270780216</v>
          </cell>
          <cell r="I23">
            <v>0.73853452820242493</v>
          </cell>
          <cell r="J23">
            <v>0.70067372473532241</v>
          </cell>
          <cell r="K23">
            <v>0.70987951807228911</v>
          </cell>
          <cell r="L23">
            <v>0.69212635549269208</v>
          </cell>
          <cell r="M23">
            <v>0.67470997679814382</v>
          </cell>
          <cell r="N23">
            <v>1949</v>
          </cell>
          <cell r="O23">
            <v>1961</v>
          </cell>
          <cell r="P23">
            <v>1897</v>
          </cell>
          <cell r="Q23">
            <v>2078</v>
          </cell>
          <cell r="R23">
            <v>2075</v>
          </cell>
          <cell r="S23">
            <v>2121</v>
          </cell>
          <cell r="T23">
            <v>2155</v>
          </cell>
          <cell r="U23">
            <v>1294</v>
          </cell>
          <cell r="V23">
            <v>1314</v>
          </cell>
          <cell r="W23">
            <v>1401</v>
          </cell>
          <cell r="X23">
            <v>1456</v>
          </cell>
          <cell r="Y23">
            <v>1473</v>
          </cell>
          <cell r="Z23">
            <v>1468</v>
          </cell>
          <cell r="AA23">
            <v>1454</v>
          </cell>
        </row>
        <row r="24">
          <cell r="F24" t="str">
            <v>ULS</v>
          </cell>
          <cell r="G24">
            <v>0.62411347517730498</v>
          </cell>
          <cell r="H24">
            <v>0.63164400494437578</v>
          </cell>
          <cell r="I24">
            <v>0.66666666666666663</v>
          </cell>
          <cell r="J24">
            <v>0.64916615194564542</v>
          </cell>
          <cell r="K24">
            <v>0.70626865671641792</v>
          </cell>
          <cell r="L24">
            <v>0.67343485617597287</v>
          </cell>
          <cell r="M24">
            <v>0.64525298465036951</v>
          </cell>
          <cell r="N24">
            <v>1551</v>
          </cell>
          <cell r="O24">
            <v>1618</v>
          </cell>
          <cell r="P24">
            <v>1548</v>
          </cell>
          <cell r="Q24">
            <v>1619</v>
          </cell>
          <cell r="R24">
            <v>1675</v>
          </cell>
          <cell r="S24">
            <v>1773</v>
          </cell>
          <cell r="T24">
            <v>1759</v>
          </cell>
          <cell r="U24">
            <v>968</v>
          </cell>
          <cell r="V24">
            <v>1022</v>
          </cell>
          <cell r="W24">
            <v>1032</v>
          </cell>
          <cell r="X24">
            <v>1051</v>
          </cell>
          <cell r="Y24">
            <v>1183</v>
          </cell>
          <cell r="Z24">
            <v>1194</v>
          </cell>
          <cell r="AA24">
            <v>1135</v>
          </cell>
        </row>
        <row r="25">
          <cell r="F25" t="str">
            <v>ULA</v>
          </cell>
          <cell r="G25">
            <v>0.77881619937694702</v>
          </cell>
          <cell r="H25">
            <v>0.79407806191117092</v>
          </cell>
          <cell r="I25">
            <v>0.81355932203389836</v>
          </cell>
          <cell r="J25">
            <v>0.81936245572609212</v>
          </cell>
          <cell r="K25">
            <v>0.82191780821917804</v>
          </cell>
          <cell r="L25">
            <v>0.83918367346938771</v>
          </cell>
          <cell r="M25">
            <v>0.83551114527286707</v>
          </cell>
          <cell r="N25">
            <v>642</v>
          </cell>
          <cell r="O25">
            <v>743</v>
          </cell>
          <cell r="P25">
            <v>885</v>
          </cell>
          <cell r="Q25">
            <v>847</v>
          </cell>
          <cell r="R25">
            <v>1022</v>
          </cell>
          <cell r="S25">
            <v>1225</v>
          </cell>
          <cell r="T25">
            <v>1301</v>
          </cell>
          <cell r="U25">
            <v>500</v>
          </cell>
          <cell r="V25">
            <v>590</v>
          </cell>
          <cell r="W25">
            <v>720</v>
          </cell>
          <cell r="X25">
            <v>694</v>
          </cell>
          <cell r="Y25">
            <v>840</v>
          </cell>
          <cell r="Z25">
            <v>1028</v>
          </cell>
          <cell r="AA25">
            <v>1087</v>
          </cell>
        </row>
        <row r="26">
          <cell r="F26" t="str">
            <v>MAG</v>
          </cell>
          <cell r="G26">
            <v>0.4375</v>
          </cell>
          <cell r="H26">
            <v>0.48929159802306427</v>
          </cell>
          <cell r="I26">
            <v>0.51520572450805013</v>
          </cell>
          <cell r="J26">
            <v>0.48652694610778441</v>
          </cell>
          <cell r="K26">
            <v>0.5879194630872483</v>
          </cell>
          <cell r="L26">
            <v>0.56091030789825969</v>
          </cell>
          <cell r="M26">
            <v>0.53641456582633051</v>
          </cell>
          <cell r="N26">
            <v>448</v>
          </cell>
          <cell r="O26">
            <v>607</v>
          </cell>
          <cell r="P26">
            <v>559</v>
          </cell>
          <cell r="Q26">
            <v>668</v>
          </cell>
          <cell r="R26">
            <v>745</v>
          </cell>
          <cell r="S26">
            <v>747</v>
          </cell>
          <cell r="T26">
            <v>714</v>
          </cell>
          <cell r="U26">
            <v>196</v>
          </cell>
          <cell r="V26">
            <v>297</v>
          </cell>
          <cell r="W26">
            <v>288</v>
          </cell>
          <cell r="X26">
            <v>325</v>
          </cell>
          <cell r="Y26">
            <v>438</v>
          </cell>
          <cell r="Z26">
            <v>419</v>
          </cell>
          <cell r="AA26">
            <v>383</v>
          </cell>
        </row>
        <row r="27">
          <cell r="F27" t="str">
            <v>URO</v>
          </cell>
          <cell r="G27"/>
          <cell r="H27"/>
          <cell r="I27"/>
          <cell r="J27"/>
          <cell r="K27"/>
          <cell r="L27">
            <v>0.75811209439528027</v>
          </cell>
          <cell r="M27">
            <v>0.75443383356070937</v>
          </cell>
          <cell r="N27"/>
          <cell r="O27"/>
          <cell r="P27"/>
          <cell r="Q27"/>
          <cell r="R27"/>
          <cell r="S27">
            <v>339</v>
          </cell>
          <cell r="T27">
            <v>733</v>
          </cell>
          <cell r="U27"/>
          <cell r="V27"/>
          <cell r="W27"/>
          <cell r="X27"/>
          <cell r="Y27"/>
          <cell r="Z27">
            <v>257</v>
          </cell>
          <cell r="AA27">
            <v>553</v>
          </cell>
        </row>
        <row r="28">
          <cell r="F28" t="str">
            <v>UPA</v>
          </cell>
          <cell r="G28">
            <v>0.73523421588594706</v>
          </cell>
          <cell r="H28">
            <v>0.75209497206703912</v>
          </cell>
          <cell r="I28">
            <v>0.74582172701949856</v>
          </cell>
          <cell r="J28">
            <v>0.71997690531177827</v>
          </cell>
          <cell r="K28">
            <v>0.77956690727373679</v>
          </cell>
          <cell r="L28">
            <v>0.74169096209912533</v>
          </cell>
          <cell r="M28">
            <v>0.71756672873991312</v>
          </cell>
          <cell r="N28">
            <v>1473</v>
          </cell>
          <cell r="O28">
            <v>1432</v>
          </cell>
          <cell r="P28">
            <v>1436</v>
          </cell>
          <cell r="Q28">
            <v>1732</v>
          </cell>
          <cell r="R28">
            <v>1801</v>
          </cell>
          <cell r="S28">
            <v>1715</v>
          </cell>
          <cell r="T28">
            <v>1611</v>
          </cell>
          <cell r="U28">
            <v>1083</v>
          </cell>
          <cell r="V28">
            <v>1077</v>
          </cell>
          <cell r="W28">
            <v>1071</v>
          </cell>
          <cell r="X28">
            <v>1247</v>
          </cell>
          <cell r="Y28">
            <v>1404</v>
          </cell>
          <cell r="Z28">
            <v>1272</v>
          </cell>
          <cell r="AA28">
            <v>1156</v>
          </cell>
        </row>
        <row r="29">
          <cell r="F29" t="str">
            <v>USA</v>
          </cell>
          <cell r="G29">
            <v>0.59645351961311122</v>
          </cell>
          <cell r="H29">
            <v>0.65202598206000617</v>
          </cell>
          <cell r="I29">
            <v>0.70588235294117652</v>
          </cell>
          <cell r="J29">
            <v>0.65954346770276828</v>
          </cell>
          <cell r="K29">
            <v>0.68323504633529908</v>
          </cell>
          <cell r="L29">
            <v>0.68550955414012738</v>
          </cell>
          <cell r="M29">
            <v>0.67204301075268813</v>
          </cell>
          <cell r="N29">
            <v>3722</v>
          </cell>
          <cell r="O29">
            <v>3233</v>
          </cell>
          <cell r="P29">
            <v>3791</v>
          </cell>
          <cell r="Q29">
            <v>4118</v>
          </cell>
          <cell r="R29">
            <v>3561</v>
          </cell>
          <cell r="S29">
            <v>3768</v>
          </cell>
          <cell r="T29">
            <v>3906</v>
          </cell>
          <cell r="U29">
            <v>2220</v>
          </cell>
          <cell r="V29">
            <v>2108</v>
          </cell>
          <cell r="W29">
            <v>2676</v>
          </cell>
          <cell r="X29">
            <v>2716</v>
          </cell>
          <cell r="Y29">
            <v>2433</v>
          </cell>
          <cell r="Z29">
            <v>2583</v>
          </cell>
          <cell r="AA29">
            <v>2625</v>
          </cell>
        </row>
        <row r="30">
          <cell r="F30" t="str">
            <v>TAL</v>
          </cell>
          <cell r="G30">
            <v>0.71533258173618941</v>
          </cell>
          <cell r="H30">
            <v>0.73406694176983034</v>
          </cell>
          <cell r="I30">
            <v>0.73735632183908051</v>
          </cell>
          <cell r="J30">
            <v>0.70734341252699784</v>
          </cell>
          <cell r="K30">
            <v>0.72519893899204246</v>
          </cell>
          <cell r="L30">
            <v>0.74517978113600836</v>
          </cell>
          <cell r="M30">
            <v>0.7247165532879819</v>
          </cell>
          <cell r="N30">
            <v>1774</v>
          </cell>
          <cell r="O30">
            <v>2181</v>
          </cell>
          <cell r="P30">
            <v>1740</v>
          </cell>
          <cell r="Q30">
            <v>1852</v>
          </cell>
          <cell r="R30">
            <v>1885</v>
          </cell>
          <cell r="S30">
            <v>1919</v>
          </cell>
          <cell r="T30">
            <v>2205</v>
          </cell>
          <cell r="U30">
            <v>1269</v>
          </cell>
          <cell r="V30">
            <v>1601</v>
          </cell>
          <cell r="W30">
            <v>1283</v>
          </cell>
          <cell r="X30">
            <v>1310</v>
          </cell>
          <cell r="Y30">
            <v>1367</v>
          </cell>
          <cell r="Z30">
            <v>1430</v>
          </cell>
          <cell r="AA30">
            <v>1598</v>
          </cell>
        </row>
        <row r="31">
          <cell r="F31" t="str">
            <v>UTA</v>
          </cell>
          <cell r="G31">
            <v>0.67118644067796607</v>
          </cell>
          <cell r="H31">
            <v>0.66928618205631962</v>
          </cell>
          <cell r="I31">
            <v>0.6847405112316034</v>
          </cell>
          <cell r="J31">
            <v>0.66709928617780667</v>
          </cell>
          <cell r="K31">
            <v>0.72246153846153849</v>
          </cell>
          <cell r="L31">
            <v>0.72518610421836227</v>
          </cell>
          <cell r="M31">
            <v>0.72972972972972971</v>
          </cell>
          <cell r="N31">
            <v>1475</v>
          </cell>
          <cell r="O31">
            <v>1527</v>
          </cell>
          <cell r="P31">
            <v>1291</v>
          </cell>
          <cell r="Q31">
            <v>1541</v>
          </cell>
          <cell r="R31">
            <v>1625</v>
          </cell>
          <cell r="S31">
            <v>1612</v>
          </cell>
          <cell r="T31">
            <v>1813</v>
          </cell>
          <cell r="U31">
            <v>990</v>
          </cell>
          <cell r="V31">
            <v>1022</v>
          </cell>
          <cell r="W31">
            <v>884</v>
          </cell>
          <cell r="X31">
            <v>1028</v>
          </cell>
          <cell r="Y31">
            <v>1174</v>
          </cell>
          <cell r="Z31">
            <v>1169</v>
          </cell>
          <cell r="AA31">
            <v>1323</v>
          </cell>
        </row>
        <row r="32">
          <cell r="F32" t="str">
            <v>UVA</v>
          </cell>
          <cell r="G32">
            <v>0.62751065124771754</v>
          </cell>
          <cell r="H32">
            <v>0.64366290643662905</v>
          </cell>
          <cell r="I32">
            <v>0.64736842105263159</v>
          </cell>
          <cell r="J32">
            <v>0.60130718954248363</v>
          </cell>
          <cell r="K32">
            <v>0.6721548238012709</v>
          </cell>
          <cell r="L32">
            <v>0.67460778617083095</v>
          </cell>
          <cell r="M32">
            <v>0.64844861941360665</v>
          </cell>
          <cell r="N32">
            <v>3286</v>
          </cell>
          <cell r="O32">
            <v>3014</v>
          </cell>
          <cell r="P32">
            <v>2850</v>
          </cell>
          <cell r="Q32">
            <v>3060</v>
          </cell>
          <cell r="R32">
            <v>3462</v>
          </cell>
          <cell r="S32">
            <v>3442</v>
          </cell>
          <cell r="T32">
            <v>3513</v>
          </cell>
          <cell r="U32">
            <v>2062</v>
          </cell>
          <cell r="V32">
            <v>1940</v>
          </cell>
          <cell r="W32">
            <v>1845</v>
          </cell>
          <cell r="X32">
            <v>1840</v>
          </cell>
          <cell r="Y32">
            <v>2327</v>
          </cell>
          <cell r="Z32">
            <v>2322</v>
          </cell>
          <cell r="AA32">
            <v>2278</v>
          </cell>
        </row>
        <row r="33">
          <cell r="F33" t="str">
            <v>UBB</v>
          </cell>
          <cell r="G33">
            <v>0.79146919431279616</v>
          </cell>
          <cell r="H33">
            <v>0.82854617764030047</v>
          </cell>
          <cell r="I33">
            <v>0.84066193853427895</v>
          </cell>
          <cell r="J33">
            <v>0.79973935708079935</v>
          </cell>
          <cell r="K33">
            <v>0.79578392621870886</v>
          </cell>
          <cell r="L33">
            <v>0.79680940386230059</v>
          </cell>
          <cell r="M33">
            <v>0.7781470710427919</v>
          </cell>
          <cell r="N33">
            <v>2110</v>
          </cell>
          <cell r="O33">
            <v>2263</v>
          </cell>
          <cell r="P33">
            <v>2115</v>
          </cell>
          <cell r="Q33">
            <v>2302</v>
          </cell>
          <cell r="R33">
            <v>2277</v>
          </cell>
          <cell r="S33">
            <v>2382</v>
          </cell>
          <cell r="T33">
            <v>2407</v>
          </cell>
          <cell r="U33">
            <v>1670</v>
          </cell>
          <cell r="V33">
            <v>1875</v>
          </cell>
          <cell r="W33">
            <v>1778</v>
          </cell>
          <cell r="X33">
            <v>1841</v>
          </cell>
          <cell r="Y33">
            <v>1812</v>
          </cell>
          <cell r="Z33">
            <v>1898</v>
          </cell>
          <cell r="AA33">
            <v>1873</v>
          </cell>
        </row>
        <row r="34">
          <cell r="F34" t="str">
            <v>UMC</v>
          </cell>
          <cell r="G34">
            <v>0.65916069600818838</v>
          </cell>
          <cell r="H34">
            <v>0.67375231053604434</v>
          </cell>
          <cell r="I34">
            <v>0.64559386973180077</v>
          </cell>
          <cell r="J34">
            <v>0.65847457627118644</v>
          </cell>
          <cell r="K34">
            <v>0.66479400749063666</v>
          </cell>
          <cell r="L34">
            <v>0.63279857397504458</v>
          </cell>
          <cell r="M34">
            <v>0.61001642036124792</v>
          </cell>
          <cell r="N34">
            <v>977</v>
          </cell>
          <cell r="O34">
            <v>1082</v>
          </cell>
          <cell r="P34">
            <v>1044</v>
          </cell>
          <cell r="Q34">
            <v>1180</v>
          </cell>
          <cell r="R34">
            <v>1068</v>
          </cell>
          <cell r="S34">
            <v>1122</v>
          </cell>
          <cell r="T34">
            <v>1218</v>
          </cell>
          <cell r="U34">
            <v>644</v>
          </cell>
          <cell r="V34">
            <v>729</v>
          </cell>
          <cell r="W34">
            <v>674</v>
          </cell>
          <cell r="X34">
            <v>777</v>
          </cell>
          <cell r="Y34">
            <v>710</v>
          </cell>
          <cell r="Z34">
            <v>710</v>
          </cell>
          <cell r="AA34">
            <v>743</v>
          </cell>
        </row>
        <row r="35">
          <cell r="F35" t="str">
            <v>FSM</v>
          </cell>
          <cell r="G35">
            <v>0.47096774193548385</v>
          </cell>
          <cell r="H35">
            <v>0.49862863411958308</v>
          </cell>
          <cell r="I35">
            <v>0.51072961373390557</v>
          </cell>
          <cell r="J35">
            <v>0.49270664505672607</v>
          </cell>
          <cell r="K35">
            <v>0.54303278688524592</v>
          </cell>
          <cell r="L35">
            <v>0.51407129455909939</v>
          </cell>
          <cell r="M35">
            <v>0.4916077738515901</v>
          </cell>
          <cell r="N35">
            <v>2170</v>
          </cell>
          <cell r="O35">
            <v>1823</v>
          </cell>
          <cell r="P35">
            <v>1864</v>
          </cell>
          <cell r="Q35">
            <v>1851</v>
          </cell>
          <cell r="R35">
            <v>1952</v>
          </cell>
          <cell r="S35">
            <v>2132</v>
          </cell>
          <cell r="T35">
            <v>2264</v>
          </cell>
          <cell r="U35">
            <v>1022</v>
          </cell>
          <cell r="V35">
            <v>909</v>
          </cell>
          <cell r="W35">
            <v>952</v>
          </cell>
          <cell r="X35">
            <v>912</v>
          </cell>
          <cell r="Y35">
            <v>1060</v>
          </cell>
          <cell r="Z35">
            <v>1096</v>
          </cell>
          <cell r="AA35">
            <v>1113</v>
          </cell>
        </row>
        <row r="36">
          <cell r="F36" t="str">
            <v>UTM</v>
          </cell>
          <cell r="G36">
            <v>0.72512755102040816</v>
          </cell>
          <cell r="H36">
            <v>0.75057208237986273</v>
          </cell>
          <cell r="I36">
            <v>0.75785482123510295</v>
          </cell>
          <cell r="J36">
            <v>0.74829600778967864</v>
          </cell>
          <cell r="K36">
            <v>0.75609756097560976</v>
          </cell>
          <cell r="L36">
            <v>0.74795574795574793</v>
          </cell>
          <cell r="M36">
            <v>0.71901565995525729</v>
          </cell>
          <cell r="N36">
            <v>1568</v>
          </cell>
          <cell r="O36">
            <v>1748</v>
          </cell>
          <cell r="P36">
            <v>1846</v>
          </cell>
          <cell r="Q36">
            <v>2054</v>
          </cell>
          <cell r="R36">
            <v>2255</v>
          </cell>
          <cell r="S36">
            <v>2079</v>
          </cell>
          <cell r="T36">
            <v>2235</v>
          </cell>
          <cell r="U36">
            <v>1137</v>
          </cell>
          <cell r="V36">
            <v>1312</v>
          </cell>
          <cell r="W36">
            <v>1399</v>
          </cell>
          <cell r="X36">
            <v>1537</v>
          </cell>
          <cell r="Y36">
            <v>1705</v>
          </cell>
          <cell r="Z36">
            <v>1555</v>
          </cell>
          <cell r="AA36">
            <v>1607</v>
          </cell>
        </row>
      </sheetData>
      <sheetData sheetId="6">
        <row r="11">
          <cell r="E11" t="str">
            <v>PUC</v>
          </cell>
          <cell r="F11">
            <v>0.89298626174981921</v>
          </cell>
          <cell r="G11">
            <v>0.85682372055239642</v>
          </cell>
          <cell r="H11">
            <v>0.86888078325974272</v>
          </cell>
          <cell r="I11">
            <v>0.89136704479907714</v>
          </cell>
          <cell r="J11">
            <v>0.88490709139173307</v>
          </cell>
          <cell r="K11">
            <v>0.85675132468481641</v>
          </cell>
          <cell r="L11">
            <v>0.8836580086580087</v>
          </cell>
          <cell r="M11">
            <v>4149</v>
          </cell>
          <cell r="N11">
            <v>4924</v>
          </cell>
          <cell r="O11">
            <v>5209</v>
          </cell>
          <cell r="P11">
            <v>5201</v>
          </cell>
          <cell r="Q11">
            <v>5274</v>
          </cell>
          <cell r="R11">
            <v>5473</v>
          </cell>
          <cell r="S11">
            <v>5544</v>
          </cell>
          <cell r="T11">
            <v>3705</v>
          </cell>
          <cell r="U11">
            <v>4219</v>
          </cell>
          <cell r="V11">
            <v>4526</v>
          </cell>
          <cell r="W11">
            <v>4636</v>
          </cell>
          <cell r="X11">
            <v>4667</v>
          </cell>
          <cell r="Y11">
            <v>4689</v>
          </cell>
          <cell r="Z11">
            <v>4899</v>
          </cell>
        </row>
        <row r="12">
          <cell r="E12" t="str">
            <v>UCV</v>
          </cell>
          <cell r="F12">
            <v>0.75047558655675328</v>
          </cell>
          <cell r="G12">
            <v>0.75885103540414167</v>
          </cell>
          <cell r="H12">
            <v>0.75530586766541818</v>
          </cell>
          <cell r="I12">
            <v>0.79987492182614128</v>
          </cell>
          <cell r="J12">
            <v>0.79939117199391174</v>
          </cell>
          <cell r="K12">
            <v>0.80376581347455134</v>
          </cell>
          <cell r="L12">
            <v>0.81909547738693467</v>
          </cell>
          <cell r="M12">
            <v>3154</v>
          </cell>
          <cell r="N12">
            <v>2994</v>
          </cell>
          <cell r="O12">
            <v>3204</v>
          </cell>
          <cell r="P12">
            <v>3198</v>
          </cell>
          <cell r="Q12">
            <v>3285</v>
          </cell>
          <cell r="R12">
            <v>3399</v>
          </cell>
          <cell r="S12">
            <v>3383</v>
          </cell>
          <cell r="T12">
            <v>2367</v>
          </cell>
          <cell r="U12">
            <v>2272</v>
          </cell>
          <cell r="V12">
            <v>2420</v>
          </cell>
          <cell r="W12">
            <v>2558</v>
          </cell>
          <cell r="X12">
            <v>2626</v>
          </cell>
          <cell r="Y12">
            <v>2732</v>
          </cell>
          <cell r="Z12">
            <v>2771</v>
          </cell>
        </row>
        <row r="13">
          <cell r="E13" t="str">
            <v>UAP</v>
          </cell>
          <cell r="F13">
            <v>0.59238095238095234</v>
          </cell>
          <cell r="G13">
            <v>0.75375375375375375</v>
          </cell>
          <cell r="H13">
            <v>0.69700103412616343</v>
          </cell>
          <cell r="I13">
            <v>0.74806201550387597</v>
          </cell>
          <cell r="J13">
            <v>0.71413390010626998</v>
          </cell>
          <cell r="K13">
            <v>0.78375527426160341</v>
          </cell>
          <cell r="L13">
            <v>0.81187122736418516</v>
          </cell>
          <cell r="M13">
            <v>1050</v>
          </cell>
          <cell r="N13">
            <v>999</v>
          </cell>
          <cell r="O13">
            <v>967</v>
          </cell>
          <cell r="P13">
            <v>1032</v>
          </cell>
          <cell r="Q13">
            <v>941</v>
          </cell>
          <cell r="R13">
            <v>948</v>
          </cell>
          <cell r="S13">
            <v>994</v>
          </cell>
          <cell r="T13">
            <v>622</v>
          </cell>
          <cell r="U13">
            <v>753</v>
          </cell>
          <cell r="V13">
            <v>674</v>
          </cell>
          <cell r="W13">
            <v>772</v>
          </cell>
          <cell r="X13">
            <v>672</v>
          </cell>
          <cell r="Y13">
            <v>743</v>
          </cell>
          <cell r="Z13">
            <v>807</v>
          </cell>
        </row>
        <row r="14">
          <cell r="E14" t="str">
            <v>AUS</v>
          </cell>
          <cell r="F14">
            <v>0.80495477782147073</v>
          </cell>
          <cell r="G14">
            <v>0.82813816343723679</v>
          </cell>
          <cell r="H14">
            <v>0.82636060718252502</v>
          </cell>
          <cell r="I14">
            <v>0.82806252271901126</v>
          </cell>
          <cell r="J14">
            <v>0.81880108991825618</v>
          </cell>
          <cell r="K14">
            <v>0.83138505136379737</v>
          </cell>
          <cell r="L14">
            <v>0.8569000679809653</v>
          </cell>
          <cell r="M14">
            <v>2543</v>
          </cell>
          <cell r="N14">
            <v>2374</v>
          </cell>
          <cell r="O14">
            <v>2701</v>
          </cell>
          <cell r="P14">
            <v>2751</v>
          </cell>
          <cell r="Q14">
            <v>2936</v>
          </cell>
          <cell r="R14">
            <v>2823</v>
          </cell>
          <cell r="S14">
            <v>2942</v>
          </cell>
          <cell r="T14">
            <v>2047</v>
          </cell>
          <cell r="U14">
            <v>1966</v>
          </cell>
          <cell r="V14">
            <v>2232</v>
          </cell>
          <cell r="W14">
            <v>2278</v>
          </cell>
          <cell r="X14">
            <v>2404</v>
          </cell>
          <cell r="Y14">
            <v>2347</v>
          </cell>
          <cell r="Z14">
            <v>2521</v>
          </cell>
        </row>
        <row r="15">
          <cell r="E15" t="str">
            <v>USC</v>
          </cell>
          <cell r="F15">
            <v>0.81583287520615722</v>
          </cell>
          <cell r="G15">
            <v>0.8288912579957356</v>
          </cell>
          <cell r="H15">
            <v>0.83742534837425353</v>
          </cell>
          <cell r="I15">
            <v>0.85072886297376094</v>
          </cell>
          <cell r="J15">
            <v>0.83566238121855785</v>
          </cell>
          <cell r="K15">
            <v>0.86422976501305482</v>
          </cell>
          <cell r="L15">
            <v>0.88822894168466526</v>
          </cell>
          <cell r="M15">
            <v>1819</v>
          </cell>
          <cell r="N15">
            <v>1876</v>
          </cell>
          <cell r="O15">
            <v>1507</v>
          </cell>
          <cell r="P15">
            <v>1715</v>
          </cell>
          <cell r="Q15">
            <v>1789</v>
          </cell>
          <cell r="R15">
            <v>1915</v>
          </cell>
          <cell r="S15">
            <v>1852</v>
          </cell>
          <cell r="T15">
            <v>1484</v>
          </cell>
          <cell r="U15">
            <v>1555</v>
          </cell>
          <cell r="V15">
            <v>1262</v>
          </cell>
          <cell r="W15">
            <v>1459</v>
          </cell>
          <cell r="X15">
            <v>1495</v>
          </cell>
          <cell r="Y15">
            <v>1655</v>
          </cell>
          <cell r="Z15">
            <v>1645</v>
          </cell>
        </row>
        <row r="16">
          <cell r="E16" t="str">
            <v>UCT</v>
          </cell>
          <cell r="F16">
            <v>0.75808457711442789</v>
          </cell>
          <cell r="G16">
            <v>0.80024286581663628</v>
          </cell>
          <cell r="H16">
            <v>0.82510964912280704</v>
          </cell>
          <cell r="I16">
            <v>0.84678845020624627</v>
          </cell>
          <cell r="J16">
            <v>0.81775700934579443</v>
          </cell>
          <cell r="K16">
            <v>0.79692917285785048</v>
          </cell>
          <cell r="L16">
            <v>0.84444444444444444</v>
          </cell>
          <cell r="M16">
            <v>1608</v>
          </cell>
          <cell r="N16">
            <v>1647</v>
          </cell>
          <cell r="O16">
            <v>1824</v>
          </cell>
          <cell r="P16">
            <v>1697</v>
          </cell>
          <cell r="Q16">
            <v>1926</v>
          </cell>
          <cell r="R16">
            <v>2019</v>
          </cell>
          <cell r="S16">
            <v>1845</v>
          </cell>
          <cell r="T16">
            <v>1219</v>
          </cell>
          <cell r="U16">
            <v>1318</v>
          </cell>
          <cell r="V16">
            <v>1505</v>
          </cell>
          <cell r="W16">
            <v>1437</v>
          </cell>
          <cell r="X16">
            <v>1575</v>
          </cell>
          <cell r="Y16">
            <v>1609</v>
          </cell>
          <cell r="Z16">
            <v>1558</v>
          </cell>
        </row>
        <row r="17">
          <cell r="E17" t="str">
            <v>UCM</v>
          </cell>
          <cell r="F17">
            <v>0.83007047768206732</v>
          </cell>
          <cell r="G17">
            <v>0.90519877675840976</v>
          </cell>
          <cell r="H17">
            <v>0.86107290233837686</v>
          </cell>
          <cell r="I17">
            <v>0.85092250922509227</v>
          </cell>
          <cell r="J17">
            <v>0.8776520509193777</v>
          </cell>
          <cell r="K17">
            <v>0.87089201877934275</v>
          </cell>
          <cell r="L17">
            <v>0.8504273504273504</v>
          </cell>
          <cell r="M17">
            <v>1277</v>
          </cell>
          <cell r="N17">
            <v>1308</v>
          </cell>
          <cell r="O17">
            <v>1454</v>
          </cell>
          <cell r="P17">
            <v>1355</v>
          </cell>
          <cell r="Q17">
            <v>1414</v>
          </cell>
          <cell r="R17">
            <v>1704</v>
          </cell>
          <cell r="S17">
            <v>1872</v>
          </cell>
          <cell r="T17">
            <v>1060</v>
          </cell>
          <cell r="U17">
            <v>1184</v>
          </cell>
          <cell r="V17">
            <v>1252</v>
          </cell>
          <cell r="W17">
            <v>1153</v>
          </cell>
          <cell r="X17">
            <v>1241</v>
          </cell>
          <cell r="Y17">
            <v>1484</v>
          </cell>
          <cell r="Z17">
            <v>1592</v>
          </cell>
        </row>
        <row r="18">
          <cell r="E18" t="str">
            <v>UCN</v>
          </cell>
          <cell r="F18">
            <v>0.74725877192982459</v>
          </cell>
          <cell r="G18">
            <v>0.79702687249857063</v>
          </cell>
          <cell r="H18">
            <v>0.82404997397188962</v>
          </cell>
          <cell r="I18">
            <v>0.80914407230196705</v>
          </cell>
          <cell r="J18">
            <v>0.81589743589743591</v>
          </cell>
          <cell r="K18">
            <v>0.81189555125725343</v>
          </cell>
          <cell r="L18">
            <v>0.80947955390334569</v>
          </cell>
          <cell r="M18">
            <v>1824</v>
          </cell>
          <cell r="N18">
            <v>1749</v>
          </cell>
          <cell r="O18">
            <v>1921</v>
          </cell>
          <cell r="P18">
            <v>1881</v>
          </cell>
          <cell r="Q18">
            <v>1950</v>
          </cell>
          <cell r="R18">
            <v>2068</v>
          </cell>
          <cell r="S18">
            <v>2152</v>
          </cell>
          <cell r="T18">
            <v>1363</v>
          </cell>
          <cell r="U18">
            <v>1394</v>
          </cell>
          <cell r="V18">
            <v>1583</v>
          </cell>
          <cell r="W18">
            <v>1522</v>
          </cell>
          <cell r="X18">
            <v>1591</v>
          </cell>
          <cell r="Y18">
            <v>1679</v>
          </cell>
          <cell r="Z18">
            <v>1742</v>
          </cell>
        </row>
        <row r="19">
          <cell r="E19" t="str">
            <v>ANT</v>
          </cell>
          <cell r="F19">
            <v>0.76744186046511631</v>
          </cell>
          <cell r="G19">
            <v>0.84669338677354711</v>
          </cell>
          <cell r="H19">
            <v>0.81341911764705888</v>
          </cell>
          <cell r="I19">
            <v>0.8433420365535248</v>
          </cell>
          <cell r="J19">
            <v>0.80489864864864868</v>
          </cell>
          <cell r="K19">
            <v>0.82909930715935332</v>
          </cell>
          <cell r="L19">
            <v>0.84079999999999999</v>
          </cell>
          <cell r="M19">
            <v>817</v>
          </cell>
          <cell r="N19">
            <v>998</v>
          </cell>
          <cell r="O19">
            <v>1088</v>
          </cell>
          <cell r="P19">
            <v>1149</v>
          </cell>
          <cell r="Q19">
            <v>1184</v>
          </cell>
          <cell r="R19">
            <v>1299</v>
          </cell>
          <cell r="S19">
            <v>1250</v>
          </cell>
          <cell r="T19">
            <v>627</v>
          </cell>
          <cell r="U19">
            <v>845</v>
          </cell>
          <cell r="V19">
            <v>885</v>
          </cell>
          <cell r="W19">
            <v>969</v>
          </cell>
          <cell r="X19">
            <v>953</v>
          </cell>
          <cell r="Y19">
            <v>1077</v>
          </cell>
          <cell r="Z19">
            <v>1051</v>
          </cell>
        </row>
        <row r="20">
          <cell r="E20" t="str">
            <v>ATA</v>
          </cell>
          <cell r="F20">
            <v>0.67192429022082023</v>
          </cell>
          <cell r="G20">
            <v>0.74014598540145982</v>
          </cell>
          <cell r="H20">
            <v>0.80804020100502516</v>
          </cell>
          <cell r="I20">
            <v>0.70819304152637486</v>
          </cell>
          <cell r="J20">
            <v>0.7467980295566502</v>
          </cell>
          <cell r="K20">
            <v>0.77873563218390807</v>
          </cell>
          <cell r="L20">
            <v>0.7931034482758621</v>
          </cell>
          <cell r="M20">
            <v>634</v>
          </cell>
          <cell r="N20">
            <v>685</v>
          </cell>
          <cell r="O20">
            <v>995</v>
          </cell>
          <cell r="P20">
            <v>891</v>
          </cell>
          <cell r="Q20">
            <v>1015</v>
          </cell>
          <cell r="R20">
            <v>1044</v>
          </cell>
          <cell r="S20">
            <v>1044</v>
          </cell>
          <cell r="T20">
            <v>426</v>
          </cell>
          <cell r="U20">
            <v>507</v>
          </cell>
          <cell r="V20">
            <v>804</v>
          </cell>
          <cell r="W20">
            <v>631</v>
          </cell>
          <cell r="X20">
            <v>758</v>
          </cell>
          <cell r="Y20">
            <v>813</v>
          </cell>
          <cell r="Z20">
            <v>828</v>
          </cell>
        </row>
        <row r="21">
          <cell r="E21" t="str">
            <v>URY</v>
          </cell>
          <cell r="F21"/>
          <cell r="G21"/>
          <cell r="H21"/>
          <cell r="I21"/>
          <cell r="J21"/>
          <cell r="K21"/>
          <cell r="L21">
            <v>0.86021505376344087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93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80</v>
          </cell>
        </row>
        <row r="22">
          <cell r="E22" t="str">
            <v>UCH</v>
          </cell>
          <cell r="F22">
            <v>0.8391969787318625</v>
          </cell>
          <cell r="G22">
            <v>0.84856344772545889</v>
          </cell>
          <cell r="H22">
            <v>0.82985187998480825</v>
          </cell>
          <cell r="I22">
            <v>0.83977110157367663</v>
          </cell>
          <cell r="J22">
            <v>0.83457249070631967</v>
          </cell>
          <cell r="K22">
            <v>0.85093167701863359</v>
          </cell>
          <cell r="L22">
            <v>0.87325130625316028</v>
          </cell>
          <cell r="M22">
            <v>5031</v>
          </cell>
          <cell r="N22">
            <v>5012</v>
          </cell>
          <cell r="O22">
            <v>5266</v>
          </cell>
          <cell r="P22">
            <v>5592</v>
          </cell>
          <cell r="Q22">
            <v>5918</v>
          </cell>
          <cell r="R22">
            <v>5796</v>
          </cell>
          <cell r="S22">
            <v>5933</v>
          </cell>
          <cell r="T22">
            <v>4222</v>
          </cell>
          <cell r="U22">
            <v>4253</v>
          </cell>
          <cell r="V22">
            <v>4370</v>
          </cell>
          <cell r="W22">
            <v>4696</v>
          </cell>
          <cell r="X22">
            <v>4939</v>
          </cell>
          <cell r="Y22">
            <v>4932</v>
          </cell>
          <cell r="Z22">
            <v>5181</v>
          </cell>
        </row>
        <row r="23">
          <cell r="E23" t="str">
            <v>UCO</v>
          </cell>
          <cell r="F23">
            <v>0.79117835073513743</v>
          </cell>
          <cell r="G23">
            <v>0.80757031084795938</v>
          </cell>
          <cell r="H23">
            <v>0.8164328657314629</v>
          </cell>
          <cell r="I23">
            <v>0.80204125026578776</v>
          </cell>
          <cell r="J23">
            <v>0.8</v>
          </cell>
          <cell r="K23">
            <v>0.8104379124175165</v>
          </cell>
          <cell r="L23">
            <v>0.81493775933609958</v>
          </cell>
          <cell r="M23">
            <v>4693</v>
          </cell>
          <cell r="N23">
            <v>4729</v>
          </cell>
          <cell r="O23">
            <v>4990</v>
          </cell>
          <cell r="P23">
            <v>4703</v>
          </cell>
          <cell r="Q23">
            <v>4875</v>
          </cell>
          <cell r="R23">
            <v>5001</v>
          </cell>
          <cell r="S23">
            <v>4820</v>
          </cell>
          <cell r="T23">
            <v>3713</v>
          </cell>
          <cell r="U23">
            <v>3819</v>
          </cell>
          <cell r="V23">
            <v>4074</v>
          </cell>
          <cell r="W23">
            <v>3772</v>
          </cell>
          <cell r="X23">
            <v>3900</v>
          </cell>
          <cell r="Y23">
            <v>4053</v>
          </cell>
          <cell r="Z23">
            <v>3928</v>
          </cell>
        </row>
        <row r="24">
          <cell r="E24" t="str">
            <v>FRO</v>
          </cell>
          <cell r="F24">
            <v>0.82997762863534674</v>
          </cell>
          <cell r="G24">
            <v>0.85479733196511032</v>
          </cell>
          <cell r="H24">
            <v>0.83732789393166751</v>
          </cell>
          <cell r="I24">
            <v>0.84185556141275697</v>
          </cell>
          <cell r="J24">
            <v>0.83824239497827135</v>
          </cell>
          <cell r="K24">
            <v>0.82786885245901642</v>
          </cell>
          <cell r="L24">
            <v>0.84035259549461316</v>
          </cell>
          <cell r="M24">
            <v>1788</v>
          </cell>
          <cell r="N24">
            <v>1949</v>
          </cell>
          <cell r="O24">
            <v>1961</v>
          </cell>
          <cell r="P24">
            <v>1897</v>
          </cell>
          <cell r="Q24">
            <v>2071</v>
          </cell>
          <cell r="R24">
            <v>2074</v>
          </cell>
          <cell r="S24">
            <v>2042</v>
          </cell>
          <cell r="T24">
            <v>1484</v>
          </cell>
          <cell r="U24">
            <v>1666</v>
          </cell>
          <cell r="V24">
            <v>1642</v>
          </cell>
          <cell r="W24">
            <v>1597</v>
          </cell>
          <cell r="X24">
            <v>1736</v>
          </cell>
          <cell r="Y24">
            <v>1717</v>
          </cell>
          <cell r="Z24">
            <v>1716</v>
          </cell>
        </row>
        <row r="25">
          <cell r="E25" t="str">
            <v>ULS</v>
          </cell>
          <cell r="F25">
            <v>0.78412911903160731</v>
          </cell>
          <cell r="G25">
            <v>0.8282763072950291</v>
          </cell>
          <cell r="H25">
            <v>0.78045763760049469</v>
          </cell>
          <cell r="I25">
            <v>0.79430789133247093</v>
          </cell>
          <cell r="J25">
            <v>0.76452410383189118</v>
          </cell>
          <cell r="K25">
            <v>0.80895522388059704</v>
          </cell>
          <cell r="L25">
            <v>0.83060417843026535</v>
          </cell>
          <cell r="M25">
            <v>1487</v>
          </cell>
          <cell r="N25">
            <v>1549</v>
          </cell>
          <cell r="O25">
            <v>1617</v>
          </cell>
          <cell r="P25">
            <v>1546</v>
          </cell>
          <cell r="Q25">
            <v>1618</v>
          </cell>
          <cell r="R25">
            <v>1675</v>
          </cell>
          <cell r="S25">
            <v>1771</v>
          </cell>
          <cell r="T25">
            <v>1166</v>
          </cell>
          <cell r="U25">
            <v>1283</v>
          </cell>
          <cell r="V25">
            <v>1262</v>
          </cell>
          <cell r="W25">
            <v>1228</v>
          </cell>
          <cell r="X25">
            <v>1237</v>
          </cell>
          <cell r="Y25">
            <v>1355</v>
          </cell>
          <cell r="Z25">
            <v>1471</v>
          </cell>
        </row>
        <row r="26">
          <cell r="E26" t="str">
            <v>ULA</v>
          </cell>
          <cell r="F26">
            <v>0.77974683544303802</v>
          </cell>
          <cell r="G26">
            <v>0.85825545171339568</v>
          </cell>
          <cell r="H26">
            <v>0.78331090174966356</v>
          </cell>
          <cell r="I26">
            <v>0.80564971751412429</v>
          </cell>
          <cell r="J26">
            <v>0.83471074380165289</v>
          </cell>
          <cell r="K26">
            <v>0.81782566111655242</v>
          </cell>
          <cell r="L26">
            <v>0.80605564648117844</v>
          </cell>
          <cell r="M26">
            <v>790</v>
          </cell>
          <cell r="N26">
            <v>642</v>
          </cell>
          <cell r="O26">
            <v>743</v>
          </cell>
          <cell r="P26">
            <v>885</v>
          </cell>
          <cell r="Q26">
            <v>847</v>
          </cell>
          <cell r="R26">
            <v>1021</v>
          </cell>
          <cell r="S26">
            <v>1222</v>
          </cell>
          <cell r="T26">
            <v>616</v>
          </cell>
          <cell r="U26">
            <v>551</v>
          </cell>
          <cell r="V26">
            <v>582</v>
          </cell>
          <cell r="W26">
            <v>713</v>
          </cell>
          <cell r="X26">
            <v>707</v>
          </cell>
          <cell r="Y26">
            <v>835</v>
          </cell>
          <cell r="Z26">
            <v>985</v>
          </cell>
        </row>
        <row r="27">
          <cell r="E27" t="str">
            <v>MAG</v>
          </cell>
          <cell r="F27">
            <v>0.80842105263157893</v>
          </cell>
          <cell r="G27">
            <v>0.80090497737556565</v>
          </cell>
          <cell r="H27">
            <v>0.80991735537190079</v>
          </cell>
          <cell r="I27">
            <v>0.83542039355992848</v>
          </cell>
          <cell r="J27">
            <v>0.80059970014992499</v>
          </cell>
          <cell r="K27">
            <v>0.77181208053691275</v>
          </cell>
          <cell r="L27">
            <v>0.82597054886211507</v>
          </cell>
          <cell r="M27">
            <v>475</v>
          </cell>
          <cell r="N27">
            <v>442</v>
          </cell>
          <cell r="O27">
            <v>605</v>
          </cell>
          <cell r="P27">
            <v>559</v>
          </cell>
          <cell r="Q27">
            <v>667</v>
          </cell>
          <cell r="R27">
            <v>745</v>
          </cell>
          <cell r="S27">
            <v>747</v>
          </cell>
          <cell r="T27">
            <v>384</v>
          </cell>
          <cell r="U27">
            <v>354</v>
          </cell>
          <cell r="V27">
            <v>490</v>
          </cell>
          <cell r="W27">
            <v>467</v>
          </cell>
          <cell r="X27">
            <v>534</v>
          </cell>
          <cell r="Y27">
            <v>575</v>
          </cell>
          <cell r="Z27">
            <v>617</v>
          </cell>
        </row>
        <row r="28">
          <cell r="E28" t="str">
            <v>URO</v>
          </cell>
          <cell r="F28"/>
          <cell r="G28"/>
          <cell r="H28"/>
          <cell r="I28"/>
          <cell r="J28"/>
          <cell r="K28"/>
          <cell r="L28">
            <v>0.9056047197640118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339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307</v>
          </cell>
        </row>
        <row r="29">
          <cell r="E29" t="str">
            <v>UPA</v>
          </cell>
          <cell r="F29">
            <v>0.75848416289592757</v>
          </cell>
          <cell r="G29">
            <v>0.80068027210884352</v>
          </cell>
          <cell r="H29">
            <v>0.74563242487770787</v>
          </cell>
          <cell r="I29">
            <v>0.78206026629292225</v>
          </cell>
          <cell r="J29">
            <v>0.76256499133448874</v>
          </cell>
          <cell r="K29">
            <v>0.78789561354802884</v>
          </cell>
          <cell r="L29">
            <v>0.82081280788177335</v>
          </cell>
          <cell r="M29">
            <v>1768</v>
          </cell>
          <cell r="N29">
            <v>1470</v>
          </cell>
          <cell r="O29">
            <v>1431</v>
          </cell>
          <cell r="P29">
            <v>1427</v>
          </cell>
          <cell r="Q29">
            <v>1731</v>
          </cell>
          <cell r="R29">
            <v>1801</v>
          </cell>
          <cell r="S29">
            <v>1624</v>
          </cell>
          <cell r="T29">
            <v>1341</v>
          </cell>
          <cell r="U29">
            <v>1177</v>
          </cell>
          <cell r="V29">
            <v>1067</v>
          </cell>
          <cell r="W29">
            <v>1116</v>
          </cell>
          <cell r="X29">
            <v>1320</v>
          </cell>
          <cell r="Y29">
            <v>1419</v>
          </cell>
          <cell r="Z29">
            <v>1333</v>
          </cell>
        </row>
        <row r="30">
          <cell r="E30" t="str">
            <v>USA</v>
          </cell>
          <cell r="F30">
            <v>0.75928143712574847</v>
          </cell>
          <cell r="G30">
            <v>0.8294005966910768</v>
          </cell>
          <cell r="H30">
            <v>0.80099040544722999</v>
          </cell>
          <cell r="I30">
            <v>0.79994721562417526</v>
          </cell>
          <cell r="J30">
            <v>0.75778210116731515</v>
          </cell>
          <cell r="K30">
            <v>0.78988764044943816</v>
          </cell>
          <cell r="L30">
            <v>0.77579972183588319</v>
          </cell>
          <cell r="M30">
            <v>3340</v>
          </cell>
          <cell r="N30">
            <v>3687</v>
          </cell>
          <cell r="O30">
            <v>3231</v>
          </cell>
          <cell r="P30">
            <v>3789</v>
          </cell>
          <cell r="Q30">
            <v>4112</v>
          </cell>
          <cell r="R30">
            <v>3560</v>
          </cell>
          <cell r="S30">
            <v>3595</v>
          </cell>
          <cell r="T30">
            <v>2536</v>
          </cell>
          <cell r="U30">
            <v>3058</v>
          </cell>
          <cell r="V30">
            <v>2588</v>
          </cell>
          <cell r="W30">
            <v>3031</v>
          </cell>
          <cell r="X30">
            <v>3116</v>
          </cell>
          <cell r="Y30">
            <v>2812</v>
          </cell>
          <cell r="Z30">
            <v>2789</v>
          </cell>
        </row>
        <row r="31">
          <cell r="E31" t="str">
            <v>TAL</v>
          </cell>
          <cell r="F31">
            <v>0.83706563706563708</v>
          </cell>
          <cell r="G31">
            <v>0.86922209695603159</v>
          </cell>
          <cell r="H31">
            <v>0.86737035337310697</v>
          </cell>
          <cell r="I31">
            <v>0.86436781609195401</v>
          </cell>
          <cell r="J31">
            <v>0.85637149028077753</v>
          </cell>
          <cell r="K31">
            <v>0.85039787798408484</v>
          </cell>
          <cell r="L31">
            <v>0.84775808133472363</v>
          </cell>
          <cell r="M31">
            <v>1295</v>
          </cell>
          <cell r="N31">
            <v>1774</v>
          </cell>
          <cell r="O31">
            <v>2179</v>
          </cell>
          <cell r="P31">
            <v>1740</v>
          </cell>
          <cell r="Q31">
            <v>1852</v>
          </cell>
          <cell r="R31">
            <v>1885</v>
          </cell>
          <cell r="S31">
            <v>1918</v>
          </cell>
          <cell r="T31">
            <v>1084</v>
          </cell>
          <cell r="U31">
            <v>1542</v>
          </cell>
          <cell r="V31">
            <v>1890</v>
          </cell>
          <cell r="W31">
            <v>1504</v>
          </cell>
          <cell r="X31">
            <v>1586</v>
          </cell>
          <cell r="Y31">
            <v>1603</v>
          </cell>
          <cell r="Z31">
            <v>1626</v>
          </cell>
        </row>
        <row r="32">
          <cell r="E32" t="str">
            <v>UTA</v>
          </cell>
          <cell r="F32">
            <v>0.75819672131147542</v>
          </cell>
          <cell r="G32">
            <v>0.80529172320217102</v>
          </cell>
          <cell r="H32">
            <v>0.80484610347085794</v>
          </cell>
          <cell r="I32">
            <v>0.80867544539116964</v>
          </cell>
          <cell r="J32">
            <v>0.79753406878650224</v>
          </cell>
          <cell r="K32">
            <v>0.84</v>
          </cell>
          <cell r="L32">
            <v>0.83498759305210923</v>
          </cell>
          <cell r="M32">
            <v>1464</v>
          </cell>
          <cell r="N32">
            <v>1474</v>
          </cell>
          <cell r="O32">
            <v>1527</v>
          </cell>
          <cell r="P32">
            <v>1291</v>
          </cell>
          <cell r="Q32">
            <v>1541</v>
          </cell>
          <cell r="R32">
            <v>1625</v>
          </cell>
          <cell r="S32">
            <v>1612</v>
          </cell>
          <cell r="T32">
            <v>1110</v>
          </cell>
          <cell r="U32">
            <v>1187</v>
          </cell>
          <cell r="V32">
            <v>1229</v>
          </cell>
          <cell r="W32">
            <v>1044</v>
          </cell>
          <cell r="X32">
            <v>1229</v>
          </cell>
          <cell r="Y32">
            <v>1365</v>
          </cell>
          <cell r="Z32">
            <v>1346</v>
          </cell>
        </row>
        <row r="33">
          <cell r="E33" t="str">
            <v>UVA</v>
          </cell>
          <cell r="F33">
            <v>0.78507164278573804</v>
          </cell>
          <cell r="G33">
            <v>0.81516443361753954</v>
          </cell>
          <cell r="H33">
            <v>0.77999335327351282</v>
          </cell>
          <cell r="I33">
            <v>0.80624780624780623</v>
          </cell>
          <cell r="J33">
            <v>0.8253189401373896</v>
          </cell>
          <cell r="K33">
            <v>0.82230569199653281</v>
          </cell>
          <cell r="L33">
            <v>0.82138694638694643</v>
          </cell>
          <cell r="M33">
            <v>3001</v>
          </cell>
          <cell r="N33">
            <v>3284</v>
          </cell>
          <cell r="O33">
            <v>3009</v>
          </cell>
          <cell r="P33">
            <v>2849</v>
          </cell>
          <cell r="Q33">
            <v>3057</v>
          </cell>
          <cell r="R33">
            <v>3461</v>
          </cell>
          <cell r="S33">
            <v>3432</v>
          </cell>
          <cell r="T33">
            <v>2356</v>
          </cell>
          <cell r="U33">
            <v>2677</v>
          </cell>
          <cell r="V33">
            <v>2347</v>
          </cell>
          <cell r="W33">
            <v>2297</v>
          </cell>
          <cell r="X33">
            <v>2523</v>
          </cell>
          <cell r="Y33">
            <v>2846</v>
          </cell>
          <cell r="Z33">
            <v>2819</v>
          </cell>
        </row>
        <row r="34">
          <cell r="E34" t="str">
            <v>UBB</v>
          </cell>
          <cell r="F34">
            <v>0.8360352014821677</v>
          </cell>
          <cell r="G34">
            <v>0.88483412322274879</v>
          </cell>
          <cell r="H34">
            <v>0.86964206805125943</v>
          </cell>
          <cell r="I34">
            <v>0.85059101654846336</v>
          </cell>
          <cell r="J34">
            <v>0.8301476976542137</v>
          </cell>
          <cell r="K34">
            <v>0.86605182257356172</v>
          </cell>
          <cell r="L34">
            <v>0.84684300341296925</v>
          </cell>
          <cell r="M34">
            <v>2159</v>
          </cell>
          <cell r="N34">
            <v>2110</v>
          </cell>
          <cell r="O34">
            <v>2263</v>
          </cell>
          <cell r="P34">
            <v>2115</v>
          </cell>
          <cell r="Q34">
            <v>2302</v>
          </cell>
          <cell r="R34">
            <v>2277</v>
          </cell>
          <cell r="S34">
            <v>2344</v>
          </cell>
          <cell r="T34">
            <v>1805</v>
          </cell>
          <cell r="U34">
            <v>1867</v>
          </cell>
          <cell r="V34">
            <v>1968</v>
          </cell>
          <cell r="W34">
            <v>1799</v>
          </cell>
          <cell r="X34">
            <v>1911</v>
          </cell>
          <cell r="Y34">
            <v>1972</v>
          </cell>
          <cell r="Z34">
            <v>1985</v>
          </cell>
        </row>
        <row r="35">
          <cell r="E35" t="str">
            <v>UMC</v>
          </cell>
          <cell r="F35">
            <v>0.83911368015414256</v>
          </cell>
          <cell r="G35">
            <v>0.82190378710337764</v>
          </cell>
          <cell r="H35">
            <v>0.80499075785582253</v>
          </cell>
          <cell r="I35">
            <v>0.83524904214559392</v>
          </cell>
          <cell r="J35">
            <v>0.78898305084745768</v>
          </cell>
          <cell r="K35">
            <v>0.8230337078651685</v>
          </cell>
          <cell r="L35">
            <v>0.848294434470377</v>
          </cell>
          <cell r="M35">
            <v>1038</v>
          </cell>
          <cell r="N35">
            <v>977</v>
          </cell>
          <cell r="O35">
            <v>1082</v>
          </cell>
          <cell r="P35">
            <v>1044</v>
          </cell>
          <cell r="Q35">
            <v>1180</v>
          </cell>
          <cell r="R35">
            <v>1068</v>
          </cell>
          <cell r="S35">
            <v>1114</v>
          </cell>
          <cell r="T35">
            <v>871</v>
          </cell>
          <cell r="U35">
            <v>803</v>
          </cell>
          <cell r="V35">
            <v>871</v>
          </cell>
          <cell r="W35">
            <v>872</v>
          </cell>
          <cell r="X35">
            <v>931</v>
          </cell>
          <cell r="Y35">
            <v>879</v>
          </cell>
          <cell r="Z35">
            <v>945</v>
          </cell>
        </row>
        <row r="36">
          <cell r="E36" t="str">
            <v>FSM</v>
          </cell>
          <cell r="F36">
            <v>0.83163571000599157</v>
          </cell>
          <cell r="G36">
            <v>0.81988636363636369</v>
          </cell>
          <cell r="H36">
            <v>0.80307185957213389</v>
          </cell>
          <cell r="I36">
            <v>0.80010746910263297</v>
          </cell>
          <cell r="J36">
            <v>0.82059620596205962</v>
          </cell>
          <cell r="K36">
            <v>0.80020491803278693</v>
          </cell>
          <cell r="L36">
            <v>0.81988472622478381</v>
          </cell>
          <cell r="M36">
            <v>1669</v>
          </cell>
          <cell r="N36">
            <v>1760</v>
          </cell>
          <cell r="O36">
            <v>1823</v>
          </cell>
          <cell r="P36">
            <v>1861</v>
          </cell>
          <cell r="Q36">
            <v>1845</v>
          </cell>
          <cell r="R36">
            <v>1952</v>
          </cell>
          <cell r="S36">
            <v>2082</v>
          </cell>
          <cell r="T36">
            <v>1388</v>
          </cell>
          <cell r="U36">
            <v>1443</v>
          </cell>
          <cell r="V36">
            <v>1464</v>
          </cell>
          <cell r="W36">
            <v>1489</v>
          </cell>
          <cell r="X36">
            <v>1514</v>
          </cell>
          <cell r="Y36">
            <v>1562</v>
          </cell>
          <cell r="Z36">
            <v>1707</v>
          </cell>
        </row>
        <row r="37">
          <cell r="E37" t="str">
            <v>UTM</v>
          </cell>
          <cell r="F37">
            <v>0.75558099599313111</v>
          </cell>
          <cell r="G37">
            <v>0.70790816326530615</v>
          </cell>
          <cell r="H37">
            <v>0.73997709049255445</v>
          </cell>
          <cell r="I37">
            <v>0.80552546045503792</v>
          </cell>
          <cell r="J37">
            <v>0.80574488802336908</v>
          </cell>
          <cell r="K37">
            <v>0.75210643015521061</v>
          </cell>
          <cell r="L37">
            <v>0.81192438196800776</v>
          </cell>
          <cell r="M37">
            <v>1747</v>
          </cell>
          <cell r="N37">
            <v>1568</v>
          </cell>
          <cell r="O37">
            <v>1746</v>
          </cell>
          <cell r="P37">
            <v>1846</v>
          </cell>
          <cell r="Q37">
            <v>2054</v>
          </cell>
          <cell r="R37">
            <v>2255</v>
          </cell>
          <cell r="S37">
            <v>2063</v>
          </cell>
          <cell r="T37">
            <v>1320</v>
          </cell>
          <cell r="U37">
            <v>1110</v>
          </cell>
          <cell r="V37">
            <v>1292</v>
          </cell>
          <cell r="W37">
            <v>1487</v>
          </cell>
          <cell r="X37">
            <v>1655</v>
          </cell>
          <cell r="Y37">
            <v>1696</v>
          </cell>
          <cell r="Z37">
            <v>1675</v>
          </cell>
        </row>
      </sheetData>
      <sheetData sheetId="7">
        <row r="11">
          <cell r="D11" t="str">
            <v>PUC</v>
          </cell>
          <cell r="E11">
            <v>0.79674993936454042</v>
          </cell>
          <cell r="F11">
            <v>0.77154356060606055</v>
          </cell>
          <cell r="G11">
            <v>0.76631330977620726</v>
          </cell>
          <cell r="H11">
            <v>0.74095895977245019</v>
          </cell>
          <cell r="I11">
            <v>0.75014403687343956</v>
          </cell>
          <cell r="J11">
            <v>0.75529457065845207</v>
          </cell>
          <cell r="K11">
            <v>0.75730550284629983</v>
          </cell>
          <cell r="L11">
            <v>4123</v>
          </cell>
          <cell r="M11">
            <v>4224</v>
          </cell>
          <cell r="N11">
            <v>4245</v>
          </cell>
          <cell r="O11">
            <v>4922</v>
          </cell>
          <cell r="P11">
            <v>5207</v>
          </cell>
          <cell r="Q11">
            <v>5194</v>
          </cell>
          <cell r="R11">
            <v>5270</v>
          </cell>
          <cell r="S11">
            <v>3285</v>
          </cell>
          <cell r="T11">
            <v>3259</v>
          </cell>
          <cell r="U11">
            <v>3253</v>
          </cell>
          <cell r="V11">
            <v>3647</v>
          </cell>
          <cell r="W11">
            <v>3906</v>
          </cell>
          <cell r="X11">
            <v>3923</v>
          </cell>
        </row>
        <row r="12">
          <cell r="D12" t="str">
            <v>UCV</v>
          </cell>
          <cell r="E12">
            <v>0.59649122807017541</v>
          </cell>
          <cell r="F12">
            <v>0.59691998660863743</v>
          </cell>
          <cell r="G12">
            <v>0.5578813828100222</v>
          </cell>
          <cell r="H12">
            <v>0.57996661101836389</v>
          </cell>
          <cell r="I12">
            <v>0.57053682896379521</v>
          </cell>
          <cell r="J12">
            <v>0.60974086793630966</v>
          </cell>
          <cell r="K12">
            <v>0.65</v>
          </cell>
          <cell r="L12">
            <v>2964</v>
          </cell>
          <cell r="M12">
            <v>2987</v>
          </cell>
          <cell r="N12">
            <v>3153</v>
          </cell>
          <cell r="O12">
            <v>2995</v>
          </cell>
          <cell r="P12">
            <v>3204</v>
          </cell>
          <cell r="Q12">
            <v>3203</v>
          </cell>
          <cell r="R12">
            <v>3180</v>
          </cell>
          <cell r="S12">
            <v>1768</v>
          </cell>
          <cell r="T12">
            <v>1783</v>
          </cell>
          <cell r="U12">
            <v>1759</v>
          </cell>
          <cell r="V12">
            <v>1737</v>
          </cell>
          <cell r="W12">
            <v>1828</v>
          </cell>
          <cell r="X12">
            <v>1953</v>
          </cell>
        </row>
        <row r="13">
          <cell r="D13" t="str">
            <v>UAP</v>
          </cell>
          <cell r="E13">
            <v>0.42909625275532698</v>
          </cell>
          <cell r="F13">
            <v>0.52417061611374405</v>
          </cell>
          <cell r="G13">
            <v>0.48810656517602286</v>
          </cell>
          <cell r="H13">
            <v>0.5701402805611222</v>
          </cell>
          <cell r="I13">
            <v>0.5826446280991735</v>
          </cell>
          <cell r="J13">
            <v>0.62112403100775193</v>
          </cell>
          <cell r="K13">
            <v>0.57729729729729728</v>
          </cell>
          <cell r="L13">
            <v>1361</v>
          </cell>
          <cell r="M13">
            <v>1055</v>
          </cell>
          <cell r="N13">
            <v>1051</v>
          </cell>
          <cell r="O13">
            <v>998</v>
          </cell>
          <cell r="P13">
            <v>968</v>
          </cell>
          <cell r="Q13">
            <v>1032</v>
          </cell>
          <cell r="R13">
            <v>925</v>
          </cell>
          <cell r="S13">
            <v>584</v>
          </cell>
          <cell r="T13">
            <v>553</v>
          </cell>
          <cell r="U13">
            <v>513</v>
          </cell>
          <cell r="V13">
            <v>569</v>
          </cell>
          <cell r="W13">
            <v>564</v>
          </cell>
          <cell r="X13">
            <v>641</v>
          </cell>
        </row>
        <row r="14">
          <cell r="D14" t="str">
            <v>AUS</v>
          </cell>
          <cell r="E14">
            <v>0.6459459459459459</v>
          </cell>
          <cell r="F14">
            <v>0.63734076433121023</v>
          </cell>
          <cell r="G14">
            <v>0.63039253789350957</v>
          </cell>
          <cell r="H14">
            <v>0.62969211303247574</v>
          </cell>
          <cell r="I14">
            <v>0.66172656539459063</v>
          </cell>
          <cell r="J14">
            <v>0.67527272727272725</v>
          </cell>
          <cell r="K14">
            <v>0.67984869325997244</v>
          </cell>
          <cell r="L14">
            <v>2220</v>
          </cell>
          <cell r="M14">
            <v>2512</v>
          </cell>
          <cell r="N14">
            <v>2573</v>
          </cell>
          <cell r="O14">
            <v>2371</v>
          </cell>
          <cell r="P14">
            <v>2699</v>
          </cell>
          <cell r="Q14">
            <v>2750</v>
          </cell>
          <cell r="R14">
            <v>2908</v>
          </cell>
          <cell r="S14">
            <v>1434</v>
          </cell>
          <cell r="T14">
            <v>1601</v>
          </cell>
          <cell r="U14">
            <v>1622</v>
          </cell>
          <cell r="V14">
            <v>1493</v>
          </cell>
          <cell r="W14">
            <v>1786</v>
          </cell>
          <cell r="X14">
            <v>1857</v>
          </cell>
        </row>
        <row r="15">
          <cell r="D15" t="str">
            <v>USC</v>
          </cell>
          <cell r="E15">
            <v>0.73894609327680194</v>
          </cell>
          <cell r="F15">
            <v>0.72203579418344521</v>
          </cell>
          <cell r="G15">
            <v>0.68609125893347989</v>
          </cell>
          <cell r="H15">
            <v>0.68763326226012789</v>
          </cell>
          <cell r="I15">
            <v>0.70404777704047772</v>
          </cell>
          <cell r="J15">
            <v>0.70962099125364431</v>
          </cell>
          <cell r="K15">
            <v>0.72696629213483144</v>
          </cell>
          <cell r="L15">
            <v>1651</v>
          </cell>
          <cell r="M15">
            <v>1788</v>
          </cell>
          <cell r="N15">
            <v>1819</v>
          </cell>
          <cell r="O15">
            <v>1876</v>
          </cell>
          <cell r="P15">
            <v>1507</v>
          </cell>
          <cell r="Q15">
            <v>1715</v>
          </cell>
          <cell r="R15">
            <v>1780</v>
          </cell>
          <cell r="S15">
            <v>1220</v>
          </cell>
          <cell r="T15">
            <v>1291</v>
          </cell>
          <cell r="U15">
            <v>1248</v>
          </cell>
          <cell r="V15">
            <v>1290</v>
          </cell>
          <cell r="W15">
            <v>1061</v>
          </cell>
          <cell r="X15">
            <v>1217</v>
          </cell>
        </row>
        <row r="16">
          <cell r="D16" t="str">
            <v>UCT</v>
          </cell>
          <cell r="E16">
            <v>0.64031382015691007</v>
          </cell>
          <cell r="F16">
            <v>0.56772334293948123</v>
          </cell>
          <cell r="G16">
            <v>0.58519900497512434</v>
          </cell>
          <cell r="H16">
            <v>0.63934426229508201</v>
          </cell>
          <cell r="I16">
            <v>0.65571975916803504</v>
          </cell>
          <cell r="J16">
            <v>0.67000589275191513</v>
          </cell>
          <cell r="K16">
            <v>0.66531322505800461</v>
          </cell>
          <cell r="L16">
            <v>1657</v>
          </cell>
          <cell r="M16">
            <v>1735</v>
          </cell>
          <cell r="N16">
            <v>1608</v>
          </cell>
          <cell r="O16">
            <v>1647</v>
          </cell>
          <cell r="P16">
            <v>1827</v>
          </cell>
          <cell r="Q16">
            <v>1697</v>
          </cell>
          <cell r="R16">
            <v>1724</v>
          </cell>
          <cell r="S16">
            <v>1061</v>
          </cell>
          <cell r="T16">
            <v>985</v>
          </cell>
          <cell r="U16">
            <v>941</v>
          </cell>
          <cell r="V16">
            <v>1053</v>
          </cell>
          <cell r="W16">
            <v>1198</v>
          </cell>
          <cell r="X16">
            <v>1137</v>
          </cell>
        </row>
        <row r="17">
          <cell r="D17" t="str">
            <v>UCM</v>
          </cell>
          <cell r="E17">
            <v>0.7963496637848223</v>
          </cell>
          <cell r="F17">
            <v>0.80956678700361007</v>
          </cell>
          <cell r="G17">
            <v>0.75880971025841815</v>
          </cell>
          <cell r="H17">
            <v>0.77064220183486243</v>
          </cell>
          <cell r="I17">
            <v>0.73314993122420913</v>
          </cell>
          <cell r="J17">
            <v>0.72841328413284134</v>
          </cell>
          <cell r="K17">
            <v>0.77353149327671622</v>
          </cell>
          <cell r="L17">
            <v>1041</v>
          </cell>
          <cell r="M17">
            <v>1108</v>
          </cell>
          <cell r="N17">
            <v>1277</v>
          </cell>
          <cell r="O17">
            <v>1308</v>
          </cell>
          <cell r="P17">
            <v>1454</v>
          </cell>
          <cell r="Q17">
            <v>1355</v>
          </cell>
          <cell r="R17">
            <v>1413</v>
          </cell>
          <cell r="S17">
            <v>829</v>
          </cell>
          <cell r="T17">
            <v>897</v>
          </cell>
          <cell r="U17">
            <v>969</v>
          </cell>
          <cell r="V17">
            <v>1008</v>
          </cell>
          <cell r="W17">
            <v>1066</v>
          </cell>
          <cell r="X17">
            <v>987</v>
          </cell>
        </row>
        <row r="18">
          <cell r="D18" t="str">
            <v>UCN</v>
          </cell>
          <cell r="E18">
            <v>0.58977272727272723</v>
          </cell>
          <cell r="F18">
            <v>0.64413722478238611</v>
          </cell>
          <cell r="G18">
            <v>0.58383727322704781</v>
          </cell>
          <cell r="H18">
            <v>0.64928366762177647</v>
          </cell>
          <cell r="I18">
            <v>0.65508298755186722</v>
          </cell>
          <cell r="J18">
            <v>0.65231259968102073</v>
          </cell>
          <cell r="K18">
            <v>0.56695741405849154</v>
          </cell>
          <cell r="L18">
            <v>1760</v>
          </cell>
          <cell r="M18">
            <v>1953</v>
          </cell>
          <cell r="N18">
            <v>1819</v>
          </cell>
          <cell r="O18">
            <v>1745</v>
          </cell>
          <cell r="P18">
            <v>1928</v>
          </cell>
          <cell r="Q18">
            <v>1881</v>
          </cell>
          <cell r="R18">
            <v>1949</v>
          </cell>
          <cell r="S18">
            <v>1038</v>
          </cell>
          <cell r="T18">
            <v>1258</v>
          </cell>
          <cell r="U18">
            <v>1062</v>
          </cell>
          <cell r="V18">
            <v>1133</v>
          </cell>
          <cell r="W18">
            <v>1263</v>
          </cell>
          <cell r="X18">
            <v>1227</v>
          </cell>
        </row>
        <row r="19">
          <cell r="D19" t="str">
            <v>ANT</v>
          </cell>
          <cell r="E19">
            <v>0.63561417971970324</v>
          </cell>
          <cell r="F19">
            <v>0.65701559020044542</v>
          </cell>
          <cell r="G19">
            <v>0.66585067319461444</v>
          </cell>
          <cell r="H19">
            <v>0.68436873747494986</v>
          </cell>
          <cell r="I19">
            <v>0.61865189289012001</v>
          </cell>
          <cell r="J19">
            <v>0.66579177602799655</v>
          </cell>
          <cell r="K19">
            <v>0.65164644714038134</v>
          </cell>
          <cell r="L19">
            <v>1213</v>
          </cell>
          <cell r="M19">
            <v>898</v>
          </cell>
          <cell r="N19">
            <v>817</v>
          </cell>
          <cell r="O19">
            <v>998</v>
          </cell>
          <cell r="P19">
            <v>1083</v>
          </cell>
          <cell r="Q19">
            <v>1143</v>
          </cell>
          <cell r="R19">
            <v>1154</v>
          </cell>
          <cell r="S19">
            <v>771</v>
          </cell>
          <cell r="T19">
            <v>590</v>
          </cell>
          <cell r="U19">
            <v>544</v>
          </cell>
          <cell r="V19">
            <v>683</v>
          </cell>
          <cell r="W19">
            <v>670</v>
          </cell>
          <cell r="X19">
            <v>761</v>
          </cell>
        </row>
        <row r="20">
          <cell r="D20" t="str">
            <v>ATA</v>
          </cell>
          <cell r="E20">
            <v>0.44983089064261556</v>
          </cell>
          <cell r="F20">
            <v>0.46313065976714102</v>
          </cell>
          <cell r="G20">
            <v>0.51892744479495267</v>
          </cell>
          <cell r="H20">
            <v>0.44314868804664725</v>
          </cell>
          <cell r="I20">
            <v>0.52705410821643284</v>
          </cell>
          <cell r="J20">
            <v>0.53543307086614178</v>
          </cell>
          <cell r="K20">
            <v>0.5810276679841897</v>
          </cell>
          <cell r="L20">
            <v>887</v>
          </cell>
          <cell r="M20">
            <v>773</v>
          </cell>
          <cell r="N20">
            <v>634</v>
          </cell>
          <cell r="O20">
            <v>686</v>
          </cell>
          <cell r="P20">
            <v>998</v>
          </cell>
          <cell r="Q20">
            <v>1016</v>
          </cell>
          <cell r="R20">
            <v>1012</v>
          </cell>
          <cell r="S20">
            <v>399</v>
          </cell>
          <cell r="T20">
            <v>358</v>
          </cell>
          <cell r="U20">
            <v>329</v>
          </cell>
          <cell r="V20">
            <v>304</v>
          </cell>
          <cell r="W20">
            <v>526</v>
          </cell>
          <cell r="X20">
            <v>544</v>
          </cell>
        </row>
        <row r="21">
          <cell r="D21" t="str">
            <v>UCH</v>
          </cell>
          <cell r="E21">
            <v>0.77357237715803451</v>
          </cell>
          <cell r="F21">
            <v>0.68979980934223073</v>
          </cell>
          <cell r="G21">
            <v>0.70239198961616911</v>
          </cell>
          <cell r="H21">
            <v>0.71343045300339258</v>
          </cell>
          <cell r="I21">
            <v>0.72421652421652427</v>
          </cell>
          <cell r="J21">
            <v>0.73257061136932422</v>
          </cell>
          <cell r="K21">
            <v>0.71918743598497781</v>
          </cell>
          <cell r="L21">
            <v>4518</v>
          </cell>
          <cell r="M21">
            <v>5245</v>
          </cell>
          <cell r="N21">
            <v>5393</v>
          </cell>
          <cell r="O21">
            <v>5011</v>
          </cell>
          <cell r="P21">
            <v>5265</v>
          </cell>
          <cell r="Q21">
            <v>5594</v>
          </cell>
          <cell r="R21">
            <v>5858</v>
          </cell>
          <cell r="S21">
            <v>3495</v>
          </cell>
          <cell r="T21">
            <v>3618</v>
          </cell>
          <cell r="U21">
            <v>3788</v>
          </cell>
          <cell r="V21">
            <v>3575</v>
          </cell>
          <cell r="W21">
            <v>3813</v>
          </cell>
          <cell r="X21">
            <v>4098</v>
          </cell>
        </row>
        <row r="22">
          <cell r="D22" t="str">
            <v>UCO</v>
          </cell>
          <cell r="E22">
            <v>0.65728666209105469</v>
          </cell>
          <cell r="F22">
            <v>0.65969345484672748</v>
          </cell>
          <cell r="G22">
            <v>0.65565736202855318</v>
          </cell>
          <cell r="H22">
            <v>0.65961497778718003</v>
          </cell>
          <cell r="I22">
            <v>0.67094188376753505</v>
          </cell>
          <cell r="J22">
            <v>0.65908124202467033</v>
          </cell>
          <cell r="K22">
            <v>0.66556632968846707</v>
          </cell>
          <cell r="L22">
            <v>4371</v>
          </cell>
          <cell r="M22">
            <v>4828</v>
          </cell>
          <cell r="N22">
            <v>4693</v>
          </cell>
          <cell r="O22">
            <v>4727</v>
          </cell>
          <cell r="P22">
            <v>4990</v>
          </cell>
          <cell r="Q22">
            <v>4702</v>
          </cell>
          <cell r="R22">
            <v>4847</v>
          </cell>
          <cell r="S22">
            <v>2873</v>
          </cell>
          <cell r="T22">
            <v>3185</v>
          </cell>
          <cell r="U22">
            <v>3077</v>
          </cell>
          <cell r="V22">
            <v>3118</v>
          </cell>
          <cell r="W22">
            <v>3348</v>
          </cell>
          <cell r="X22">
            <v>3099</v>
          </cell>
        </row>
        <row r="23">
          <cell r="D23" t="str">
            <v>FRO</v>
          </cell>
          <cell r="E23">
            <v>0.70175438596491224</v>
          </cell>
          <cell r="F23">
            <v>0.66843220338983056</v>
          </cell>
          <cell r="G23">
            <v>0.64093959731543626</v>
          </cell>
          <cell r="H23">
            <v>0.66393022062596208</v>
          </cell>
          <cell r="I23">
            <v>0.63789581205311541</v>
          </cell>
          <cell r="J23">
            <v>0.63506355932203384</v>
          </cell>
          <cell r="K23">
            <v>0.63591756624141316</v>
          </cell>
          <cell r="L23">
            <v>1710</v>
          </cell>
          <cell r="M23">
            <v>1888</v>
          </cell>
          <cell r="N23">
            <v>1788</v>
          </cell>
          <cell r="O23">
            <v>1949</v>
          </cell>
          <cell r="P23">
            <v>1958</v>
          </cell>
          <cell r="Q23">
            <v>1888</v>
          </cell>
          <cell r="R23">
            <v>2038</v>
          </cell>
          <cell r="S23">
            <v>1200</v>
          </cell>
          <cell r="T23">
            <v>1262</v>
          </cell>
          <cell r="U23">
            <v>1146</v>
          </cell>
          <cell r="V23">
            <v>1294</v>
          </cell>
          <cell r="W23">
            <v>1249</v>
          </cell>
          <cell r="X23">
            <v>1199</v>
          </cell>
        </row>
        <row r="24">
          <cell r="D24" t="str">
            <v>ULS</v>
          </cell>
          <cell r="E24">
            <v>0.64012944983818765</v>
          </cell>
          <cell r="F24">
            <v>0.61448140900195691</v>
          </cell>
          <cell r="G24">
            <v>0.58439811701412236</v>
          </cell>
          <cell r="H24">
            <v>0.61419354838709672</v>
          </cell>
          <cell r="I24">
            <v>0.59616573902288184</v>
          </cell>
          <cell r="J24">
            <v>0.60672703751617074</v>
          </cell>
          <cell r="K24">
            <v>0.59270704573547595</v>
          </cell>
          <cell r="L24">
            <v>1545</v>
          </cell>
          <cell r="M24">
            <v>1533</v>
          </cell>
          <cell r="N24">
            <v>1487</v>
          </cell>
          <cell r="O24">
            <v>1550</v>
          </cell>
          <cell r="P24">
            <v>1617</v>
          </cell>
          <cell r="Q24">
            <v>1546</v>
          </cell>
          <cell r="R24">
            <v>1618</v>
          </cell>
          <cell r="S24">
            <v>989</v>
          </cell>
          <cell r="T24">
            <v>942</v>
          </cell>
          <cell r="U24">
            <v>869</v>
          </cell>
          <cell r="V24">
            <v>952</v>
          </cell>
          <cell r="W24">
            <v>964</v>
          </cell>
          <cell r="X24">
            <v>938</v>
          </cell>
        </row>
        <row r="25">
          <cell r="D25" t="str">
            <v>ULA</v>
          </cell>
          <cell r="E25">
            <v>0.62439024390243902</v>
          </cell>
          <cell r="F25">
            <v>0.62425149700598803</v>
          </cell>
          <cell r="G25">
            <v>0.61742424242424243</v>
          </cell>
          <cell r="H25">
            <v>0.66614664586583461</v>
          </cell>
          <cell r="I25">
            <v>0.60699865410497977</v>
          </cell>
          <cell r="J25">
            <v>0.62669683257918551</v>
          </cell>
          <cell r="K25">
            <v>0.64565992865636146</v>
          </cell>
          <cell r="L25">
            <v>820</v>
          </cell>
          <cell r="M25">
            <v>668</v>
          </cell>
          <cell r="N25">
            <v>792</v>
          </cell>
          <cell r="O25">
            <v>641</v>
          </cell>
          <cell r="P25">
            <v>743</v>
          </cell>
          <cell r="Q25">
            <v>884</v>
          </cell>
          <cell r="R25">
            <v>841</v>
          </cell>
          <cell r="S25">
            <v>512</v>
          </cell>
          <cell r="T25">
            <v>417</v>
          </cell>
          <cell r="U25">
            <v>489</v>
          </cell>
          <cell r="V25">
            <v>427</v>
          </cell>
          <cell r="W25">
            <v>451</v>
          </cell>
          <cell r="X25">
            <v>554</v>
          </cell>
        </row>
        <row r="26">
          <cell r="D26" t="str">
            <v>MAG</v>
          </cell>
          <cell r="E26">
            <v>0.6216216216216216</v>
          </cell>
          <cell r="F26">
            <v>0.60493827160493829</v>
          </cell>
          <cell r="G26">
            <v>0.63779527559055116</v>
          </cell>
          <cell r="H26">
            <v>0.63452914798206284</v>
          </cell>
          <cell r="I26">
            <v>0.59834710743801656</v>
          </cell>
          <cell r="J26">
            <v>0.67799642218246869</v>
          </cell>
          <cell r="K26">
            <v>0.6107784431137725</v>
          </cell>
          <cell r="L26">
            <v>666</v>
          </cell>
          <cell r="M26">
            <v>648</v>
          </cell>
          <cell r="N26">
            <v>508</v>
          </cell>
          <cell r="O26">
            <v>446</v>
          </cell>
          <cell r="P26">
            <v>605</v>
          </cell>
          <cell r="Q26">
            <v>559</v>
          </cell>
          <cell r="R26">
            <v>668</v>
          </cell>
          <cell r="S26">
            <v>414</v>
          </cell>
          <cell r="T26">
            <v>392</v>
          </cell>
          <cell r="U26">
            <v>324</v>
          </cell>
          <cell r="V26">
            <v>283</v>
          </cell>
          <cell r="W26">
            <v>362</v>
          </cell>
          <cell r="X26">
            <v>379</v>
          </cell>
        </row>
        <row r="27">
          <cell r="D27" t="str">
            <v>UPA</v>
          </cell>
          <cell r="E27">
            <v>0.63931623931623927</v>
          </cell>
          <cell r="F27">
            <v>0.64087193460490466</v>
          </cell>
          <cell r="G27">
            <v>0.59954751131221717</v>
          </cell>
          <cell r="H27">
            <v>0.59619306594153632</v>
          </cell>
          <cell r="I27">
            <v>0.55097765363128492</v>
          </cell>
          <cell r="J27">
            <v>0.59623430962343094</v>
          </cell>
          <cell r="K27">
            <v>0.64819136522753795</v>
          </cell>
          <cell r="L27">
            <v>1755</v>
          </cell>
          <cell r="M27">
            <v>1835</v>
          </cell>
          <cell r="N27">
            <v>1768</v>
          </cell>
          <cell r="O27">
            <v>1471</v>
          </cell>
          <cell r="P27">
            <v>1432</v>
          </cell>
          <cell r="Q27">
            <v>1434</v>
          </cell>
          <cell r="R27">
            <v>1714</v>
          </cell>
          <cell r="S27">
            <v>1122</v>
          </cell>
          <cell r="T27">
            <v>1176</v>
          </cell>
          <cell r="U27">
            <v>1060</v>
          </cell>
          <cell r="V27">
            <v>877</v>
          </cell>
          <cell r="W27">
            <v>789</v>
          </cell>
          <cell r="X27">
            <v>855</v>
          </cell>
        </row>
        <row r="28">
          <cell r="D28" t="str">
            <v>USA</v>
          </cell>
          <cell r="E28">
            <v>0.71329365079365081</v>
          </cell>
          <cell r="F28">
            <v>0.68065573770491805</v>
          </cell>
          <cell r="G28">
            <v>0.55658682634730539</v>
          </cell>
          <cell r="H28">
            <v>0.62788823213326173</v>
          </cell>
          <cell r="I28">
            <v>0.61633663366336633</v>
          </cell>
          <cell r="J28">
            <v>0.5958289334741288</v>
          </cell>
          <cell r="K28">
            <v>0.58877786318216752</v>
          </cell>
          <cell r="L28">
            <v>3024</v>
          </cell>
          <cell r="M28">
            <v>3050</v>
          </cell>
          <cell r="N28">
            <v>3340</v>
          </cell>
          <cell r="O28">
            <v>3722</v>
          </cell>
          <cell r="P28">
            <v>3232</v>
          </cell>
          <cell r="Q28">
            <v>3788</v>
          </cell>
          <cell r="R28">
            <v>3903</v>
          </cell>
          <cell r="S28">
            <v>2157</v>
          </cell>
          <cell r="T28">
            <v>2076</v>
          </cell>
          <cell r="U28">
            <v>1859</v>
          </cell>
          <cell r="V28">
            <v>2337</v>
          </cell>
          <cell r="W28">
            <v>1992</v>
          </cell>
          <cell r="X28">
            <v>2257</v>
          </cell>
        </row>
        <row r="29">
          <cell r="D29" t="str">
            <v>TAL</v>
          </cell>
          <cell r="E29">
            <v>0.76491732566498927</v>
          </cell>
          <cell r="F29">
            <v>0.7556596409055425</v>
          </cell>
          <cell r="G29">
            <v>0.70656370656370659</v>
          </cell>
          <cell r="H29">
            <v>0.70518602029312294</v>
          </cell>
          <cell r="I29">
            <v>0.71880733944954134</v>
          </cell>
          <cell r="J29">
            <v>0.7183908045977011</v>
          </cell>
          <cell r="K29">
            <v>0.74460043196544279</v>
          </cell>
          <cell r="L29">
            <v>1391</v>
          </cell>
          <cell r="M29">
            <v>1281</v>
          </cell>
          <cell r="N29">
            <v>1295</v>
          </cell>
          <cell r="O29">
            <v>1774</v>
          </cell>
          <cell r="P29">
            <v>2180</v>
          </cell>
          <cell r="Q29">
            <v>1740</v>
          </cell>
          <cell r="R29">
            <v>1852</v>
          </cell>
          <cell r="S29">
            <v>1064</v>
          </cell>
          <cell r="T29">
            <v>968</v>
          </cell>
          <cell r="U29">
            <v>915</v>
          </cell>
          <cell r="V29">
            <v>1251</v>
          </cell>
          <cell r="W29">
            <v>1567</v>
          </cell>
          <cell r="X29">
            <v>1250</v>
          </cell>
        </row>
        <row r="30">
          <cell r="D30" t="str">
            <v>UTA</v>
          </cell>
          <cell r="E30">
            <v>0.62388724035608312</v>
          </cell>
          <cell r="F30">
            <v>0.59766963673749141</v>
          </cell>
          <cell r="G30">
            <v>0.63847203274215547</v>
          </cell>
          <cell r="H30">
            <v>0.70169491525423733</v>
          </cell>
          <cell r="I30">
            <v>0.63040629095674972</v>
          </cell>
          <cell r="J30">
            <v>0.62819519752130126</v>
          </cell>
          <cell r="K30">
            <v>0.61081081081081079</v>
          </cell>
          <cell r="L30">
            <v>1348</v>
          </cell>
          <cell r="M30">
            <v>1459</v>
          </cell>
          <cell r="N30">
            <v>1466</v>
          </cell>
          <cell r="O30">
            <v>1475</v>
          </cell>
          <cell r="P30">
            <v>1526</v>
          </cell>
          <cell r="Q30">
            <v>1291</v>
          </cell>
          <cell r="R30">
            <v>1480</v>
          </cell>
          <cell r="S30">
            <v>841</v>
          </cell>
          <cell r="T30">
            <v>872</v>
          </cell>
          <cell r="U30">
            <v>936</v>
          </cell>
          <cell r="V30">
            <v>1035</v>
          </cell>
          <cell r="W30">
            <v>962</v>
          </cell>
          <cell r="X30">
            <v>811</v>
          </cell>
        </row>
        <row r="31">
          <cell r="D31" t="str">
            <v>UVA</v>
          </cell>
          <cell r="E31">
            <v>0.67007402185407117</v>
          </cell>
          <cell r="F31">
            <v>0.6637140145523569</v>
          </cell>
          <cell r="G31">
            <v>0.64890073284477012</v>
          </cell>
          <cell r="H31">
            <v>0.64079147640791478</v>
          </cell>
          <cell r="I31">
            <v>0.62412761714855436</v>
          </cell>
          <cell r="J31">
            <v>0.65015806111696528</v>
          </cell>
          <cell r="K31">
            <v>0.67136304062909569</v>
          </cell>
          <cell r="L31">
            <v>2837</v>
          </cell>
          <cell r="M31">
            <v>3161</v>
          </cell>
          <cell r="N31">
            <v>3002</v>
          </cell>
          <cell r="O31">
            <v>3285</v>
          </cell>
          <cell r="P31">
            <v>3009</v>
          </cell>
          <cell r="Q31">
            <v>2847</v>
          </cell>
          <cell r="R31">
            <v>3052</v>
          </cell>
          <cell r="S31">
            <v>1901</v>
          </cell>
          <cell r="T31">
            <v>2098</v>
          </cell>
          <cell r="U31">
            <v>1948</v>
          </cell>
          <cell r="V31">
            <v>2105</v>
          </cell>
          <cell r="W31">
            <v>1878</v>
          </cell>
          <cell r="X31">
            <v>1851</v>
          </cell>
        </row>
        <row r="32">
          <cell r="D32" t="str">
            <v>UBB</v>
          </cell>
          <cell r="E32">
            <v>0.71873589164785556</v>
          </cell>
          <cell r="F32">
            <v>0.76222826086956519</v>
          </cell>
          <cell r="G32">
            <v>0.72163038443723948</v>
          </cell>
          <cell r="H32">
            <v>0.7530805687203791</v>
          </cell>
          <cell r="I32">
            <v>0.73044631020768891</v>
          </cell>
          <cell r="J32">
            <v>0.70874704491725771</v>
          </cell>
          <cell r="K32">
            <v>0.70805812417437253</v>
          </cell>
          <cell r="L32">
            <v>2215</v>
          </cell>
          <cell r="M32">
            <v>2208</v>
          </cell>
          <cell r="N32">
            <v>2159</v>
          </cell>
          <cell r="O32">
            <v>2110</v>
          </cell>
          <cell r="P32">
            <v>2263</v>
          </cell>
          <cell r="Q32">
            <v>2115</v>
          </cell>
          <cell r="R32">
            <v>2271</v>
          </cell>
          <cell r="S32">
            <v>1592</v>
          </cell>
          <cell r="T32">
            <v>1683</v>
          </cell>
          <cell r="U32">
            <v>1558</v>
          </cell>
          <cell r="V32">
            <v>1589</v>
          </cell>
          <cell r="W32">
            <v>1653</v>
          </cell>
          <cell r="X32">
            <v>1499</v>
          </cell>
        </row>
        <row r="33">
          <cell r="D33" t="str">
            <v>UMC</v>
          </cell>
          <cell r="E33">
            <v>0.70460959548447788</v>
          </cell>
          <cell r="F33">
            <v>0.64579256360078274</v>
          </cell>
          <cell r="G33">
            <v>0.65895953757225434</v>
          </cell>
          <cell r="H33">
            <v>0.63561924257932445</v>
          </cell>
          <cell r="I33">
            <v>0.60351201478743066</v>
          </cell>
          <cell r="J33">
            <v>0.64176245210727967</v>
          </cell>
          <cell r="K33">
            <v>0.55785837651122627</v>
          </cell>
          <cell r="L33">
            <v>1063</v>
          </cell>
          <cell r="M33">
            <v>1022</v>
          </cell>
          <cell r="N33">
            <v>1038</v>
          </cell>
          <cell r="O33">
            <v>977</v>
          </cell>
          <cell r="P33">
            <v>1082</v>
          </cell>
          <cell r="Q33">
            <v>1044</v>
          </cell>
          <cell r="R33">
            <v>1158</v>
          </cell>
          <cell r="S33">
            <v>749</v>
          </cell>
          <cell r="T33">
            <v>660</v>
          </cell>
          <cell r="U33">
            <v>684</v>
          </cell>
          <cell r="V33">
            <v>621</v>
          </cell>
          <cell r="W33">
            <v>653</v>
          </cell>
          <cell r="X33">
            <v>670</v>
          </cell>
        </row>
        <row r="34">
          <cell r="D34" t="str">
            <v>FSM</v>
          </cell>
          <cell r="E34">
            <v>0.68058968058968061</v>
          </cell>
          <cell r="F34">
            <v>0.66422594142259417</v>
          </cell>
          <cell r="G34">
            <v>0.60167966406718654</v>
          </cell>
          <cell r="H34">
            <v>0.59113034072471604</v>
          </cell>
          <cell r="I34">
            <v>0.61661166116611665</v>
          </cell>
          <cell r="J34">
            <v>0.55633047210300424</v>
          </cell>
          <cell r="K34">
            <v>0.61858454889249059</v>
          </cell>
          <cell r="L34">
            <v>1628</v>
          </cell>
          <cell r="M34">
            <v>1912</v>
          </cell>
          <cell r="N34">
            <v>1667</v>
          </cell>
          <cell r="O34">
            <v>1849</v>
          </cell>
          <cell r="P34">
            <v>1818</v>
          </cell>
          <cell r="Q34">
            <v>1864</v>
          </cell>
          <cell r="R34">
            <v>1851</v>
          </cell>
          <cell r="S34">
            <v>1108</v>
          </cell>
          <cell r="T34">
            <v>1270</v>
          </cell>
          <cell r="U34">
            <v>1003</v>
          </cell>
          <cell r="V34">
            <v>1093</v>
          </cell>
          <cell r="W34">
            <v>1121</v>
          </cell>
          <cell r="X34">
            <v>1037</v>
          </cell>
        </row>
        <row r="35">
          <cell r="D35" t="str">
            <v>UTM</v>
          </cell>
          <cell r="E35">
            <v>0.52498457742134486</v>
          </cell>
          <cell r="F35">
            <v>0.52720207253886009</v>
          </cell>
          <cell r="G35">
            <v>0.51516886090440761</v>
          </cell>
          <cell r="H35">
            <v>0.49744897959183676</v>
          </cell>
          <cell r="I35">
            <v>0.51688609044075562</v>
          </cell>
          <cell r="J35">
            <v>0.5579631635969664</v>
          </cell>
          <cell r="K35">
            <v>0.55143832276938076</v>
          </cell>
          <cell r="L35">
            <v>1621</v>
          </cell>
          <cell r="M35">
            <v>1544</v>
          </cell>
          <cell r="N35">
            <v>1747</v>
          </cell>
          <cell r="O35">
            <v>1568</v>
          </cell>
          <cell r="P35">
            <v>1747</v>
          </cell>
          <cell r="Q35">
            <v>1846</v>
          </cell>
          <cell r="R35">
            <v>2051</v>
          </cell>
          <cell r="S35">
            <v>851</v>
          </cell>
          <cell r="T35">
            <v>814</v>
          </cell>
          <cell r="U35">
            <v>900</v>
          </cell>
          <cell r="V35">
            <v>780</v>
          </cell>
          <cell r="W35">
            <v>903</v>
          </cell>
          <cell r="X35">
            <v>1030</v>
          </cell>
        </row>
      </sheetData>
      <sheetData sheetId="8">
        <row r="8">
          <cell r="F8" t="str">
            <v>PUC</v>
          </cell>
          <cell r="G8">
            <v>171</v>
          </cell>
          <cell r="H8">
            <v>0</v>
          </cell>
          <cell r="I8">
            <v>0</v>
          </cell>
          <cell r="J8">
            <v>1</v>
          </cell>
          <cell r="K8">
            <v>2</v>
          </cell>
          <cell r="L8">
            <v>29</v>
          </cell>
          <cell r="M8">
            <v>0.1871345029239766</v>
          </cell>
          <cell r="N8">
            <v>32</v>
          </cell>
        </row>
        <row r="9">
          <cell r="F9" t="str">
            <v>UCV</v>
          </cell>
          <cell r="G9">
            <v>51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5</v>
          </cell>
          <cell r="M9">
            <v>9.8039215686274508E-2</v>
          </cell>
          <cell r="N9">
            <v>5</v>
          </cell>
        </row>
        <row r="10">
          <cell r="F10" t="str">
            <v>AUS</v>
          </cell>
          <cell r="G10">
            <v>36</v>
          </cell>
          <cell r="H10">
            <v>1</v>
          </cell>
          <cell r="I10">
            <v>1</v>
          </cell>
          <cell r="J10">
            <v>0</v>
          </cell>
          <cell r="K10">
            <v>0</v>
          </cell>
          <cell r="L10">
            <v>8</v>
          </cell>
          <cell r="M10">
            <v>0.27777777777777779</v>
          </cell>
          <cell r="N10">
            <v>10</v>
          </cell>
        </row>
        <row r="11">
          <cell r="F11" t="str">
            <v>UCN</v>
          </cell>
          <cell r="G11">
            <v>12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3</v>
          </cell>
          <cell r="M11">
            <v>0.25</v>
          </cell>
          <cell r="N11">
            <v>3</v>
          </cell>
        </row>
        <row r="12">
          <cell r="F12" t="str">
            <v>ANT</v>
          </cell>
          <cell r="G12">
            <v>8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0.125</v>
          </cell>
          <cell r="N12">
            <v>1</v>
          </cell>
        </row>
        <row r="13">
          <cell r="F13" t="str">
            <v>UCH</v>
          </cell>
          <cell r="G13">
            <v>196</v>
          </cell>
          <cell r="H13">
            <v>0</v>
          </cell>
          <cell r="I13">
            <v>0</v>
          </cell>
          <cell r="J13">
            <v>1</v>
          </cell>
          <cell r="K13">
            <v>2</v>
          </cell>
          <cell r="L13">
            <v>20</v>
          </cell>
          <cell r="M13">
            <v>0.11734693877551021</v>
          </cell>
          <cell r="N13">
            <v>23</v>
          </cell>
        </row>
        <row r="14">
          <cell r="F14" t="str">
            <v>UCO</v>
          </cell>
          <cell r="G14">
            <v>87</v>
          </cell>
          <cell r="H14">
            <v>0</v>
          </cell>
          <cell r="I14">
            <v>0</v>
          </cell>
          <cell r="J14">
            <v>2</v>
          </cell>
          <cell r="K14">
            <v>4</v>
          </cell>
          <cell r="L14">
            <v>17</v>
          </cell>
          <cell r="M14">
            <v>0.26436781609195403</v>
          </cell>
          <cell r="N14">
            <v>23</v>
          </cell>
        </row>
        <row r="15">
          <cell r="F15" t="str">
            <v>FRO</v>
          </cell>
          <cell r="G15">
            <v>31</v>
          </cell>
          <cell r="H15">
            <v>0</v>
          </cell>
          <cell r="I15">
            <v>0</v>
          </cell>
          <cell r="J15">
            <v>1</v>
          </cell>
          <cell r="K15">
            <v>1</v>
          </cell>
          <cell r="L15">
            <v>7</v>
          </cell>
          <cell r="M15">
            <v>0.29032258064516131</v>
          </cell>
          <cell r="N15">
            <v>9</v>
          </cell>
        </row>
        <row r="16">
          <cell r="F16" t="str">
            <v>ULS</v>
          </cell>
          <cell r="G16">
            <v>3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F17" t="str">
            <v>ULA</v>
          </cell>
          <cell r="G17">
            <v>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F18" t="str">
            <v>UPA</v>
          </cell>
          <cell r="G18">
            <v>11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</v>
          </cell>
          <cell r="M18">
            <v>9.0909090909090912E-2</v>
          </cell>
          <cell r="N18">
            <v>1</v>
          </cell>
        </row>
        <row r="19">
          <cell r="F19" t="str">
            <v>USA</v>
          </cell>
          <cell r="G19">
            <v>52</v>
          </cell>
          <cell r="H19">
            <v>0</v>
          </cell>
          <cell r="I19">
            <v>0</v>
          </cell>
          <cell r="J19">
            <v>0</v>
          </cell>
          <cell r="K19">
            <v>1</v>
          </cell>
          <cell r="L19">
            <v>11</v>
          </cell>
          <cell r="M19">
            <v>0.23076923076923078</v>
          </cell>
          <cell r="N19">
            <v>12</v>
          </cell>
        </row>
        <row r="20">
          <cell r="F20" t="str">
            <v>TAL</v>
          </cell>
          <cell r="G20">
            <v>20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6</v>
          </cell>
          <cell r="M20">
            <v>0.3</v>
          </cell>
          <cell r="N20">
            <v>6</v>
          </cell>
        </row>
        <row r="21">
          <cell r="F21" t="str">
            <v>UVA</v>
          </cell>
          <cell r="G21">
            <v>23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4</v>
          </cell>
          <cell r="M21">
            <v>0.17391304347826086</v>
          </cell>
          <cell r="N21">
            <v>4</v>
          </cell>
        </row>
        <row r="22">
          <cell r="F22" t="str">
            <v>UBB</v>
          </cell>
          <cell r="G22">
            <v>2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F23" t="str">
            <v>UMC</v>
          </cell>
          <cell r="G23">
            <v>7</v>
          </cell>
          <cell r="H23">
            <v>0</v>
          </cell>
          <cell r="I23">
            <v>0</v>
          </cell>
          <cell r="J23">
            <v>0</v>
          </cell>
          <cell r="K23">
            <v>1</v>
          </cell>
          <cell r="L23">
            <v>1</v>
          </cell>
          <cell r="M23">
            <v>0.2857142857142857</v>
          </cell>
          <cell r="N23">
            <v>2</v>
          </cell>
        </row>
        <row r="24">
          <cell r="F24" t="str">
            <v>FSM</v>
          </cell>
          <cell r="G24">
            <v>23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2</v>
          </cell>
          <cell r="M24">
            <v>8.6956521739130432E-2</v>
          </cell>
          <cell r="N24">
            <v>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2017"/>
    </sheetNames>
    <sheetDataSet>
      <sheetData sheetId="0">
        <row r="5">
          <cell r="B5" t="str">
            <v>ANT</v>
          </cell>
          <cell r="C5">
            <v>3</v>
          </cell>
        </row>
        <row r="6">
          <cell r="B6" t="str">
            <v>TAL</v>
          </cell>
          <cell r="C6">
            <v>2</v>
          </cell>
        </row>
        <row r="7">
          <cell r="B7" t="str">
            <v>UCH</v>
          </cell>
          <cell r="C7">
            <v>9</v>
          </cell>
        </row>
        <row r="8">
          <cell r="B8" t="str">
            <v>USA</v>
          </cell>
          <cell r="C8">
            <v>18</v>
          </cell>
        </row>
        <row r="9">
          <cell r="C9">
            <v>32</v>
          </cell>
        </row>
        <row r="10">
          <cell r="B10" t="str">
            <v>AUS</v>
          </cell>
          <cell r="C10">
            <v>1</v>
          </cell>
        </row>
        <row r="11">
          <cell r="B11" t="str">
            <v>FSM</v>
          </cell>
          <cell r="C11">
            <v>9</v>
          </cell>
        </row>
        <row r="12">
          <cell r="B12" t="str">
            <v>PUC</v>
          </cell>
          <cell r="C12">
            <v>11</v>
          </cell>
        </row>
        <row r="13">
          <cell r="B13" t="str">
            <v>UCN</v>
          </cell>
          <cell r="C13">
            <v>1</v>
          </cell>
        </row>
        <row r="14">
          <cell r="B14" t="str">
            <v>UCO</v>
          </cell>
          <cell r="C14">
            <v>6</v>
          </cell>
        </row>
        <row r="15">
          <cell r="C15">
            <v>28</v>
          </cell>
        </row>
        <row r="16">
          <cell r="B16" t="str">
            <v>UAB</v>
          </cell>
          <cell r="C16">
            <v>2</v>
          </cell>
        </row>
        <row r="17">
          <cell r="B17" t="str">
            <v>UMA</v>
          </cell>
          <cell r="C17">
            <v>1</v>
          </cell>
        </row>
        <row r="18">
          <cell r="B18" t="str">
            <v>UST</v>
          </cell>
          <cell r="C18">
            <v>1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os BD 2018"/>
      <sheetName val="Montos BD 2018 Anticipo y Saldo"/>
      <sheetName val="Categorías"/>
      <sheetName val="Valores"/>
      <sheetName val="Indicadores"/>
      <sheetName val="Publicaciones CM"/>
      <sheetName val="Acreditación CM"/>
      <sheetName val="Doctorado JC CM"/>
      <sheetName val="Programas Doct. Acreditados CM"/>
      <sheetName val="Académicos JC CM"/>
      <sheetName val="Matrícula Regular Pre CM"/>
    </sheetNames>
    <sheetDataSet>
      <sheetData sheetId="0"/>
      <sheetData sheetId="1"/>
      <sheetData sheetId="2"/>
      <sheetData sheetId="3">
        <row r="4">
          <cell r="B4" t="str">
            <v>PUC</v>
          </cell>
          <cell r="C4" t="str">
            <v>CRUCH-PRIVADA</v>
          </cell>
          <cell r="D4" t="str">
            <v>Categoría I</v>
          </cell>
          <cell r="E4">
            <v>1547</v>
          </cell>
          <cell r="F4">
            <v>32795</v>
          </cell>
          <cell r="G4">
            <v>1008.2046021222045</v>
          </cell>
          <cell r="H4">
            <v>2197.0455112130708</v>
          </cell>
          <cell r="I4">
            <v>502.74999999999977</v>
          </cell>
          <cell r="J4">
            <v>404.74999999999994</v>
          </cell>
          <cell r="K4">
            <v>2233</v>
          </cell>
          <cell r="L4">
            <v>80381</v>
          </cell>
          <cell r="M4">
            <v>9718</v>
          </cell>
          <cell r="N4">
            <v>1515</v>
          </cell>
          <cell r="O4">
            <v>5482</v>
          </cell>
          <cell r="P4">
            <v>4667</v>
          </cell>
          <cell r="Q4">
            <v>5274</v>
          </cell>
          <cell r="R4">
            <v>3906</v>
          </cell>
          <cell r="S4">
            <v>5207</v>
          </cell>
          <cell r="T4">
            <v>37</v>
          </cell>
          <cell r="U4">
            <v>152</v>
          </cell>
          <cell r="V4">
            <v>184</v>
          </cell>
          <cell r="W4">
            <v>169</v>
          </cell>
          <cell r="X4">
            <v>11</v>
          </cell>
          <cell r="Y4">
            <v>13</v>
          </cell>
        </row>
        <row r="5">
          <cell r="B5" t="str">
            <v>UCO</v>
          </cell>
          <cell r="C5" t="str">
            <v>CRUCH-PRIVADA</v>
          </cell>
          <cell r="D5" t="str">
            <v>Categoría I</v>
          </cell>
          <cell r="E5">
            <v>1106</v>
          </cell>
          <cell r="F5">
            <v>27044</v>
          </cell>
          <cell r="G5">
            <v>712.93181818181824</v>
          </cell>
          <cell r="H5">
            <v>1406.4775000000002</v>
          </cell>
          <cell r="I5">
            <v>398.74999999999983</v>
          </cell>
          <cell r="J5">
            <v>89.522954545454382</v>
          </cell>
          <cell r="K5">
            <v>1085</v>
          </cell>
          <cell r="L5">
            <v>28511</v>
          </cell>
          <cell r="M5">
            <v>4892</v>
          </cell>
          <cell r="N5">
            <v>3320</v>
          </cell>
          <cell r="O5">
            <v>5002</v>
          </cell>
          <cell r="P5">
            <v>3900</v>
          </cell>
          <cell r="Q5">
            <v>4875</v>
          </cell>
          <cell r="R5">
            <v>3348</v>
          </cell>
          <cell r="S5">
            <v>4990</v>
          </cell>
          <cell r="T5">
            <v>15</v>
          </cell>
          <cell r="U5">
            <v>97</v>
          </cell>
          <cell r="V5">
            <v>105</v>
          </cell>
          <cell r="W5">
            <v>88</v>
          </cell>
          <cell r="X5">
            <v>6</v>
          </cell>
          <cell r="Y5">
            <v>8</v>
          </cell>
        </row>
        <row r="6">
          <cell r="B6" t="str">
            <v>UCV</v>
          </cell>
          <cell r="C6" t="str">
            <v>CRUCH-PRIVADA</v>
          </cell>
          <cell r="D6" t="str">
            <v>Categoría II</v>
          </cell>
          <cell r="E6">
            <v>494</v>
          </cell>
          <cell r="F6">
            <v>15494</v>
          </cell>
          <cell r="G6">
            <v>363.26727272727271</v>
          </cell>
          <cell r="H6">
            <v>629.42090909092508</v>
          </cell>
          <cell r="I6">
            <v>151.25590909090971</v>
          </cell>
          <cell r="J6">
            <v>0.5625</v>
          </cell>
          <cell r="K6">
            <v>619</v>
          </cell>
          <cell r="L6">
            <v>9016</v>
          </cell>
          <cell r="M6">
            <v>2285</v>
          </cell>
          <cell r="N6">
            <v>1937</v>
          </cell>
          <cell r="O6">
            <v>3403</v>
          </cell>
          <cell r="P6">
            <v>2626</v>
          </cell>
          <cell r="Q6">
            <v>3285</v>
          </cell>
          <cell r="R6">
            <v>1828</v>
          </cell>
          <cell r="S6">
            <v>3204</v>
          </cell>
          <cell r="T6">
            <v>3</v>
          </cell>
          <cell r="U6">
            <v>41</v>
          </cell>
          <cell r="V6">
            <v>56</v>
          </cell>
          <cell r="W6">
            <v>37</v>
          </cell>
          <cell r="X6">
            <v>2</v>
          </cell>
          <cell r="Y6">
            <v>1</v>
          </cell>
        </row>
        <row r="7">
          <cell r="B7" t="str">
            <v>AUS</v>
          </cell>
          <cell r="C7" t="str">
            <v>CRUCH-PRIVADA</v>
          </cell>
          <cell r="D7" t="str">
            <v>Categoría II</v>
          </cell>
          <cell r="E7">
            <v>765</v>
          </cell>
          <cell r="F7">
            <v>14472</v>
          </cell>
          <cell r="G7">
            <v>370.52272727272725</v>
          </cell>
          <cell r="H7">
            <v>983.18181818181677</v>
          </cell>
          <cell r="I7">
            <v>257.27272727272737</v>
          </cell>
          <cell r="J7">
            <v>69.590909090909079</v>
          </cell>
          <cell r="K7">
            <v>522</v>
          </cell>
          <cell r="L7">
            <v>12845</v>
          </cell>
          <cell r="M7">
            <v>2311</v>
          </cell>
          <cell r="N7">
            <v>1862</v>
          </cell>
          <cell r="O7">
            <v>2823</v>
          </cell>
          <cell r="P7">
            <v>2404</v>
          </cell>
          <cell r="Q7">
            <v>2936</v>
          </cell>
          <cell r="R7">
            <v>1786</v>
          </cell>
          <cell r="S7">
            <v>2699</v>
          </cell>
          <cell r="T7">
            <v>4</v>
          </cell>
          <cell r="U7">
            <v>36</v>
          </cell>
          <cell r="V7">
            <v>54</v>
          </cell>
          <cell r="W7">
            <v>42</v>
          </cell>
          <cell r="X7">
            <v>0</v>
          </cell>
          <cell r="Y7">
            <v>0</v>
          </cell>
        </row>
        <row r="8">
          <cell r="B8" t="str">
            <v>UCN</v>
          </cell>
          <cell r="C8" t="str">
            <v>CRUCH-PRIVADA</v>
          </cell>
          <cell r="D8" t="str">
            <v>Categoría II</v>
          </cell>
          <cell r="E8">
            <v>416</v>
          </cell>
          <cell r="F8">
            <v>10830</v>
          </cell>
          <cell r="G8">
            <v>197.81818181818181</v>
          </cell>
          <cell r="H8">
            <v>570.45454545454629</v>
          </cell>
          <cell r="I8">
            <v>158.47727272727283</v>
          </cell>
          <cell r="J8">
            <v>20</v>
          </cell>
          <cell r="K8">
            <v>305</v>
          </cell>
          <cell r="L8">
            <v>6413</v>
          </cell>
          <cell r="M8">
            <v>1465</v>
          </cell>
          <cell r="N8">
            <v>1063</v>
          </cell>
          <cell r="O8">
            <v>2068</v>
          </cell>
          <cell r="P8">
            <v>1591</v>
          </cell>
          <cell r="Q8">
            <v>1950</v>
          </cell>
          <cell r="R8">
            <v>1263</v>
          </cell>
          <cell r="S8">
            <v>1928</v>
          </cell>
          <cell r="T8">
            <v>0</v>
          </cell>
          <cell r="U8">
            <v>14</v>
          </cell>
          <cell r="V8">
            <v>10</v>
          </cell>
          <cell r="W8">
            <v>4</v>
          </cell>
          <cell r="X8">
            <v>1</v>
          </cell>
          <cell r="Y8">
            <v>0</v>
          </cell>
        </row>
        <row r="9">
          <cell r="B9" t="str">
            <v>FSM</v>
          </cell>
          <cell r="C9" t="str">
            <v>CRUCH-PRIVADA</v>
          </cell>
          <cell r="D9" t="str">
            <v>Categoría II</v>
          </cell>
          <cell r="E9">
            <v>442</v>
          </cell>
          <cell r="F9">
            <v>19058</v>
          </cell>
          <cell r="G9">
            <v>233.03176136363675</v>
          </cell>
          <cell r="H9">
            <v>689.78201954531869</v>
          </cell>
          <cell r="I9">
            <v>181.67680190659109</v>
          </cell>
          <cell r="J9">
            <v>0</v>
          </cell>
          <cell r="K9">
            <v>598</v>
          </cell>
          <cell r="L9">
            <v>29577</v>
          </cell>
          <cell r="M9">
            <v>2622</v>
          </cell>
          <cell r="N9">
            <v>1060</v>
          </cell>
          <cell r="O9">
            <v>1952</v>
          </cell>
          <cell r="P9">
            <v>1514</v>
          </cell>
          <cell r="Q9">
            <v>1845</v>
          </cell>
          <cell r="R9">
            <v>1121</v>
          </cell>
          <cell r="S9">
            <v>1818</v>
          </cell>
          <cell r="T9">
            <v>1</v>
          </cell>
          <cell r="U9">
            <v>22</v>
          </cell>
          <cell r="V9">
            <v>27</v>
          </cell>
          <cell r="W9">
            <v>19</v>
          </cell>
          <cell r="X9">
            <v>8</v>
          </cell>
          <cell r="Y9">
            <v>0</v>
          </cell>
        </row>
        <row r="10">
          <cell r="B10" t="str">
            <v>UCT</v>
          </cell>
          <cell r="C10" t="str">
            <v>CRUCH-PRIVADA</v>
          </cell>
          <cell r="D10" t="str">
            <v>Categoría II</v>
          </cell>
          <cell r="E10">
            <v>310</v>
          </cell>
          <cell r="F10">
            <v>10282</v>
          </cell>
          <cell r="G10">
            <v>141.48909090909092</v>
          </cell>
          <cell r="H10">
            <v>462.63207649113673</v>
          </cell>
          <cell r="I10">
            <v>176.41729458113636</v>
          </cell>
          <cell r="J10">
            <v>0.20454545454545456</v>
          </cell>
          <cell r="K10">
            <v>121</v>
          </cell>
          <cell r="L10">
            <v>1296</v>
          </cell>
          <cell r="M10">
            <v>516</v>
          </cell>
          <cell r="N10">
            <v>1723</v>
          </cell>
          <cell r="O10">
            <v>2143</v>
          </cell>
          <cell r="P10">
            <v>1575</v>
          </cell>
          <cell r="Q10">
            <v>1926</v>
          </cell>
          <cell r="R10">
            <v>1198</v>
          </cell>
          <cell r="S10">
            <v>1827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 t="str">
            <v>USC</v>
          </cell>
          <cell r="C11" t="str">
            <v>CRUCH-PRIVADA</v>
          </cell>
          <cell r="D11" t="str">
            <v>Categoría III</v>
          </cell>
          <cell r="E11">
            <v>283</v>
          </cell>
          <cell r="F11">
            <v>13985</v>
          </cell>
          <cell r="G11">
            <v>131.06818181818181</v>
          </cell>
          <cell r="H11">
            <v>581.02272727271691</v>
          </cell>
          <cell r="I11">
            <v>198.02272727272728</v>
          </cell>
          <cell r="J11">
            <v>25.886363636363644</v>
          </cell>
          <cell r="K11">
            <v>95</v>
          </cell>
          <cell r="L11">
            <v>1055</v>
          </cell>
          <cell r="M11">
            <v>369</v>
          </cell>
          <cell r="N11">
            <v>1473</v>
          </cell>
          <cell r="O11">
            <v>1915</v>
          </cell>
          <cell r="P11">
            <v>1495</v>
          </cell>
          <cell r="Q11">
            <v>1789</v>
          </cell>
          <cell r="R11">
            <v>1061</v>
          </cell>
          <cell r="S11">
            <v>1507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2">
          <cell r="B12" t="str">
            <v>UCM</v>
          </cell>
          <cell r="C12" t="str">
            <v>CRUCH-PRIVADA</v>
          </cell>
          <cell r="D12" t="str">
            <v>Categoría III</v>
          </cell>
          <cell r="E12">
            <v>286</v>
          </cell>
          <cell r="F12">
            <v>7663</v>
          </cell>
          <cell r="G12">
            <v>122</v>
          </cell>
          <cell r="H12">
            <v>393.49999999999864</v>
          </cell>
          <cell r="I12">
            <v>155.06818181818193</v>
          </cell>
          <cell r="J12">
            <v>32.86363636363636</v>
          </cell>
          <cell r="K12">
            <v>83</v>
          </cell>
          <cell r="L12">
            <v>1323</v>
          </cell>
          <cell r="M12">
            <v>360</v>
          </cell>
          <cell r="N12">
            <v>1350</v>
          </cell>
          <cell r="O12">
            <v>1706</v>
          </cell>
          <cell r="P12">
            <v>1241</v>
          </cell>
          <cell r="Q12">
            <v>1414</v>
          </cell>
          <cell r="R12">
            <v>1066</v>
          </cell>
          <cell r="S12">
            <v>1454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2</v>
          </cell>
          <cell r="Y1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cula_2018_sies_28062018"/>
      <sheetName val="Matrícula pedagogía"/>
      <sheetName val="Matrícula total"/>
      <sheetName val="Hoja1"/>
      <sheetName val="matricula total sin primer año"/>
      <sheetName val="Acreditación programas"/>
      <sheetName val="Postgrado Educación"/>
    </sheetNames>
    <sheetDataSet>
      <sheetData sheetId="0"/>
      <sheetData sheetId="1"/>
      <sheetData sheetId="2">
        <row r="26">
          <cell r="D26">
            <v>174387</v>
          </cell>
        </row>
        <row r="27">
          <cell r="C27" t="str">
            <v>PUC</v>
          </cell>
          <cell r="D27">
            <v>26461</v>
          </cell>
        </row>
        <row r="28">
          <cell r="C28" t="str">
            <v>UCV</v>
          </cell>
          <cell r="D28">
            <v>15253</v>
          </cell>
        </row>
        <row r="29">
          <cell r="C29" t="str">
            <v>AUS</v>
          </cell>
          <cell r="D29">
            <v>15313</v>
          </cell>
        </row>
        <row r="30">
          <cell r="C30" t="str">
            <v>USC</v>
          </cell>
          <cell r="D30">
            <v>12274</v>
          </cell>
        </row>
        <row r="31">
          <cell r="C31" t="str">
            <v>UCT</v>
          </cell>
          <cell r="D31">
            <v>10907</v>
          </cell>
        </row>
        <row r="32">
          <cell r="C32" t="str">
            <v>UCM</v>
          </cell>
          <cell r="D32">
            <v>8152</v>
          </cell>
        </row>
        <row r="33">
          <cell r="C33" t="str">
            <v>UCN</v>
          </cell>
          <cell r="D33">
            <v>10820</v>
          </cell>
        </row>
        <row r="34">
          <cell r="C34" t="str">
            <v>UCO</v>
          </cell>
          <cell r="D34">
            <v>24986</v>
          </cell>
        </row>
        <row r="35">
          <cell r="C35" t="str">
            <v>FSM</v>
          </cell>
          <cell r="D35">
            <v>15445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"/>
  <sheetViews>
    <sheetView tabSelected="1" topLeftCell="K1" zoomScale="90" zoomScaleNormal="90" workbookViewId="0">
      <selection activeCell="U17" sqref="U17"/>
    </sheetView>
  </sheetViews>
  <sheetFormatPr baseColWidth="10" defaultRowHeight="15" x14ac:dyDescent="0.25"/>
  <cols>
    <col min="1" max="1" width="48" customWidth="1"/>
    <col min="2" max="2" width="12.140625" customWidth="1"/>
    <col min="3" max="3" width="12.7109375" customWidth="1"/>
    <col min="4" max="4" width="11" bestFit="1" customWidth="1"/>
    <col min="5" max="8" width="14.85546875" customWidth="1"/>
    <col min="9" max="10" width="13.5703125" customWidth="1"/>
    <col min="11" max="15" width="10.7109375" customWidth="1"/>
    <col min="16" max="16" width="14.5703125" customWidth="1"/>
    <col min="17" max="17" width="12.28515625" customWidth="1"/>
    <col min="18" max="18" width="12.140625" customWidth="1"/>
    <col min="19" max="19" width="13.42578125" customWidth="1"/>
    <col min="20" max="21" width="15.28515625" customWidth="1"/>
    <col min="22" max="22" width="12" customWidth="1"/>
  </cols>
  <sheetData>
    <row r="1" spans="1:23" ht="92.25" customHeight="1" x14ac:dyDescent="0.25"/>
    <row r="2" spans="1:23" ht="17.25" x14ac:dyDescent="0.3">
      <c r="A2" s="88" t="s">
        <v>162</v>
      </c>
    </row>
    <row r="3" spans="1:23" ht="17.25" x14ac:dyDescent="0.3">
      <c r="A3" s="88" t="s">
        <v>165</v>
      </c>
    </row>
    <row r="4" spans="1:23" ht="17.25" x14ac:dyDescent="0.3">
      <c r="A4" s="88" t="s">
        <v>130</v>
      </c>
    </row>
    <row r="5" spans="1:23" x14ac:dyDescent="0.25">
      <c r="A5" s="18" t="s">
        <v>129</v>
      </c>
    </row>
    <row r="6" spans="1:23" x14ac:dyDescent="0.25">
      <c r="A6" s="18" t="s">
        <v>166</v>
      </c>
      <c r="B6" s="18"/>
      <c r="H6" s="18"/>
    </row>
    <row r="7" spans="1:23" x14ac:dyDescent="0.25">
      <c r="A7" s="18"/>
      <c r="B7" s="18"/>
      <c r="H7" s="18"/>
    </row>
    <row r="8" spans="1:23" ht="15.75" thickBot="1" x14ac:dyDescent="0.3">
      <c r="B8" s="95">
        <v>1</v>
      </c>
      <c r="C8" s="95">
        <v>2</v>
      </c>
      <c r="D8" s="95">
        <v>3</v>
      </c>
      <c r="E8" s="95">
        <v>4</v>
      </c>
      <c r="F8" s="95">
        <v>5</v>
      </c>
      <c r="G8" s="95">
        <v>6</v>
      </c>
      <c r="H8" s="95">
        <v>7</v>
      </c>
      <c r="I8" s="95">
        <v>8</v>
      </c>
      <c r="J8" s="95">
        <v>9</v>
      </c>
      <c r="K8" s="95">
        <v>10</v>
      </c>
      <c r="L8" s="95">
        <v>11</v>
      </c>
      <c r="M8" s="95">
        <v>12</v>
      </c>
      <c r="N8" s="95">
        <v>13</v>
      </c>
      <c r="O8" s="95">
        <v>14</v>
      </c>
      <c r="P8" s="95">
        <v>15</v>
      </c>
      <c r="Q8" s="95">
        <v>16</v>
      </c>
      <c r="R8" s="95">
        <v>17</v>
      </c>
      <c r="S8" s="95">
        <v>18</v>
      </c>
      <c r="T8" s="95">
        <v>19</v>
      </c>
      <c r="U8" s="95">
        <v>20</v>
      </c>
      <c r="V8" s="95">
        <v>21</v>
      </c>
    </row>
    <row r="9" spans="1:23" ht="17.25" customHeight="1" x14ac:dyDescent="0.25">
      <c r="A9" s="173" t="s">
        <v>9</v>
      </c>
      <c r="B9" s="176" t="s">
        <v>1</v>
      </c>
      <c r="C9" s="176" t="s">
        <v>17</v>
      </c>
      <c r="D9" s="179" t="s">
        <v>26</v>
      </c>
      <c r="E9" s="188" t="s">
        <v>169</v>
      </c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90"/>
      <c r="R9" s="207" t="s">
        <v>65</v>
      </c>
      <c r="S9" s="191" t="s">
        <v>170</v>
      </c>
      <c r="T9" s="194" t="s">
        <v>167</v>
      </c>
      <c r="U9" s="210" t="s">
        <v>168</v>
      </c>
      <c r="V9" s="185" t="s">
        <v>77</v>
      </c>
    </row>
    <row r="10" spans="1:23" ht="15" customHeight="1" x14ac:dyDescent="0.25">
      <c r="A10" s="174"/>
      <c r="B10" s="177"/>
      <c r="C10" s="177"/>
      <c r="D10" s="180"/>
      <c r="E10" s="197" t="s">
        <v>171</v>
      </c>
      <c r="F10" s="198"/>
      <c r="G10" s="199" t="s">
        <v>172</v>
      </c>
      <c r="H10" s="200"/>
      <c r="I10" s="201"/>
      <c r="J10" s="202" t="s">
        <v>173</v>
      </c>
      <c r="K10" s="203"/>
      <c r="L10" s="203"/>
      <c r="M10" s="203"/>
      <c r="N10" s="203"/>
      <c r="O10" s="203"/>
      <c r="P10" s="204"/>
      <c r="Q10" s="205" t="s">
        <v>174</v>
      </c>
      <c r="R10" s="208"/>
      <c r="S10" s="192"/>
      <c r="T10" s="195"/>
      <c r="U10" s="211"/>
      <c r="V10" s="186"/>
    </row>
    <row r="11" spans="1:23" ht="51.75" thickBot="1" x14ac:dyDescent="0.3">
      <c r="A11" s="175"/>
      <c r="B11" s="178"/>
      <c r="C11" s="178"/>
      <c r="D11" s="181"/>
      <c r="E11" s="106" t="s">
        <v>64</v>
      </c>
      <c r="F11" s="106" t="s">
        <v>91</v>
      </c>
      <c r="G11" s="107" t="s">
        <v>124</v>
      </c>
      <c r="H11" s="107" t="s">
        <v>125</v>
      </c>
      <c r="I11" s="107" t="s">
        <v>126</v>
      </c>
      <c r="J11" s="108" t="s">
        <v>95</v>
      </c>
      <c r="K11" s="108" t="s">
        <v>96</v>
      </c>
      <c r="L11" s="108" t="s">
        <v>97</v>
      </c>
      <c r="M11" s="108" t="s">
        <v>98</v>
      </c>
      <c r="N11" s="108" t="s">
        <v>99</v>
      </c>
      <c r="O11" s="108" t="s">
        <v>100</v>
      </c>
      <c r="P11" s="108" t="s">
        <v>128</v>
      </c>
      <c r="Q11" s="206"/>
      <c r="R11" s="209"/>
      <c r="S11" s="193"/>
      <c r="T11" s="196"/>
      <c r="U11" s="212"/>
      <c r="V11" s="187"/>
      <c r="W11" s="1"/>
    </row>
    <row r="12" spans="1:23" x14ac:dyDescent="0.25">
      <c r="A12" s="99" t="s">
        <v>10</v>
      </c>
      <c r="B12" s="114" t="s">
        <v>2</v>
      </c>
      <c r="C12" s="100" t="s">
        <v>18</v>
      </c>
      <c r="D12" s="100" t="s">
        <v>154</v>
      </c>
      <c r="E12" s="101">
        <v>2471405</v>
      </c>
      <c r="F12" s="145">
        <f t="shared" ref="F12:F20" si="0">E12*(1+$B$29)</f>
        <v>2545547.15</v>
      </c>
      <c r="G12" s="102">
        <v>100000</v>
      </c>
      <c r="H12" s="102">
        <f>IFERROR(VLOOKUP(B12,'[1]Puntaje Final FID'!$C$7:$L$14,10,0),0)</f>
        <v>693140.79422382673</v>
      </c>
      <c r="I12" s="148">
        <f t="shared" ref="I12:I20" si="1">G12+H12</f>
        <v>793140.79422382673</v>
      </c>
      <c r="J12" s="103">
        <f>IFERROR(VLOOKUP(B12,'Publicaciones BD'!$B$3:$E$11,4,0),0)</f>
        <v>751869.98519140354</v>
      </c>
      <c r="K12" s="103">
        <f>IFERROR(VLOOKUP(B12,'Acreditación BD'!$B$3:$K$11,10,0),0)</f>
        <v>283259.10633802816</v>
      </c>
      <c r="L12" s="103">
        <f>IFERROR(VLOOKUP(B12,'Doctorado JC BD'!$B$3:$E$11,4,0),0)</f>
        <v>533895.35751497</v>
      </c>
      <c r="M12" s="103">
        <f>IFERROR(VLOOKUP(B12,'Programas Doct. Acreditados BD'!$B$3:$E$11,4,0),0)</f>
        <v>723584.63777777774</v>
      </c>
      <c r="N12" s="103">
        <f>IFERROR(VLOOKUP(B12,'Académicos JC BD'!$B$3:$E$11,4,0),0)</f>
        <v>514518.68920027337</v>
      </c>
      <c r="O12" s="103">
        <f>IFERROR(VLOOKUP(B12,'Matrícula Regular Pre BD'!$B$3:$E$11,4,0),0)</f>
        <v>363027.51700868842</v>
      </c>
      <c r="P12" s="135">
        <f t="shared" ref="P12:P20" si="2">J12+K12+L12+M12+N12+O12</f>
        <v>3170155.2930311412</v>
      </c>
      <c r="Q12" s="128">
        <v>0</v>
      </c>
      <c r="R12" s="155">
        <f t="shared" ref="R12:R20" si="3">F12+I12+P12+Q12</f>
        <v>6508843.2372549679</v>
      </c>
      <c r="S12" s="151">
        <f>IFERROR(VLOOKUP(B12,Indicadores!$B$4:$AH$12,33,0),0)</f>
        <v>2393776</v>
      </c>
      <c r="T12" s="104">
        <f t="shared" ref="T12:T20" si="4">R12+S12</f>
        <v>8902619.2372549679</v>
      </c>
      <c r="U12" s="104">
        <f t="shared" ref="U12:U20" si="5">ROUND(T12,0)</f>
        <v>8902619</v>
      </c>
      <c r="V12" s="105">
        <f t="shared" ref="V12:V20" si="6">U12/$U$21</f>
        <v>0.23239933066754873</v>
      </c>
      <c r="W12" s="81" t="s">
        <v>2</v>
      </c>
    </row>
    <row r="13" spans="1:23" x14ac:dyDescent="0.25">
      <c r="A13" s="98" t="s">
        <v>11</v>
      </c>
      <c r="B13" s="115" t="s">
        <v>3</v>
      </c>
      <c r="C13" s="89" t="s">
        <v>18</v>
      </c>
      <c r="D13" s="89" t="s">
        <v>154</v>
      </c>
      <c r="E13" s="46">
        <v>834829</v>
      </c>
      <c r="F13" s="146">
        <f t="shared" si="0"/>
        <v>859873.87</v>
      </c>
      <c r="G13" s="96">
        <v>100000</v>
      </c>
      <c r="H13" s="102">
        <f>IFERROR(VLOOKUP(B13,'[1]Puntaje Final FID'!$C$7:$L$14,10,0),0)</f>
        <v>947292.41877256311</v>
      </c>
      <c r="I13" s="149">
        <f t="shared" si="1"/>
        <v>1047292.4187725631</v>
      </c>
      <c r="J13" s="97">
        <f>IFERROR(VLOOKUP(B13,'Publicaciones BD'!$B$3:$E$11,4,0),0)</f>
        <v>354067.08883478842</v>
      </c>
      <c r="K13" s="97">
        <f>IFERROR(VLOOKUP(B13,'Acreditación BD'!$B$3:$K$11,10,0),0)</f>
        <v>283259.10633802816</v>
      </c>
      <c r="L13" s="97">
        <f>IFERROR(VLOOKUP(B13,'Doctorado JC BD'!$B$3:$E$11,4,0),0)</f>
        <v>413467.833263473</v>
      </c>
      <c r="M13" s="97">
        <f>IFERROR(VLOOKUP(B13,'Programas Doct. Acreditados BD'!$B$3:$E$11,4,0),0)</f>
        <v>489483.72555555549</v>
      </c>
      <c r="N13" s="97">
        <f>IFERROR(VLOOKUP(B13,'Académicos JC BD'!$B$3:$E$11,4,0),0)</f>
        <v>377706.46777170192</v>
      </c>
      <c r="O13" s="97">
        <f>IFERROR(VLOOKUP(B13,'Matrícula Regular Pre BD'!$B$3:$E$11,4,0),0)</f>
        <v>342791.48709342384</v>
      </c>
      <c r="P13" s="136">
        <f t="shared" si="2"/>
        <v>2260775.708856971</v>
      </c>
      <c r="Q13" s="129">
        <v>0</v>
      </c>
      <c r="R13" s="155">
        <f t="shared" si="3"/>
        <v>4167941.997629534</v>
      </c>
      <c r="S13" s="152">
        <f>IFERROR(VLOOKUP(B13,Indicadores!$B$4:$AH$12,33,0),0)</f>
        <v>2299632</v>
      </c>
      <c r="T13" s="104">
        <f t="shared" si="4"/>
        <v>6467573.9976295345</v>
      </c>
      <c r="U13" s="104">
        <f t="shared" si="5"/>
        <v>6467574</v>
      </c>
      <c r="V13" s="105">
        <f t="shared" si="6"/>
        <v>0.16883344874613199</v>
      </c>
      <c r="W13" s="81" t="s">
        <v>3</v>
      </c>
    </row>
    <row r="14" spans="1:23" x14ac:dyDescent="0.25">
      <c r="A14" s="98" t="s">
        <v>12</v>
      </c>
      <c r="B14" s="115" t="s">
        <v>4</v>
      </c>
      <c r="C14" s="89" t="s">
        <v>18</v>
      </c>
      <c r="D14" s="170" t="s">
        <v>154</v>
      </c>
      <c r="E14" s="46">
        <v>534276</v>
      </c>
      <c r="F14" s="146">
        <f t="shared" si="0"/>
        <v>550304.28</v>
      </c>
      <c r="G14" s="96">
        <v>100000</v>
      </c>
      <c r="H14" s="102">
        <f>IFERROR(VLOOKUP(B14,'[1]Puntaje Final FID'!$C$7:$L$14,10,0),0)</f>
        <v>970397.11191335728</v>
      </c>
      <c r="I14" s="149">
        <f t="shared" si="1"/>
        <v>1070397.1119133574</v>
      </c>
      <c r="J14" s="97">
        <f>IFERROR(VLOOKUP(B14,'Publicaciones BD'!$B$3:$E$11,4,0),0)</f>
        <v>195524.78656816654</v>
      </c>
      <c r="K14" s="97">
        <f>IFERROR(VLOOKUP(B14,'Acreditación BD'!$B$3:$K$11,10,0),0)</f>
        <v>269770.57746478874</v>
      </c>
      <c r="L14" s="97">
        <f>IFERROR(VLOOKUP(B14,'Doctorado JC BD'!$B$3:$E$11,4,0),0)</f>
        <v>229959.22488023949</v>
      </c>
      <c r="M14" s="97">
        <f>IFERROR(VLOOKUP(B14,'Programas Doct. Acreditados BD'!$B$3:$E$11,4,0),0)</f>
        <v>255382.81333333332</v>
      </c>
      <c r="N14" s="97">
        <f>IFERROR(VLOOKUP(B14,'Académicos JC BD'!$B$3:$E$11,4,0),0)</f>
        <v>170851.62580314421</v>
      </c>
      <c r="O14" s="97">
        <f>IFERROR(VLOOKUP(B14,'Matrícula Regular Pre BD'!$B$3:$E$11,4,0),0)</f>
        <v>209261.12833730865</v>
      </c>
      <c r="P14" s="136">
        <f t="shared" si="2"/>
        <v>1330750.1563869808</v>
      </c>
      <c r="Q14" s="129">
        <v>0</v>
      </c>
      <c r="R14" s="155">
        <f t="shared" si="3"/>
        <v>2951451.548300338</v>
      </c>
      <c r="S14" s="152">
        <f>IFERROR(VLOOKUP(B14,Indicadores!$B$4:$AH$12,33,0),0)</f>
        <v>1946395</v>
      </c>
      <c r="T14" s="104">
        <f t="shared" si="4"/>
        <v>4897846.548300338</v>
      </c>
      <c r="U14" s="104">
        <f t="shared" si="5"/>
        <v>4897847</v>
      </c>
      <c r="V14" s="105">
        <f t="shared" si="6"/>
        <v>0.12785634929587142</v>
      </c>
      <c r="W14" s="81" t="s">
        <v>4</v>
      </c>
    </row>
    <row r="15" spans="1:23" x14ac:dyDescent="0.25">
      <c r="A15" s="98" t="s">
        <v>13</v>
      </c>
      <c r="B15" s="115" t="s">
        <v>5</v>
      </c>
      <c r="C15" s="89" t="s">
        <v>18</v>
      </c>
      <c r="D15" s="89" t="s">
        <v>155</v>
      </c>
      <c r="E15" s="46">
        <v>308805</v>
      </c>
      <c r="F15" s="146">
        <f t="shared" si="0"/>
        <v>318069.15000000002</v>
      </c>
      <c r="G15" s="96">
        <v>100000</v>
      </c>
      <c r="H15" s="102">
        <f>IFERROR(VLOOKUP(B15,'[1]Puntaje Final FID'!$C$7:$L$14,10,0),0)</f>
        <v>670036.10108303255</v>
      </c>
      <c r="I15" s="149">
        <f t="shared" si="1"/>
        <v>770036.10108303255</v>
      </c>
      <c r="J15" s="97">
        <f>IFERROR(VLOOKUP(B15,'Publicaciones BD'!$B$3:$E$11,4,0),0)</f>
        <v>176229.57736736065</v>
      </c>
      <c r="K15" s="97">
        <f>IFERROR(VLOOKUP(B15,'Acreditación BD'!$B$3:$K$11,10,0),0)</f>
        <v>269770.57746478874</v>
      </c>
      <c r="L15" s="97">
        <f>IFERROR(VLOOKUP(B15,'Doctorado JC BD'!$B$3:$E$11,4,0),0)</f>
        <v>226518.43847305389</v>
      </c>
      <c r="M15" s="97">
        <f>IFERROR(VLOOKUP(B15,'Programas Doct. Acreditados BD'!$B$3:$E$11,4,0),0)</f>
        <v>191537.11</v>
      </c>
      <c r="N15" s="97">
        <f>IFERROR(VLOOKUP(B15,'Académicos JC BD'!$B$3:$E$11,4,0),0)</f>
        <v>244821.869924812</v>
      </c>
      <c r="O15" s="97">
        <f>IFERROR(VLOOKUP(B15,'Matrícula Regular Pre BD'!$B$3:$E$11,4,0),0)</f>
        <v>210084.28887623467</v>
      </c>
      <c r="P15" s="136">
        <f t="shared" si="2"/>
        <v>1318961.8621062497</v>
      </c>
      <c r="Q15" s="129"/>
      <c r="R15" s="155">
        <f t="shared" si="3"/>
        <v>2407067.1131892824</v>
      </c>
      <c r="S15" s="152">
        <f>IFERROR(VLOOKUP(B15,Indicadores!$B$4:$AH$12,33,0),0)</f>
        <v>1583836</v>
      </c>
      <c r="T15" s="104">
        <f t="shared" si="4"/>
        <v>3990903.1131892824</v>
      </c>
      <c r="U15" s="104">
        <f t="shared" si="5"/>
        <v>3990903</v>
      </c>
      <c r="V15" s="105">
        <f t="shared" si="6"/>
        <v>0.10418093663888259</v>
      </c>
      <c r="W15" s="81" t="s">
        <v>5</v>
      </c>
    </row>
    <row r="16" spans="1:23" x14ac:dyDescent="0.25">
      <c r="A16" s="98" t="s">
        <v>14</v>
      </c>
      <c r="B16" s="115" t="s">
        <v>6</v>
      </c>
      <c r="C16" s="89" t="s">
        <v>18</v>
      </c>
      <c r="D16" s="89" t="s">
        <v>155</v>
      </c>
      <c r="E16" s="46">
        <v>796618</v>
      </c>
      <c r="F16" s="146">
        <f t="shared" si="0"/>
        <v>820516.54</v>
      </c>
      <c r="G16" s="96">
        <v>0</v>
      </c>
      <c r="H16" s="102">
        <f>IFERROR(VLOOKUP(B16,'[1]Puntaje Final FID'!$C$7:$L$14,10,0),0)</f>
        <v>0</v>
      </c>
      <c r="I16" s="149">
        <f t="shared" si="1"/>
        <v>0</v>
      </c>
      <c r="J16" s="97">
        <f>IFERROR(VLOOKUP(B16,'Publicaciones BD'!$B$3:$E$11,4,0),0)</f>
        <v>182982.90058764268</v>
      </c>
      <c r="K16" s="97">
        <f>IFERROR(VLOOKUP(B16,'Acreditación BD'!$B$3:$K$11,10,0),0)</f>
        <v>269770.57746478874</v>
      </c>
      <c r="L16" s="97">
        <f>IFERROR(VLOOKUP(B16,'Doctorado JC BD'!$B$3:$E$11,4,0),0)</f>
        <v>142219.171497006</v>
      </c>
      <c r="M16" s="97">
        <f>IFERROR(VLOOKUP(B16,'Programas Doct. Acreditados BD'!$B$3:$E$11,4,0),0)</f>
        <v>106409.50555555554</v>
      </c>
      <c r="N16" s="97">
        <f>IFERROR(VLOOKUP(B16,'Académicos JC BD'!$B$3:$E$11,4,0),0)</f>
        <v>155795.73540669854</v>
      </c>
      <c r="O16" s="97">
        <f>IFERROR(VLOOKUP(B16,'Matrícula Regular Pre BD'!$B$3:$E$11,4,0),0)</f>
        <v>211895.24206187189</v>
      </c>
      <c r="P16" s="136">
        <f t="shared" si="2"/>
        <v>1069073.1325735634</v>
      </c>
      <c r="Q16" s="129">
        <v>0</v>
      </c>
      <c r="R16" s="155">
        <f t="shared" si="3"/>
        <v>1889589.6725735634</v>
      </c>
      <c r="S16" s="152">
        <f>IFERROR(VLOOKUP(B16,Indicadores!$B$4:$AH$12,33,0),0)</f>
        <v>1604013</v>
      </c>
      <c r="T16" s="104">
        <f t="shared" si="4"/>
        <v>3493602.6725735636</v>
      </c>
      <c r="U16" s="104">
        <f t="shared" si="5"/>
        <v>3493603</v>
      </c>
      <c r="V16" s="105">
        <f t="shared" si="6"/>
        <v>9.1199117789735828E-2</v>
      </c>
      <c r="W16" s="81" t="s">
        <v>6</v>
      </c>
    </row>
    <row r="17" spans="1:23" x14ac:dyDescent="0.25">
      <c r="A17" s="98" t="s">
        <v>15</v>
      </c>
      <c r="B17" s="115" t="s">
        <v>7</v>
      </c>
      <c r="C17" s="89" t="s">
        <v>18</v>
      </c>
      <c r="D17" s="89" t="s">
        <v>155</v>
      </c>
      <c r="E17" s="46">
        <v>189862</v>
      </c>
      <c r="F17" s="146">
        <f t="shared" si="0"/>
        <v>195557.86000000002</v>
      </c>
      <c r="G17" s="96">
        <v>100000</v>
      </c>
      <c r="H17" s="102">
        <f>IFERROR(VLOOKUP(B17,'[1]Puntaje Final FID'!$C$7:$L$14,10,0),0)</f>
        <v>438989.16967509029</v>
      </c>
      <c r="I17" s="149">
        <f t="shared" si="1"/>
        <v>538989.16967509035</v>
      </c>
      <c r="J17" s="97">
        <f>IFERROR(VLOOKUP(B17,'Publicaciones BD'!$B$3:$E$11,4,0),0)</f>
        <v>112555.38700470113</v>
      </c>
      <c r="K17" s="97">
        <f>IFERROR(VLOOKUP(B17,'Acreditación BD'!$B$3:$K$11,10,0),0)</f>
        <v>269770.57746478874</v>
      </c>
      <c r="L17" s="97">
        <f>IFERROR(VLOOKUP(B17,'Doctorado JC BD'!$B$3:$E$11,4,0),0)</f>
        <v>122147.91745508982</v>
      </c>
      <c r="M17" s="97">
        <f>IFERROR(VLOOKUP(B17,'Programas Doct. Acreditados BD'!$B$3:$E$11,4,0),0)</f>
        <v>106409.50555555554</v>
      </c>
      <c r="N17" s="97">
        <f>IFERROR(VLOOKUP(B17,'Académicos JC BD'!$B$3:$E$11,4,0),0)</f>
        <v>147285.88431305534</v>
      </c>
      <c r="O17" s="97">
        <f>IFERROR(VLOOKUP(B17,'Matrícula Regular Pre BD'!$B$3:$E$11,4,0),0)</f>
        <v>148443.2838529915</v>
      </c>
      <c r="P17" s="136">
        <f t="shared" si="2"/>
        <v>906612.55564618204</v>
      </c>
      <c r="Q17" s="129">
        <v>0</v>
      </c>
      <c r="R17" s="155">
        <f t="shared" si="3"/>
        <v>1641159.5853212723</v>
      </c>
      <c r="S17" s="152">
        <f>IFERROR(VLOOKUP(B17,Indicadores!$B$4:$AH$12,33,0),0)</f>
        <v>1447217</v>
      </c>
      <c r="T17" s="104">
        <f t="shared" si="4"/>
        <v>3088376.5853212723</v>
      </c>
      <c r="U17" s="104">
        <f t="shared" si="5"/>
        <v>3088377</v>
      </c>
      <c r="V17" s="105">
        <f t="shared" si="6"/>
        <v>8.062085411596881E-2</v>
      </c>
      <c r="W17" s="81" t="s">
        <v>7</v>
      </c>
    </row>
    <row r="18" spans="1:23" x14ac:dyDescent="0.25">
      <c r="A18" s="98" t="s">
        <v>16</v>
      </c>
      <c r="B18" s="115" t="s">
        <v>8</v>
      </c>
      <c r="C18" s="89" t="s">
        <v>18</v>
      </c>
      <c r="D18" s="89" t="s">
        <v>155</v>
      </c>
      <c r="E18" s="46">
        <v>30330</v>
      </c>
      <c r="F18" s="146">
        <f t="shared" si="0"/>
        <v>31239.9</v>
      </c>
      <c r="G18" s="96">
        <v>100000</v>
      </c>
      <c r="H18" s="102">
        <f>IFERROR(VLOOKUP(B18,'[1]Puntaje Final FID'!$C$7:$L$14,10,0),0)</f>
        <v>901083.03249097476</v>
      </c>
      <c r="I18" s="149">
        <f t="shared" si="1"/>
        <v>1001083.0324909748</v>
      </c>
      <c r="J18" s="97">
        <f>IFERROR(VLOOKUP(B18,'Publicaciones BD'!$B$3:$E$11,4,0),0)</f>
        <v>51453.891202149091</v>
      </c>
      <c r="K18" s="97">
        <f>IFERROR(VLOOKUP(B18,'Acreditación BD'!$B$3:$K$11,10,0),0)</f>
        <v>148373.81760563378</v>
      </c>
      <c r="L18" s="97">
        <f>IFERROR(VLOOKUP(B18,'Doctorado JC BD'!$B$3:$E$11,4,0),0)</f>
        <v>88313.517784431126</v>
      </c>
      <c r="M18" s="97">
        <f>IFERROR(VLOOKUP(B18,'Programas Doct. Acreditados BD'!$B$3:$E$11,4,0),0)</f>
        <v>42563.802222222221</v>
      </c>
      <c r="N18" s="97">
        <f>IFERROR(VLOOKUP(B18,'Académicos JC BD'!$B$3:$E$11,4,0),0)</f>
        <v>109646.15832194121</v>
      </c>
      <c r="O18" s="97">
        <f>IFERROR(VLOOKUP(B18,'Matrícula Regular Pre BD'!$B$3:$E$11,4,0),0)</f>
        <v>149636.86663443423</v>
      </c>
      <c r="P18" s="136">
        <f t="shared" si="2"/>
        <v>589988.05377081165</v>
      </c>
      <c r="Q18" s="129">
        <v>0</v>
      </c>
      <c r="R18" s="155">
        <f t="shared" si="3"/>
        <v>1622310.9862617864</v>
      </c>
      <c r="S18" s="152">
        <f>IFERROR(VLOOKUP(B18,Indicadores!$B$4:$AH$12,33,0),0)</f>
        <v>1266982</v>
      </c>
      <c r="T18" s="104">
        <f t="shared" si="4"/>
        <v>2889292.9862617864</v>
      </c>
      <c r="U18" s="104">
        <f t="shared" si="5"/>
        <v>2889293</v>
      </c>
      <c r="V18" s="105">
        <f t="shared" si="6"/>
        <v>7.5423845421491567E-2</v>
      </c>
      <c r="W18" s="81" t="s">
        <v>8</v>
      </c>
    </row>
    <row r="19" spans="1:23" x14ac:dyDescent="0.25">
      <c r="A19" s="98" t="s">
        <v>22</v>
      </c>
      <c r="B19" s="115" t="s">
        <v>19</v>
      </c>
      <c r="C19" s="89" t="s">
        <v>18</v>
      </c>
      <c r="D19" s="89" t="s">
        <v>156</v>
      </c>
      <c r="E19" s="46">
        <v>95377</v>
      </c>
      <c r="F19" s="146">
        <f t="shared" si="0"/>
        <v>98238.31</v>
      </c>
      <c r="G19" s="96">
        <v>100000</v>
      </c>
      <c r="H19" s="102">
        <f>IFERROR(VLOOKUP(B19,'[1]Puntaje Final FID'!$C$7:$L$14,10,0),0)</f>
        <v>877978.33935018058</v>
      </c>
      <c r="I19" s="149">
        <f t="shared" si="1"/>
        <v>977978.33935018058</v>
      </c>
      <c r="J19" s="97">
        <f>IFERROR(VLOOKUP(B19,'Publicaciones BD'!$B$3:$E$11,4,0),0)</f>
        <v>44378.98116185359</v>
      </c>
      <c r="K19" s="97">
        <f>IFERROR(VLOOKUP(B19,'Acreditación BD'!$B$3:$K$11,10,0),0)</f>
        <v>67442.644366197186</v>
      </c>
      <c r="L19" s="97">
        <f>IFERROR(VLOOKUP(B19,'Doctorado JC BD'!$B$3:$E$11,4,0),0)</f>
        <v>80285.016167664653</v>
      </c>
      <c r="M19" s="97">
        <f>IFERROR(VLOOKUP(B19,'Programas Doct. Acreditados BD'!$B$3:$E$11,4,0),0)</f>
        <v>0</v>
      </c>
      <c r="N19" s="97">
        <f>IFERROR(VLOOKUP(B19,'Académicos JC BD'!$B$3:$E$11,4,0),0)</f>
        <v>96554.079716336288</v>
      </c>
      <c r="O19" s="97">
        <f>IFERROR(VLOOKUP(B19,'Matrícula Regular Pre BD'!$B$3:$E$11,4,0),0)</f>
        <v>111840.07855541469</v>
      </c>
      <c r="P19" s="136">
        <f t="shared" si="2"/>
        <v>400500.79996746639</v>
      </c>
      <c r="Q19" s="129">
        <v>100000</v>
      </c>
      <c r="R19" s="155">
        <f t="shared" si="3"/>
        <v>1576717.4493176469</v>
      </c>
      <c r="S19" s="152">
        <f>IFERROR(VLOOKUP(B19,Indicadores!$B$4:$AH$12,33,0),0)</f>
        <v>827950</v>
      </c>
      <c r="T19" s="104">
        <f t="shared" si="4"/>
        <v>2404667.4493176471</v>
      </c>
      <c r="U19" s="104">
        <f t="shared" si="5"/>
        <v>2404667</v>
      </c>
      <c r="V19" s="105">
        <f t="shared" si="6"/>
        <v>6.277287630508982E-2</v>
      </c>
      <c r="W19" s="81" t="s">
        <v>19</v>
      </c>
    </row>
    <row r="20" spans="1:23" ht="15.75" thickBot="1" x14ac:dyDescent="0.3">
      <c r="A20" s="109" t="s">
        <v>21</v>
      </c>
      <c r="B20" s="116" t="s">
        <v>20</v>
      </c>
      <c r="C20" s="90" t="s">
        <v>18</v>
      </c>
      <c r="D20" s="90" t="s">
        <v>156</v>
      </c>
      <c r="E20" s="110">
        <v>76198</v>
      </c>
      <c r="F20" s="147">
        <f t="shared" si="0"/>
        <v>78483.94</v>
      </c>
      <c r="G20" s="111">
        <v>100000</v>
      </c>
      <c r="H20" s="102">
        <f>IFERROR(VLOOKUP(B20,'[1]Puntaje Final FID'!$C$7:$L$14,10,0),0)</f>
        <v>901083.03249097476</v>
      </c>
      <c r="I20" s="150">
        <f t="shared" si="1"/>
        <v>1001083.0324909748</v>
      </c>
      <c r="J20" s="112">
        <f>IFERROR(VLOOKUP(B20,'Publicaciones BD'!$B$3:$E$11,4,0),0)</f>
        <v>46308.502081934181</v>
      </c>
      <c r="K20" s="112">
        <f>IFERROR(VLOOKUP(B20,'Acreditación BD'!$B$3:$K$11,10,0),0)</f>
        <v>53954.115492957739</v>
      </c>
      <c r="L20" s="112">
        <f>IFERROR(VLOOKUP(B20,'Doctorado JC BD'!$B$3:$E$11,4,0),0)</f>
        <v>78564.622964071852</v>
      </c>
      <c r="M20" s="112">
        <f>IFERROR(VLOOKUP(B20,'Programas Doct. Acreditados BD'!$B$3:$E$11,4,0),0)</f>
        <v>0</v>
      </c>
      <c r="N20" s="112">
        <f>IFERROR(VLOOKUP(B20,'Académicos JC BD'!$B$3:$E$11,4,0),0)</f>
        <v>98190.589542036905</v>
      </c>
      <c r="O20" s="112">
        <f>IFERROR(VLOOKUP(B20,'Matrícula Regular Pre BD'!$B$3:$E$11,4,0),0)</f>
        <v>168391.20757963197</v>
      </c>
      <c r="P20" s="137">
        <f t="shared" si="2"/>
        <v>445409.03766063263</v>
      </c>
      <c r="Q20" s="130">
        <v>0</v>
      </c>
      <c r="R20" s="155">
        <f t="shared" si="3"/>
        <v>1524976.0101516075</v>
      </c>
      <c r="S20" s="153">
        <f>IFERROR(VLOOKUP(B20,Indicadores!$B$4:$AH$12,33,0),0)</f>
        <v>647562</v>
      </c>
      <c r="T20" s="104">
        <f t="shared" si="4"/>
        <v>2172538.0101516075</v>
      </c>
      <c r="U20" s="104">
        <f t="shared" si="5"/>
        <v>2172538</v>
      </c>
      <c r="V20" s="105">
        <f t="shared" si="6"/>
        <v>5.671324101927927E-2</v>
      </c>
      <c r="W20" s="81" t="s">
        <v>20</v>
      </c>
    </row>
    <row r="21" spans="1:23" ht="15.75" thickBot="1" x14ac:dyDescent="0.3">
      <c r="A21" s="171" t="s">
        <v>127</v>
      </c>
      <c r="B21" s="172"/>
      <c r="C21" s="172"/>
      <c r="D21" s="172"/>
      <c r="E21" s="91">
        <f t="shared" ref="E21:J21" si="7">SUM(E12:E20)</f>
        <v>5337700</v>
      </c>
      <c r="F21" s="91">
        <f t="shared" si="7"/>
        <v>5497831.0000000009</v>
      </c>
      <c r="G21" s="92">
        <f t="shared" si="7"/>
        <v>800000</v>
      </c>
      <c r="H21" s="92">
        <f t="shared" si="7"/>
        <v>6400000</v>
      </c>
      <c r="I21" s="92">
        <f t="shared" si="7"/>
        <v>7200000</v>
      </c>
      <c r="J21" s="93">
        <f t="shared" si="7"/>
        <v>1915371.0999999999</v>
      </c>
      <c r="K21" s="93">
        <f t="shared" ref="K21:P21" si="8">SUM(K12:K20)</f>
        <v>1915371.0999999999</v>
      </c>
      <c r="L21" s="93">
        <f t="shared" si="8"/>
        <v>1915371.0999999999</v>
      </c>
      <c r="M21" s="93">
        <f t="shared" si="8"/>
        <v>1915371.0999999999</v>
      </c>
      <c r="N21" s="93">
        <f t="shared" si="8"/>
        <v>1915371.0999999999</v>
      </c>
      <c r="O21" s="93">
        <f t="shared" si="8"/>
        <v>1915371.0999999999</v>
      </c>
      <c r="P21" s="93">
        <f t="shared" si="8"/>
        <v>11492226.599999998</v>
      </c>
      <c r="Q21" s="131">
        <f t="shared" ref="Q21:V21" si="9">SUM(Q12:Q20)</f>
        <v>100000</v>
      </c>
      <c r="R21" s="156">
        <f t="shared" si="9"/>
        <v>24290057.599999998</v>
      </c>
      <c r="S21" s="154">
        <f t="shared" si="9"/>
        <v>14017363</v>
      </c>
      <c r="T21" s="94">
        <f t="shared" si="9"/>
        <v>38307420.600000009</v>
      </c>
      <c r="U21" s="94">
        <f t="shared" si="9"/>
        <v>38307421</v>
      </c>
      <c r="V21" s="113">
        <f t="shared" si="9"/>
        <v>1</v>
      </c>
    </row>
    <row r="22" spans="1:23" x14ac:dyDescent="0.25"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</row>
    <row r="23" spans="1:23" x14ac:dyDescent="0.25"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</row>
    <row r="24" spans="1:23" x14ac:dyDescent="0.25">
      <c r="E24" s="182" t="s">
        <v>175</v>
      </c>
      <c r="F24" s="183"/>
      <c r="G24" s="183"/>
      <c r="H24" s="183"/>
      <c r="I24" s="184"/>
    </row>
    <row r="25" spans="1:23" ht="25.5" x14ac:dyDescent="0.25">
      <c r="A25" s="123" t="s">
        <v>80</v>
      </c>
      <c r="B25" s="123" t="s">
        <v>157</v>
      </c>
      <c r="C25" s="123" t="s">
        <v>158</v>
      </c>
      <c r="D25" s="123" t="s">
        <v>159</v>
      </c>
      <c r="E25" s="133" t="s">
        <v>177</v>
      </c>
      <c r="F25" s="134" t="s">
        <v>178</v>
      </c>
      <c r="G25" s="15" t="s">
        <v>173</v>
      </c>
      <c r="H25" s="132" t="s">
        <v>174</v>
      </c>
      <c r="I25" s="143" t="s">
        <v>65</v>
      </c>
      <c r="J25" s="122" t="s">
        <v>176</v>
      </c>
      <c r="O25" s="44"/>
      <c r="P25" s="44"/>
      <c r="Q25" s="44"/>
      <c r="R25" s="44"/>
      <c r="S25" s="44"/>
    </row>
    <row r="26" spans="1:23" x14ac:dyDescent="0.25">
      <c r="A26" s="47" t="s">
        <v>66</v>
      </c>
      <c r="B26" s="48">
        <v>30416809</v>
      </c>
      <c r="C26" s="48">
        <v>7890613</v>
      </c>
      <c r="D26" s="48">
        <f>B26+C26</f>
        <v>38307422</v>
      </c>
      <c r="E26" s="21">
        <f>F21</f>
        <v>5497831.0000000009</v>
      </c>
      <c r="F26" s="21">
        <f>I21</f>
        <v>7200000</v>
      </c>
      <c r="G26" s="79">
        <f>P21</f>
        <v>11492226.599999998</v>
      </c>
      <c r="H26" s="21">
        <f>Q21</f>
        <v>100000</v>
      </c>
      <c r="I26" s="21">
        <f>E26+F26+G26+H26</f>
        <v>24290057.599999998</v>
      </c>
      <c r="J26" s="21">
        <f>D26-I26</f>
        <v>14017364.400000002</v>
      </c>
      <c r="O26" s="45"/>
      <c r="P26" s="45"/>
      <c r="Q26" s="45"/>
      <c r="R26" s="45"/>
      <c r="S26" s="45"/>
    </row>
    <row r="28" spans="1:23" x14ac:dyDescent="0.25">
      <c r="A28" s="19" t="s">
        <v>160</v>
      </c>
      <c r="B28" s="48">
        <f>30%*D26</f>
        <v>11492226.6</v>
      </c>
    </row>
    <row r="29" spans="1:23" x14ac:dyDescent="0.25">
      <c r="A29" s="19" t="s">
        <v>79</v>
      </c>
      <c r="B29" s="20">
        <v>0.03</v>
      </c>
    </row>
    <row r="30" spans="1:23" x14ac:dyDescent="0.25">
      <c r="A30" s="2"/>
    </row>
  </sheetData>
  <sortState xmlns:xlrd2="http://schemas.microsoft.com/office/spreadsheetml/2017/richdata2" ref="A12:W20">
    <sortCondition descending="1" ref="U12:U20"/>
  </sortState>
  <mergeCells count="16">
    <mergeCell ref="E24:I24"/>
    <mergeCell ref="V9:V11"/>
    <mergeCell ref="E9:Q9"/>
    <mergeCell ref="S9:S11"/>
    <mergeCell ref="T9:T11"/>
    <mergeCell ref="E10:F10"/>
    <mergeCell ref="G10:I10"/>
    <mergeCell ref="J10:P10"/>
    <mergeCell ref="Q10:Q11"/>
    <mergeCell ref="R9:R11"/>
    <mergeCell ref="U9:U11"/>
    <mergeCell ref="A21:D21"/>
    <mergeCell ref="A9:A11"/>
    <mergeCell ref="B9:B11"/>
    <mergeCell ref="C9:C11"/>
    <mergeCell ref="D9:D11"/>
  </mergeCells>
  <pageMargins left="0.31496062992125984" right="0.31496062992125984" top="0.74803149606299213" bottom="0.74803149606299213" header="0.31496062992125984" footer="0.31496062992125984"/>
  <pageSetup paperSize="14" scale="62" orientation="landscape" verticalDpi="0" r:id="rId1"/>
  <colBreaks count="1" manualBreakCount="1">
    <brk id="1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4D5D8-9979-420C-8791-A2288658523D}">
  <dimension ref="A1:L20"/>
  <sheetViews>
    <sheetView topLeftCell="B1" zoomScaleNormal="100" workbookViewId="0">
      <selection activeCell="A22" sqref="A22"/>
    </sheetView>
  </sheetViews>
  <sheetFormatPr baseColWidth="10" defaultRowHeight="15" x14ac:dyDescent="0.25"/>
  <cols>
    <col min="1" max="1" width="48" customWidth="1"/>
    <col min="2" max="2" width="13.42578125" customWidth="1"/>
    <col min="3" max="3" width="14.42578125" bestFit="1" customWidth="1"/>
    <col min="4" max="4" width="15" customWidth="1"/>
    <col min="5" max="5" width="15.28515625" customWidth="1"/>
    <col min="6" max="6" width="12" customWidth="1"/>
  </cols>
  <sheetData>
    <row r="1" spans="1:12" ht="92.25" customHeight="1" x14ac:dyDescent="0.25"/>
    <row r="2" spans="1:12" ht="17.25" x14ac:dyDescent="0.3">
      <c r="A2" s="88" t="s">
        <v>162</v>
      </c>
    </row>
    <row r="3" spans="1:12" ht="17.25" x14ac:dyDescent="0.3">
      <c r="A3" s="88" t="s">
        <v>165</v>
      </c>
    </row>
    <row r="4" spans="1:12" ht="17.25" x14ac:dyDescent="0.3">
      <c r="A4" s="88" t="s">
        <v>182</v>
      </c>
    </row>
    <row r="5" spans="1:12" x14ac:dyDescent="0.25">
      <c r="A5" s="18" t="s">
        <v>129</v>
      </c>
    </row>
    <row r="6" spans="1:12" x14ac:dyDescent="0.25">
      <c r="A6" s="18" t="s">
        <v>166</v>
      </c>
      <c r="B6" s="18"/>
    </row>
    <row r="7" spans="1:12" x14ac:dyDescent="0.25">
      <c r="A7" s="18"/>
      <c r="B7" s="18"/>
    </row>
    <row r="8" spans="1:12" ht="33" customHeight="1" thickBot="1" x14ac:dyDescent="0.3">
      <c r="J8" s="157" t="s">
        <v>183</v>
      </c>
    </row>
    <row r="9" spans="1:12" ht="51" x14ac:dyDescent="0.25">
      <c r="A9" s="167" t="s">
        <v>9</v>
      </c>
      <c r="B9" s="168" t="s">
        <v>1</v>
      </c>
      <c r="C9" s="168" t="s">
        <v>17</v>
      </c>
      <c r="D9" s="169" t="s">
        <v>26</v>
      </c>
      <c r="E9" s="165" t="s">
        <v>168</v>
      </c>
      <c r="F9" s="166" t="s">
        <v>77</v>
      </c>
      <c r="G9" s="1"/>
      <c r="H9" s="144" t="s">
        <v>180</v>
      </c>
      <c r="I9" s="158" t="s">
        <v>181</v>
      </c>
      <c r="J9" s="144" t="s">
        <v>184</v>
      </c>
      <c r="K9" s="144" t="s">
        <v>185</v>
      </c>
      <c r="L9" s="144" t="s">
        <v>179</v>
      </c>
    </row>
    <row r="10" spans="1:12" x14ac:dyDescent="0.25">
      <c r="A10" s="99" t="s">
        <v>10</v>
      </c>
      <c r="B10" s="114" t="s">
        <v>2</v>
      </c>
      <c r="C10" s="100" t="s">
        <v>18</v>
      </c>
      <c r="D10" s="100" t="s">
        <v>154</v>
      </c>
      <c r="E10" s="104">
        <f>VLOOKUP(B10,'Montos BD 2019'!$B$12:$U$20,20,0)</f>
        <v>8902619</v>
      </c>
      <c r="F10" s="105">
        <f t="shared" ref="F10:F18" si="0">E10/$E$19</f>
        <v>0.23239933066754873</v>
      </c>
      <c r="G10" s="81" t="s">
        <v>2</v>
      </c>
      <c r="H10" s="159">
        <f>VLOOKUP(B10,'[2]Montos BD 2019 Anticipo'!$B$7:$G$15,3,0)</f>
        <v>9289972</v>
      </c>
      <c r="I10" s="160">
        <f t="shared" ref="I10:I18" si="1">H10/$H$19</f>
        <v>0.24856907130542369</v>
      </c>
      <c r="J10" s="159">
        <v>3808816</v>
      </c>
      <c r="K10" s="161">
        <f t="shared" ref="K10:K18" si="2">+E10-J10</f>
        <v>5093803</v>
      </c>
      <c r="L10" s="162">
        <f t="shared" ref="L10:L18" si="3">K10/E10</f>
        <v>0.57216904373870203</v>
      </c>
    </row>
    <row r="11" spans="1:12" x14ac:dyDescent="0.25">
      <c r="A11" s="98" t="s">
        <v>11</v>
      </c>
      <c r="B11" s="115" t="s">
        <v>3</v>
      </c>
      <c r="C11" s="89" t="s">
        <v>18</v>
      </c>
      <c r="D11" s="89" t="s">
        <v>154</v>
      </c>
      <c r="E11" s="104">
        <f>VLOOKUP(B11,'Montos BD 2019'!$B$12:$U$20,20,0)</f>
        <v>6467574</v>
      </c>
      <c r="F11" s="105">
        <f t="shared" si="0"/>
        <v>0.16883344874613199</v>
      </c>
      <c r="G11" s="81" t="s">
        <v>3</v>
      </c>
      <c r="H11" s="159">
        <f>VLOOKUP(B11,'[2]Montos BD 2019 Anticipo'!$B$7:$G$15,3,0)</f>
        <v>6380854</v>
      </c>
      <c r="I11" s="160">
        <f t="shared" si="1"/>
        <v>0.17073064944818972</v>
      </c>
      <c r="J11" s="159">
        <v>2616100</v>
      </c>
      <c r="K11" s="161">
        <f t="shared" si="2"/>
        <v>3851474</v>
      </c>
      <c r="L11" s="162">
        <f t="shared" si="3"/>
        <v>0.59550520798061224</v>
      </c>
    </row>
    <row r="12" spans="1:12" x14ac:dyDescent="0.25">
      <c r="A12" s="98" t="s">
        <v>12</v>
      </c>
      <c r="B12" s="115" t="s">
        <v>4</v>
      </c>
      <c r="C12" s="89" t="s">
        <v>18</v>
      </c>
      <c r="D12" s="89" t="s">
        <v>154</v>
      </c>
      <c r="E12" s="104">
        <f>VLOOKUP(B12,'Montos BD 2019'!$B$12:$U$20,20,0)</f>
        <v>4897847</v>
      </c>
      <c r="F12" s="105">
        <f t="shared" si="0"/>
        <v>0.12785634929587142</v>
      </c>
      <c r="G12" s="81" t="s">
        <v>4</v>
      </c>
      <c r="H12" s="159">
        <f>VLOOKUP(B12,'[2]Montos BD 2019 Anticipo'!$B$7:$G$15,3,0)</f>
        <v>4331258</v>
      </c>
      <c r="I12" s="160">
        <f t="shared" si="1"/>
        <v>0.11589020705812533</v>
      </c>
      <c r="J12" s="159">
        <v>1775782</v>
      </c>
      <c r="K12" s="161">
        <f t="shared" si="2"/>
        <v>3122065</v>
      </c>
      <c r="L12" s="162">
        <f t="shared" si="3"/>
        <v>0.63743620411172497</v>
      </c>
    </row>
    <row r="13" spans="1:12" x14ac:dyDescent="0.25">
      <c r="A13" s="98" t="s">
        <v>13</v>
      </c>
      <c r="B13" s="115" t="s">
        <v>5</v>
      </c>
      <c r="C13" s="89" t="s">
        <v>18</v>
      </c>
      <c r="D13" s="89" t="s">
        <v>155</v>
      </c>
      <c r="E13" s="104">
        <f>VLOOKUP(B13,'Montos BD 2019'!$B$12:$U$20,20,0)</f>
        <v>3990903</v>
      </c>
      <c r="F13" s="105">
        <f t="shared" si="0"/>
        <v>0.10418093663888259</v>
      </c>
      <c r="G13" s="81" t="s">
        <v>5</v>
      </c>
      <c r="H13" s="159">
        <f>VLOOKUP(B13,'[2]Montos BD 2019 Anticipo'!$B$7:$G$15,3,0)</f>
        <v>4008941</v>
      </c>
      <c r="I13" s="160">
        <f t="shared" si="1"/>
        <v>0.10726606509559303</v>
      </c>
      <c r="J13" s="159">
        <v>1643635</v>
      </c>
      <c r="K13" s="161">
        <f t="shared" si="2"/>
        <v>2347268</v>
      </c>
      <c r="L13" s="162">
        <f t="shared" si="3"/>
        <v>0.58815461062320984</v>
      </c>
    </row>
    <row r="14" spans="1:12" x14ac:dyDescent="0.25">
      <c r="A14" s="98" t="s">
        <v>14</v>
      </c>
      <c r="B14" s="115" t="s">
        <v>6</v>
      </c>
      <c r="C14" s="89" t="s">
        <v>18</v>
      </c>
      <c r="D14" s="89" t="s">
        <v>155</v>
      </c>
      <c r="E14" s="104">
        <f>VLOOKUP(B14,'Montos BD 2019'!$B$12:$U$20,20,0)</f>
        <v>3493603</v>
      </c>
      <c r="F14" s="105">
        <f t="shared" si="0"/>
        <v>9.1199117789735828E-2</v>
      </c>
      <c r="G14" s="81" t="s">
        <v>6</v>
      </c>
      <c r="H14" s="159">
        <f>VLOOKUP(B14,'[2]Montos BD 2019 Anticipo'!$B$7:$G$15,3,0)</f>
        <v>4401660</v>
      </c>
      <c r="I14" s="160">
        <f t="shared" si="1"/>
        <v>0.11777393283878909</v>
      </c>
      <c r="J14" s="159">
        <v>1804646</v>
      </c>
      <c r="K14" s="161">
        <f t="shared" si="2"/>
        <v>1688957</v>
      </c>
      <c r="L14" s="162">
        <f t="shared" si="3"/>
        <v>0.48344273805581228</v>
      </c>
    </row>
    <row r="15" spans="1:12" x14ac:dyDescent="0.25">
      <c r="A15" s="98" t="s">
        <v>15</v>
      </c>
      <c r="B15" s="115" t="s">
        <v>7</v>
      </c>
      <c r="C15" s="89" t="s">
        <v>18</v>
      </c>
      <c r="D15" s="89" t="s">
        <v>155</v>
      </c>
      <c r="E15" s="104">
        <f>VLOOKUP(B15,'Montos BD 2019'!$B$12:$U$20,20,0)</f>
        <v>3088377</v>
      </c>
      <c r="F15" s="105">
        <f t="shared" si="0"/>
        <v>8.062085411596881E-2</v>
      </c>
      <c r="G15" s="81" t="s">
        <v>7</v>
      </c>
      <c r="H15" s="159">
        <f>VLOOKUP(B15,'[2]Montos BD 2019 Anticipo'!$B$7:$G$15,3,0)</f>
        <v>3080354</v>
      </c>
      <c r="I15" s="160">
        <f t="shared" si="1"/>
        <v>8.2420133566812367E-2</v>
      </c>
      <c r="J15" s="159">
        <v>1262921</v>
      </c>
      <c r="K15" s="161">
        <f t="shared" si="2"/>
        <v>1825456</v>
      </c>
      <c r="L15" s="162">
        <f t="shared" si="3"/>
        <v>0.59107291629227909</v>
      </c>
    </row>
    <row r="16" spans="1:12" x14ac:dyDescent="0.25">
      <c r="A16" s="98" t="s">
        <v>16</v>
      </c>
      <c r="B16" s="115" t="s">
        <v>8</v>
      </c>
      <c r="C16" s="89" t="s">
        <v>18</v>
      </c>
      <c r="D16" s="89" t="s">
        <v>155</v>
      </c>
      <c r="E16" s="104">
        <f>VLOOKUP(B16,'Montos BD 2019'!$B$12:$U$20,20,0)</f>
        <v>2889293</v>
      </c>
      <c r="F16" s="105">
        <f t="shared" si="0"/>
        <v>7.5423845421491567E-2</v>
      </c>
      <c r="G16" s="81" t="s">
        <v>8</v>
      </c>
      <c r="H16" s="159">
        <f>VLOOKUP(B16,'[2]Montos BD 2019 Anticipo'!$B$7:$G$15,3,0)</f>
        <v>2509693</v>
      </c>
      <c r="I16" s="160">
        <f t="shared" si="1"/>
        <v>6.7151123627899267E-2</v>
      </c>
      <c r="J16" s="159">
        <v>1028955</v>
      </c>
      <c r="K16" s="161">
        <f t="shared" si="2"/>
        <v>1860338</v>
      </c>
      <c r="L16" s="162">
        <f t="shared" si="3"/>
        <v>0.64387308590717518</v>
      </c>
    </row>
    <row r="17" spans="1:12" x14ac:dyDescent="0.25">
      <c r="A17" s="98" t="s">
        <v>22</v>
      </c>
      <c r="B17" s="115" t="s">
        <v>19</v>
      </c>
      <c r="C17" s="89" t="s">
        <v>18</v>
      </c>
      <c r="D17" s="89" t="s">
        <v>156</v>
      </c>
      <c r="E17" s="104">
        <f>VLOOKUP(B17,'Montos BD 2019'!$B$12:$U$20,20,0)</f>
        <v>2404667</v>
      </c>
      <c r="F17" s="105">
        <f t="shared" si="0"/>
        <v>6.277287630508982E-2</v>
      </c>
      <c r="G17" s="81" t="s">
        <v>19</v>
      </c>
      <c r="H17" s="159">
        <f>VLOOKUP(B17,'[2]Montos BD 2019 Anticipo'!$B$7:$G$15,3,0)</f>
        <v>1825013</v>
      </c>
      <c r="I17" s="160">
        <f t="shared" si="1"/>
        <v>4.883134056058782E-2</v>
      </c>
      <c r="J17" s="159">
        <v>748241</v>
      </c>
      <c r="K17" s="161">
        <f t="shared" si="2"/>
        <v>1656426</v>
      </c>
      <c r="L17" s="162">
        <f t="shared" si="3"/>
        <v>0.68883799711145033</v>
      </c>
    </row>
    <row r="18" spans="1:12" ht="15.75" thickBot="1" x14ac:dyDescent="0.3">
      <c r="A18" s="109" t="s">
        <v>21</v>
      </c>
      <c r="B18" s="116" t="s">
        <v>20</v>
      </c>
      <c r="C18" s="90" t="s">
        <v>18</v>
      </c>
      <c r="D18" s="90" t="s">
        <v>156</v>
      </c>
      <c r="E18" s="104">
        <f>VLOOKUP(B18,'Montos BD 2019'!$B$12:$U$20,20,0)</f>
        <v>2172538</v>
      </c>
      <c r="F18" s="105">
        <f t="shared" si="0"/>
        <v>5.671324101927927E-2</v>
      </c>
      <c r="G18" s="81" t="s">
        <v>20</v>
      </c>
      <c r="H18" s="159">
        <f>VLOOKUP(B18,'[2]Montos BD 2019 Anticipo'!$B$7:$G$15,3,0)</f>
        <v>1546060</v>
      </c>
      <c r="I18" s="160">
        <f t="shared" si="1"/>
        <v>4.1367476498579685E-2</v>
      </c>
      <c r="J18" s="159">
        <v>633873</v>
      </c>
      <c r="K18" s="161">
        <f t="shared" si="2"/>
        <v>1538665</v>
      </c>
      <c r="L18" s="162">
        <f t="shared" si="3"/>
        <v>0.70823387208877364</v>
      </c>
    </row>
    <row r="19" spans="1:12" ht="15.75" thickBot="1" x14ac:dyDescent="0.3">
      <c r="A19" s="171" t="s">
        <v>127</v>
      </c>
      <c r="B19" s="172"/>
      <c r="C19" s="172"/>
      <c r="D19" s="172"/>
      <c r="E19" s="94">
        <f>SUM(E10:E18)</f>
        <v>38307421</v>
      </c>
      <c r="F19" s="113">
        <f>SUM(F10:F18)</f>
        <v>1</v>
      </c>
      <c r="H19" s="163">
        <f>SUM(H10:H18)</f>
        <v>37373805</v>
      </c>
      <c r="I19" s="164">
        <f>SUM(I10:I18)</f>
        <v>1</v>
      </c>
      <c r="J19" s="163">
        <f>SUM(J10:J18)</f>
        <v>15322969</v>
      </c>
      <c r="K19" s="163">
        <f>SUM(K10:K18)</f>
        <v>22984452</v>
      </c>
    </row>
    <row r="20" spans="1:12" x14ac:dyDescent="0.25">
      <c r="K20" s="163">
        <f>SUM(J19:K19)</f>
        <v>38307421</v>
      </c>
    </row>
  </sheetData>
  <sortState xmlns:xlrd2="http://schemas.microsoft.com/office/spreadsheetml/2017/richdata2" ref="A10:L18">
    <sortCondition descending="1" ref="E10:E18"/>
  </sortState>
  <mergeCells count="1">
    <mergeCell ref="A19:D19"/>
  </mergeCells>
  <pageMargins left="0.31496062992125984" right="0.31496062992125984" top="0.74803149606299213" bottom="0.74803149606299213" header="0.31496062992125984" footer="0.31496062992125984"/>
  <pageSetup paperSize="14" scale="7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AB28"/>
  <sheetViews>
    <sheetView workbookViewId="0"/>
  </sheetViews>
  <sheetFormatPr baseColWidth="10" defaultRowHeight="15" x14ac:dyDescent="0.25"/>
  <cols>
    <col min="1" max="1" width="47" customWidth="1"/>
    <col min="2" max="2" width="14.140625" customWidth="1"/>
    <col min="3" max="3" width="12.5703125" customWidth="1"/>
    <col min="4" max="4" width="16.28515625" customWidth="1"/>
    <col min="5" max="5" width="15.42578125" customWidth="1"/>
    <col min="6" max="27" width="11.28515625" customWidth="1"/>
    <col min="28" max="28" width="23.42578125" bestFit="1" customWidth="1"/>
  </cols>
  <sheetData>
    <row r="1" spans="1:28" x14ac:dyDescent="0.25">
      <c r="A1" s="18" t="s">
        <v>186</v>
      </c>
    </row>
    <row r="2" spans="1:28" ht="35.25" customHeight="1" x14ac:dyDescent="0.25">
      <c r="B2" s="95">
        <v>1</v>
      </c>
      <c r="C2" s="95">
        <v>2</v>
      </c>
      <c r="D2" s="177" t="s">
        <v>132</v>
      </c>
      <c r="E2" s="177"/>
      <c r="F2" s="177"/>
      <c r="G2" s="177"/>
      <c r="H2" s="177"/>
      <c r="I2" s="177"/>
      <c r="J2" s="177"/>
      <c r="K2" s="177"/>
      <c r="L2" s="177"/>
      <c r="M2" s="177"/>
      <c r="N2" s="177" t="s">
        <v>161</v>
      </c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95">
        <v>24</v>
      </c>
    </row>
    <row r="3" spans="1:28" ht="39" x14ac:dyDescent="0.25">
      <c r="A3" s="24" t="s">
        <v>9</v>
      </c>
      <c r="B3" t="s">
        <v>131</v>
      </c>
      <c r="C3" s="24" t="s">
        <v>17</v>
      </c>
      <c r="D3" s="139">
        <v>2</v>
      </c>
      <c r="E3" s="139">
        <v>3</v>
      </c>
      <c r="F3" s="139">
        <v>4</v>
      </c>
      <c r="G3" s="139">
        <v>5</v>
      </c>
      <c r="H3" s="139">
        <v>6</v>
      </c>
      <c r="I3" s="139">
        <v>7</v>
      </c>
      <c r="J3" s="139">
        <v>8</v>
      </c>
      <c r="K3" s="139">
        <v>9</v>
      </c>
      <c r="L3" s="139">
        <v>10</v>
      </c>
      <c r="M3" s="140" t="s">
        <v>23</v>
      </c>
      <c r="N3" s="139">
        <v>2</v>
      </c>
      <c r="O3" s="139">
        <v>3</v>
      </c>
      <c r="P3" s="139">
        <v>4</v>
      </c>
      <c r="Q3" s="139">
        <v>5</v>
      </c>
      <c r="R3" s="139">
        <v>6</v>
      </c>
      <c r="S3" s="139">
        <v>7</v>
      </c>
      <c r="T3" s="139">
        <v>8</v>
      </c>
      <c r="U3" s="139">
        <v>9</v>
      </c>
      <c r="V3" s="140" t="s">
        <v>133</v>
      </c>
      <c r="W3" s="140" t="s">
        <v>134</v>
      </c>
      <c r="X3" s="140" t="s">
        <v>24</v>
      </c>
      <c r="Y3" s="24" t="s">
        <v>25</v>
      </c>
      <c r="Z3" s="24" t="s">
        <v>135</v>
      </c>
      <c r="AA3" s="24" t="s">
        <v>26</v>
      </c>
      <c r="AB3" s="24" t="s">
        <v>59</v>
      </c>
    </row>
    <row r="4" spans="1:28" x14ac:dyDescent="0.25">
      <c r="A4" s="1" t="s">
        <v>10</v>
      </c>
      <c r="B4" s="1" t="s">
        <v>2</v>
      </c>
      <c r="C4" s="3" t="s">
        <v>18</v>
      </c>
      <c r="D4" s="57">
        <v>0</v>
      </c>
      <c r="E4" s="57">
        <f>IFERROR(VLOOKUP(B4,'[3]Acreditación Doctorados'!$D$19:$J$27,2,0),0)</f>
        <v>0</v>
      </c>
      <c r="F4" s="57">
        <f>IFERROR(VLOOKUP(B4,'[3]Acreditación Doctorados'!$D$19:$F$27,3,0),0)</f>
        <v>0</v>
      </c>
      <c r="G4" s="57">
        <f>IFERROR(VLOOKUP(B4,'[3]Acreditación Doctorados'!$D$19:$G$27,4,0),0)</f>
        <v>0</v>
      </c>
      <c r="H4" s="57">
        <f>IFERROR(VLOOKUP(B4,'[3]Acreditación Doctorados'!$D$19:$H$27,5,0),0)</f>
        <v>1</v>
      </c>
      <c r="I4" s="57">
        <v>0</v>
      </c>
      <c r="J4" s="57">
        <v>0</v>
      </c>
      <c r="K4" s="57">
        <f>IFERROR(VLOOKUP(B4,'[3]Acreditación Doctorados'!$D$19:$J$27,6,0),0)</f>
        <v>0</v>
      </c>
      <c r="L4" s="57">
        <f>IFERROR(VLOOKUP(B4,'[3]Acreditación Doctorados'!$D$19:$J$27,7,0),0)</f>
        <v>0</v>
      </c>
      <c r="M4" s="57">
        <f>SUM(D4:L4)</f>
        <v>1</v>
      </c>
      <c r="N4" s="57">
        <f>IFERROR(VLOOKUP(B4,'[3]Acreditación Doctorados'!$D$19:$S$27,9,0),0)</f>
        <v>1</v>
      </c>
      <c r="O4" s="57">
        <f>IFERROR(VLOOKUP(B4,'[3]Acreditación Doctorados'!$D$19:$S$27,10,0),0)</f>
        <v>6</v>
      </c>
      <c r="P4" s="57">
        <f>IFERROR(VLOOKUP(B4,'[3]Acreditación Doctorados'!$D$19:$S$27,11,0),0)</f>
        <v>6</v>
      </c>
      <c r="Q4" s="57">
        <f>IFERROR(VLOOKUP(B4,'[3]Acreditación Doctorados'!$D$19:$S$27,12,0),0)</f>
        <v>6</v>
      </c>
      <c r="R4" s="57">
        <f>IFERROR(VLOOKUP(B4,'[3]Acreditación Doctorados'!$D$19:$S$27,13,0),0)</f>
        <v>2</v>
      </c>
      <c r="S4" s="57">
        <f>IFERROR(VLOOKUP(B4,'[3]Acreditación Doctorados'!$D$19:$S$27,14,0),0)</f>
        <v>7</v>
      </c>
      <c r="T4" s="57">
        <f>IFERROR(VLOOKUP(B4,'[3]Acreditación Doctorados'!$D$19:$S$27,15,0),0)</f>
        <v>4</v>
      </c>
      <c r="U4" s="57">
        <f>IFERROR(VLOOKUP(B4,'[3]Acreditación Doctorados'!$D$19:$S$27,16,0),0)</f>
        <v>1</v>
      </c>
      <c r="V4" s="57">
        <f>SUM(N4:U4)</f>
        <v>33</v>
      </c>
      <c r="W4" s="57">
        <f>M4+V4</f>
        <v>34</v>
      </c>
      <c r="X4" s="57">
        <f>SUM(G4:L4)</f>
        <v>1</v>
      </c>
      <c r="Y4" s="1">
        <f>V4+X4</f>
        <v>34</v>
      </c>
      <c r="Z4" s="1">
        <f>IFERROR(VLOOKUP(B4,[4]SCOPUS!$C$7:$L$33,10,0),0)</f>
        <v>2338</v>
      </c>
      <c r="AA4" s="1" t="str">
        <f t="shared" ref="AA4:AA12" si="0">IF(AND(Y4&gt;=10,Z4&gt;=300),"Categoría I",IF(AND(Y4&gt;=1,Z4&gt;=100),"Categoría II","Categoría III"))</f>
        <v>Categoría I</v>
      </c>
      <c r="AB4" s="1" t="str">
        <f t="shared" ref="AB4:AB12" si="1">CONCATENATE(C4,AA4)</f>
        <v>CRUCH-PRIVADACategoría I</v>
      </c>
    </row>
    <row r="5" spans="1:28" x14ac:dyDescent="0.25">
      <c r="A5" s="1" t="s">
        <v>12</v>
      </c>
      <c r="B5" s="1" t="s">
        <v>4</v>
      </c>
      <c r="C5" s="3" t="s">
        <v>18</v>
      </c>
      <c r="D5" s="57">
        <v>0</v>
      </c>
      <c r="E5" s="57">
        <f>IFERROR(VLOOKUP(B5,'[3]Acreditación Doctorados'!$D$19:$J$27,2,0),0)</f>
        <v>0</v>
      </c>
      <c r="F5" s="57">
        <f>IFERROR(VLOOKUP(B5,'[3]Acreditación Doctorados'!$D$19:$F$27,3,0),0)</f>
        <v>1</v>
      </c>
      <c r="G5" s="57">
        <f>IFERROR(VLOOKUP(B5,'[3]Acreditación Doctorados'!$D$19:$G$27,4,0),0)</f>
        <v>0</v>
      </c>
      <c r="H5" s="57">
        <f>IFERROR(VLOOKUP(B5,'[3]Acreditación Doctorados'!$D$19:$H$27,5,0),0)</f>
        <v>2</v>
      </c>
      <c r="I5" s="57">
        <v>0</v>
      </c>
      <c r="J5" s="57">
        <v>0</v>
      </c>
      <c r="K5" s="57">
        <f>IFERROR(VLOOKUP(B5,'[3]Acreditación Doctorados'!$D$19:$J$27,6,0),0)</f>
        <v>0</v>
      </c>
      <c r="L5" s="57">
        <f>IFERROR(VLOOKUP(B5,'[3]Acreditación Doctorados'!$D$19:$J$27,7,0),0)</f>
        <v>1</v>
      </c>
      <c r="M5" s="57">
        <f t="shared" ref="M5:M12" si="2">SUM(D5:L5)</f>
        <v>4</v>
      </c>
      <c r="N5" s="57">
        <f>IFERROR(VLOOKUP(B5,'[3]Acreditación Doctorados'!$D$19:$S$27,9,0),0)</f>
        <v>2</v>
      </c>
      <c r="O5" s="57">
        <f>IFERROR(VLOOKUP(B5,'[3]Acreditación Doctorados'!$D$19:$S$27,10,0),0)</f>
        <v>2</v>
      </c>
      <c r="P5" s="57">
        <f>IFERROR(VLOOKUP(B5,'[3]Acreditación Doctorados'!$D$19:$S$27,11,0),0)</f>
        <v>2</v>
      </c>
      <c r="Q5" s="57">
        <f>IFERROR(VLOOKUP(B5,'[3]Acreditación Doctorados'!$D$19:$S$27,12,0),0)</f>
        <v>1</v>
      </c>
      <c r="R5" s="57">
        <f>IFERROR(VLOOKUP(B5,'[3]Acreditación Doctorados'!$D$19:$S$27,13,0),0)</f>
        <v>0</v>
      </c>
      <c r="S5" s="57">
        <f>IFERROR(VLOOKUP(B5,'[3]Acreditación Doctorados'!$D$19:$S$27,14,0),0)</f>
        <v>2</v>
      </c>
      <c r="T5" s="57">
        <f>IFERROR(VLOOKUP(B5,'[3]Acreditación Doctorados'!$D$19:$S$27,15,0),0)</f>
        <v>0</v>
      </c>
      <c r="U5" s="57">
        <f>IFERROR(VLOOKUP(B5,'[3]Acreditación Doctorados'!$D$19:$S$27,16,0),0)</f>
        <v>0</v>
      </c>
      <c r="V5" s="57">
        <f t="shared" ref="V5:V12" si="3">SUM(N5:U5)</f>
        <v>9</v>
      </c>
      <c r="W5" s="57">
        <f t="shared" ref="W5:W12" si="4">M5+V5</f>
        <v>13</v>
      </c>
      <c r="X5" s="57">
        <f t="shared" ref="X5:X12" si="5">SUM(G5:L5)</f>
        <v>3</v>
      </c>
      <c r="Y5" s="1">
        <f t="shared" ref="Y5:Y12" si="6">V5+X5</f>
        <v>12</v>
      </c>
      <c r="Z5" s="1">
        <f>IFERROR(VLOOKUP(B5,[4]SCOPUS!$C$7:$L$33,10,0),0)</f>
        <v>608</v>
      </c>
      <c r="AA5" s="1" t="str">
        <f t="shared" si="0"/>
        <v>Categoría I</v>
      </c>
      <c r="AB5" s="1" t="str">
        <f t="shared" si="1"/>
        <v>CRUCH-PRIVADACategoría I</v>
      </c>
    </row>
    <row r="6" spans="1:28" x14ac:dyDescent="0.25">
      <c r="A6" s="1" t="s">
        <v>13</v>
      </c>
      <c r="B6" s="1" t="s">
        <v>5</v>
      </c>
      <c r="C6" s="3" t="s">
        <v>18</v>
      </c>
      <c r="D6" s="57">
        <v>0</v>
      </c>
      <c r="E6" s="57">
        <f>IFERROR(VLOOKUP(B6,'[3]Acreditación Doctorados'!$D$19:$J$27,2,0),0)</f>
        <v>0</v>
      </c>
      <c r="F6" s="57">
        <f>IFERROR(VLOOKUP(B6,'[3]Acreditación Doctorados'!$D$19:$F$27,3,0),0)</f>
        <v>0</v>
      </c>
      <c r="G6" s="57">
        <f>IFERROR(VLOOKUP(B6,'[3]Acreditación Doctorados'!$D$19:$G$27,4,0),0)</f>
        <v>0</v>
      </c>
      <c r="H6" s="57">
        <f>IFERROR(VLOOKUP(B6,'[3]Acreditación Doctorados'!$D$19:$H$27,5,0),0)</f>
        <v>0</v>
      </c>
      <c r="I6" s="57">
        <v>0</v>
      </c>
      <c r="J6" s="57">
        <v>0</v>
      </c>
      <c r="K6" s="57">
        <f>IFERROR(VLOOKUP(B6,'[3]Acreditación Doctorados'!$D$19:$J$27,6,0),0)</f>
        <v>0</v>
      </c>
      <c r="L6" s="57">
        <f>IFERROR(VLOOKUP(B6,'[3]Acreditación Doctorados'!$D$19:$J$27,7,0),0)</f>
        <v>0</v>
      </c>
      <c r="M6" s="57">
        <f t="shared" si="2"/>
        <v>0</v>
      </c>
      <c r="N6" s="57">
        <f>IFERROR(VLOOKUP(B6,'[3]Acreditación Doctorados'!$D$19:$S$27,9,0),0)</f>
        <v>0</v>
      </c>
      <c r="O6" s="57">
        <f>IFERROR(VLOOKUP(B6,'[3]Acreditación Doctorados'!$D$19:$S$27,10,0),0)</f>
        <v>5</v>
      </c>
      <c r="P6" s="57">
        <f>IFERROR(VLOOKUP(B6,'[3]Acreditación Doctorados'!$D$19:$S$27,11,0),0)</f>
        <v>1</v>
      </c>
      <c r="Q6" s="57">
        <f>IFERROR(VLOOKUP(B6,'[3]Acreditación Doctorados'!$D$19:$S$27,12,0),0)</f>
        <v>0</v>
      </c>
      <c r="R6" s="57">
        <f>IFERROR(VLOOKUP(B6,'[3]Acreditación Doctorados'!$D$19:$S$27,13,0),0)</f>
        <v>2</v>
      </c>
      <c r="S6" s="57">
        <f>IFERROR(VLOOKUP(B6,'[3]Acreditación Doctorados'!$D$19:$S$27,14,0),0)</f>
        <v>1</v>
      </c>
      <c r="T6" s="57">
        <f>IFERROR(VLOOKUP(B6,'[3]Acreditación Doctorados'!$D$19:$S$27,15,0),0)</f>
        <v>0</v>
      </c>
      <c r="U6" s="57">
        <f>IFERROR(VLOOKUP(B6,'[3]Acreditación Doctorados'!$D$19:$S$27,16,0),0)</f>
        <v>0</v>
      </c>
      <c r="V6" s="57">
        <f t="shared" si="3"/>
        <v>9</v>
      </c>
      <c r="W6" s="57">
        <f t="shared" si="4"/>
        <v>9</v>
      </c>
      <c r="X6" s="57">
        <f t="shared" si="5"/>
        <v>0</v>
      </c>
      <c r="Y6" s="1">
        <f t="shared" si="6"/>
        <v>9</v>
      </c>
      <c r="Z6" s="1">
        <f>IFERROR(VLOOKUP(B6,[4]SCOPUS!$C$7:$L$33,10,0),0)</f>
        <v>548</v>
      </c>
      <c r="AA6" s="1" t="str">
        <f t="shared" si="0"/>
        <v>Categoría II</v>
      </c>
      <c r="AB6" s="1" t="str">
        <f t="shared" si="1"/>
        <v>CRUCH-PRIVADACategoría II</v>
      </c>
    </row>
    <row r="7" spans="1:28" x14ac:dyDescent="0.25">
      <c r="A7" s="1" t="s">
        <v>21</v>
      </c>
      <c r="B7" s="1" t="s">
        <v>20</v>
      </c>
      <c r="C7" s="3" t="s">
        <v>18</v>
      </c>
      <c r="D7" s="57">
        <v>0</v>
      </c>
      <c r="E7" s="57">
        <f>IFERROR(VLOOKUP(B7,'[3]Acreditación Doctorados'!$D$19:$J$27,2,0),0)</f>
        <v>1</v>
      </c>
      <c r="F7" s="57">
        <f>IFERROR(VLOOKUP(B7,'[3]Acreditación Doctorados'!$D$19:$F$27,3,0),0)</f>
        <v>0</v>
      </c>
      <c r="G7" s="57">
        <f>IFERROR(VLOOKUP(B7,'[3]Acreditación Doctorados'!$D$19:$G$27,4,0),0)</f>
        <v>0</v>
      </c>
      <c r="H7" s="57">
        <f>IFERROR(VLOOKUP(B7,'[3]Acreditación Doctorados'!$D$19:$H$27,5,0),0)</f>
        <v>0</v>
      </c>
      <c r="I7" s="57">
        <v>0</v>
      </c>
      <c r="J7" s="57">
        <v>0</v>
      </c>
      <c r="K7" s="57">
        <f>IFERROR(VLOOKUP(B7,'[3]Acreditación Doctorados'!$D$19:$J$27,6,0),0)</f>
        <v>0</v>
      </c>
      <c r="L7" s="57">
        <f>IFERROR(VLOOKUP(B7,'[3]Acreditación Doctorados'!$D$19:$J$27,7,0),0)</f>
        <v>0</v>
      </c>
      <c r="M7" s="57">
        <f t="shared" si="2"/>
        <v>1</v>
      </c>
      <c r="N7" s="57">
        <f>IFERROR(VLOOKUP(B7,'[3]Acreditación Doctorados'!$D$19:$S$27,9,0),0)</f>
        <v>0</v>
      </c>
      <c r="O7" s="57">
        <f>IFERROR(VLOOKUP(B7,'[3]Acreditación Doctorados'!$D$19:$S$27,10,0),0)</f>
        <v>0</v>
      </c>
      <c r="P7" s="57">
        <f>IFERROR(VLOOKUP(B7,'[3]Acreditación Doctorados'!$D$19:$S$27,11,0),0)</f>
        <v>0</v>
      </c>
      <c r="Q7" s="57">
        <f>IFERROR(VLOOKUP(B7,'[3]Acreditación Doctorados'!$D$19:$S$27,12,0),0)</f>
        <v>0</v>
      </c>
      <c r="R7" s="57">
        <f>IFERROR(VLOOKUP(B7,'[3]Acreditación Doctorados'!$D$19:$S$27,13,0),0)</f>
        <v>0</v>
      </c>
      <c r="S7" s="57">
        <f>IFERROR(VLOOKUP(B7,'[3]Acreditación Doctorados'!$D$19:$S$27,14,0),0)</f>
        <v>0</v>
      </c>
      <c r="T7" s="57">
        <f>IFERROR(VLOOKUP(B7,'[3]Acreditación Doctorados'!$D$19:$S$27,15,0),0)</f>
        <v>0</v>
      </c>
      <c r="U7" s="57">
        <f>IFERROR(VLOOKUP(B7,'[3]Acreditación Doctorados'!$D$19:$S$27,16,0),0)</f>
        <v>0</v>
      </c>
      <c r="V7" s="57">
        <f t="shared" si="3"/>
        <v>0</v>
      </c>
      <c r="W7" s="57">
        <f t="shared" si="4"/>
        <v>1</v>
      </c>
      <c r="X7" s="57">
        <f t="shared" si="5"/>
        <v>0</v>
      </c>
      <c r="Y7" s="1">
        <f t="shared" si="6"/>
        <v>0</v>
      </c>
      <c r="Z7" s="1">
        <f>IFERROR(VLOOKUP(B7,[4]SCOPUS!$C$7:$L$33,10,0),0)</f>
        <v>144</v>
      </c>
      <c r="AA7" s="1" t="str">
        <f t="shared" si="0"/>
        <v>Categoría III</v>
      </c>
      <c r="AB7" s="1" t="str">
        <f t="shared" si="1"/>
        <v>CRUCH-PRIVADACategoría III</v>
      </c>
    </row>
    <row r="8" spans="1:28" x14ac:dyDescent="0.25">
      <c r="A8" s="1" t="s">
        <v>16</v>
      </c>
      <c r="B8" s="1" t="s">
        <v>8</v>
      </c>
      <c r="C8" s="3" t="s">
        <v>18</v>
      </c>
      <c r="D8" s="57">
        <v>0</v>
      </c>
      <c r="E8" s="57">
        <f>IFERROR(VLOOKUP(B8,'[3]Acreditación Doctorados'!$D$19:$J$27,2,0),0)</f>
        <v>1</v>
      </c>
      <c r="F8" s="57">
        <f>IFERROR(VLOOKUP(B8,'[3]Acreditación Doctorados'!$D$19:$F$27,3,0),0)</f>
        <v>0</v>
      </c>
      <c r="G8" s="57">
        <f>IFERROR(VLOOKUP(B8,'[3]Acreditación Doctorados'!$D$19:$G$27,4,0),0)</f>
        <v>0</v>
      </c>
      <c r="H8" s="57">
        <f>IFERROR(VLOOKUP(B8,'[3]Acreditación Doctorados'!$D$19:$H$27,5,0),0)</f>
        <v>0</v>
      </c>
      <c r="I8" s="57">
        <v>0</v>
      </c>
      <c r="J8" s="57">
        <v>0</v>
      </c>
      <c r="K8" s="57">
        <f>IFERROR(VLOOKUP(B8,'[3]Acreditación Doctorados'!$D$19:$J$27,6,0),0)</f>
        <v>0</v>
      </c>
      <c r="L8" s="57">
        <f>IFERROR(VLOOKUP(B8,'[3]Acreditación Doctorados'!$D$19:$J$27,7,0),0)</f>
        <v>0</v>
      </c>
      <c r="M8" s="57">
        <f t="shared" si="2"/>
        <v>1</v>
      </c>
      <c r="N8" s="57">
        <f>IFERROR(VLOOKUP(B8,'[3]Acreditación Doctorados'!$D$19:$S$27,9,0),0)</f>
        <v>2</v>
      </c>
      <c r="O8" s="57">
        <f>IFERROR(VLOOKUP(B8,'[3]Acreditación Doctorados'!$D$19:$S$27,10,0),0)</f>
        <v>0</v>
      </c>
      <c r="P8" s="57">
        <f>IFERROR(VLOOKUP(B8,'[3]Acreditación Doctorados'!$D$19:$S$27,11,0),0)</f>
        <v>0</v>
      </c>
      <c r="Q8" s="57">
        <f>IFERROR(VLOOKUP(B8,'[3]Acreditación Doctorados'!$D$19:$S$27,12,0),0)</f>
        <v>0</v>
      </c>
      <c r="R8" s="57">
        <f>IFERROR(VLOOKUP(B8,'[3]Acreditación Doctorados'!$D$19:$S$27,13,0),0)</f>
        <v>0</v>
      </c>
      <c r="S8" s="57">
        <f>IFERROR(VLOOKUP(B8,'[3]Acreditación Doctorados'!$D$19:$S$27,14,0),0)</f>
        <v>0</v>
      </c>
      <c r="T8" s="57">
        <f>IFERROR(VLOOKUP(B8,'[3]Acreditación Doctorados'!$D$19:$S$27,15,0),0)</f>
        <v>0</v>
      </c>
      <c r="U8" s="57">
        <f>IFERROR(VLOOKUP(B8,'[3]Acreditación Doctorados'!$D$19:$S$27,16,0),0)</f>
        <v>0</v>
      </c>
      <c r="V8" s="57">
        <f t="shared" si="3"/>
        <v>2</v>
      </c>
      <c r="W8" s="57">
        <f t="shared" si="4"/>
        <v>3</v>
      </c>
      <c r="X8" s="57">
        <f t="shared" si="5"/>
        <v>0</v>
      </c>
      <c r="Y8" s="1">
        <f t="shared" si="6"/>
        <v>2</v>
      </c>
      <c r="Z8" s="1">
        <f>IFERROR(VLOOKUP(B8,[4]SCOPUS!$C$7:$L$33,10,0),0)</f>
        <v>160</v>
      </c>
      <c r="AA8" s="1" t="str">
        <f t="shared" si="0"/>
        <v>Categoría II</v>
      </c>
      <c r="AB8" s="1" t="str">
        <f t="shared" si="1"/>
        <v>CRUCH-PRIVADACategoría II</v>
      </c>
    </row>
    <row r="9" spans="1:28" x14ac:dyDescent="0.25">
      <c r="A9" s="1" t="s">
        <v>22</v>
      </c>
      <c r="B9" s="1" t="s">
        <v>19</v>
      </c>
      <c r="C9" s="3" t="s">
        <v>18</v>
      </c>
      <c r="D9" s="57">
        <v>0</v>
      </c>
      <c r="E9" s="57">
        <f>IFERROR(VLOOKUP(B9,'[3]Acreditación Doctorados'!$D$19:$J$27,2,0),0)</f>
        <v>1</v>
      </c>
      <c r="F9" s="57">
        <f>IFERROR(VLOOKUP(B9,'[3]Acreditación Doctorados'!$D$19:$F$27,3,0),0)</f>
        <v>0</v>
      </c>
      <c r="G9" s="57">
        <f>IFERROR(VLOOKUP(B9,'[3]Acreditación Doctorados'!$D$19:$G$27,4,0),0)</f>
        <v>0</v>
      </c>
      <c r="H9" s="57">
        <f>IFERROR(VLOOKUP(B9,'[3]Acreditación Doctorados'!$D$19:$H$27,5,0),0)</f>
        <v>0</v>
      </c>
      <c r="I9" s="57">
        <v>0</v>
      </c>
      <c r="J9" s="57">
        <v>0</v>
      </c>
      <c r="K9" s="57">
        <f>IFERROR(VLOOKUP(B9,'[3]Acreditación Doctorados'!$D$19:$J$27,6,0),0)</f>
        <v>0</v>
      </c>
      <c r="L9" s="57">
        <f>IFERROR(VLOOKUP(B9,'[3]Acreditación Doctorados'!$D$19:$J$27,7,0),0)</f>
        <v>0</v>
      </c>
      <c r="M9" s="57">
        <f t="shared" si="2"/>
        <v>1</v>
      </c>
      <c r="N9" s="57">
        <f>IFERROR(VLOOKUP(B9,'[3]Acreditación Doctorados'!$D$19:$S$27,9,0),0)</f>
        <v>0</v>
      </c>
      <c r="O9" s="57">
        <f>IFERROR(VLOOKUP(B9,'[3]Acreditación Doctorados'!$D$19:$S$27,10,0),0)</f>
        <v>0</v>
      </c>
      <c r="P9" s="57">
        <f>IFERROR(VLOOKUP(B9,'[3]Acreditación Doctorados'!$D$19:$S$27,11,0),0)</f>
        <v>0</v>
      </c>
      <c r="Q9" s="57">
        <f>IFERROR(VLOOKUP(B9,'[3]Acreditación Doctorados'!$D$19:$S$27,12,0),0)</f>
        <v>0</v>
      </c>
      <c r="R9" s="57">
        <f>IFERROR(VLOOKUP(B9,'[3]Acreditación Doctorados'!$D$19:$S$27,13,0),0)</f>
        <v>0</v>
      </c>
      <c r="S9" s="57">
        <f>IFERROR(VLOOKUP(B9,'[3]Acreditación Doctorados'!$D$19:$S$27,14,0),0)</f>
        <v>0</v>
      </c>
      <c r="T9" s="57">
        <f>IFERROR(VLOOKUP(B9,'[3]Acreditación Doctorados'!$D$19:$S$27,15,0),0)</f>
        <v>0</v>
      </c>
      <c r="U9" s="57">
        <f>IFERROR(VLOOKUP(B9,'[3]Acreditación Doctorados'!$D$19:$S$27,16,0),0)</f>
        <v>0</v>
      </c>
      <c r="V9" s="57">
        <f t="shared" si="3"/>
        <v>0</v>
      </c>
      <c r="W9" s="57">
        <f t="shared" si="4"/>
        <v>1</v>
      </c>
      <c r="X9" s="57">
        <f t="shared" si="5"/>
        <v>0</v>
      </c>
      <c r="Y9" s="1">
        <f t="shared" si="6"/>
        <v>0</v>
      </c>
      <c r="Z9" s="1">
        <f>IFERROR(VLOOKUP(B9,[4]SCOPUS!$C$7:$L$33,10,0),0)</f>
        <v>138</v>
      </c>
      <c r="AA9" s="1" t="str">
        <f t="shared" si="0"/>
        <v>Categoría III</v>
      </c>
      <c r="AB9" s="1" t="str">
        <f t="shared" si="1"/>
        <v>CRUCH-PRIVADACategoría III</v>
      </c>
    </row>
    <row r="10" spans="1:28" x14ac:dyDescent="0.25">
      <c r="A10" s="1" t="s">
        <v>15</v>
      </c>
      <c r="B10" s="1" t="s">
        <v>7</v>
      </c>
      <c r="C10" s="3" t="s">
        <v>18</v>
      </c>
      <c r="D10" s="57">
        <v>0</v>
      </c>
      <c r="E10" s="57">
        <f>IFERROR(VLOOKUP(B10,'[3]Acreditación Doctorados'!$D$19:$J$27,2,0),0)</f>
        <v>1</v>
      </c>
      <c r="F10" s="57">
        <f>IFERROR(VLOOKUP(B10,'[3]Acreditación Doctorados'!$D$19:$F$27,3,0),0)</f>
        <v>0</v>
      </c>
      <c r="G10" s="57">
        <f>IFERROR(VLOOKUP(B10,'[3]Acreditación Doctorados'!$D$19:$G$27,4,0),0)</f>
        <v>1</v>
      </c>
      <c r="H10" s="57">
        <f>IFERROR(VLOOKUP(B10,'[3]Acreditación Doctorados'!$D$19:$H$27,5,0),0)</f>
        <v>1</v>
      </c>
      <c r="I10" s="57">
        <v>0</v>
      </c>
      <c r="J10" s="57">
        <v>0</v>
      </c>
      <c r="K10" s="57">
        <f>IFERROR(VLOOKUP(B10,'[3]Acreditación Doctorados'!$D$19:$J$27,6,0),0)</f>
        <v>0</v>
      </c>
      <c r="L10" s="57">
        <f>IFERROR(VLOOKUP(B10,'[3]Acreditación Doctorados'!$D$19:$J$27,7,0),0)</f>
        <v>0</v>
      </c>
      <c r="M10" s="57">
        <f t="shared" si="2"/>
        <v>3</v>
      </c>
      <c r="N10" s="57">
        <f>IFERROR(VLOOKUP(B10,'[3]Acreditación Doctorados'!$D$19:$S$27,9,0),0)</f>
        <v>1</v>
      </c>
      <c r="O10" s="57">
        <f>IFERROR(VLOOKUP(B10,'[3]Acreditación Doctorados'!$D$19:$S$27,10,0),0)</f>
        <v>2</v>
      </c>
      <c r="P10" s="57">
        <f>IFERROR(VLOOKUP(B10,'[3]Acreditación Doctorados'!$D$19:$S$27,11,0),0)</f>
        <v>0</v>
      </c>
      <c r="Q10" s="57">
        <f>IFERROR(VLOOKUP(B10,'[3]Acreditación Doctorados'!$D$19:$S$27,12,0),0)</f>
        <v>0</v>
      </c>
      <c r="R10" s="57">
        <f>IFERROR(VLOOKUP(B10,'[3]Acreditación Doctorados'!$D$19:$S$27,13,0),0)</f>
        <v>0</v>
      </c>
      <c r="S10" s="57">
        <f>IFERROR(VLOOKUP(B10,'[3]Acreditación Doctorados'!$D$19:$S$27,14,0),0)</f>
        <v>0</v>
      </c>
      <c r="T10" s="57">
        <f>IFERROR(VLOOKUP(B10,'[3]Acreditación Doctorados'!$D$19:$S$27,15,0),0)</f>
        <v>0</v>
      </c>
      <c r="U10" s="57">
        <f>IFERROR(VLOOKUP(B10,'[3]Acreditación Doctorados'!$D$19:$S$27,16,0),0)</f>
        <v>0</v>
      </c>
      <c r="V10" s="57">
        <f t="shared" si="3"/>
        <v>3</v>
      </c>
      <c r="W10" s="57">
        <f t="shared" si="4"/>
        <v>6</v>
      </c>
      <c r="X10" s="57">
        <f t="shared" si="5"/>
        <v>2</v>
      </c>
      <c r="Y10" s="1">
        <f t="shared" si="6"/>
        <v>5</v>
      </c>
      <c r="Z10" s="1">
        <f>IFERROR(VLOOKUP(B10,[4]SCOPUS!$C$7:$L$33,10,0),0)</f>
        <v>350</v>
      </c>
      <c r="AA10" s="1" t="str">
        <f t="shared" si="0"/>
        <v>Categoría II</v>
      </c>
      <c r="AB10" s="1" t="str">
        <f t="shared" si="1"/>
        <v>CRUCH-PRIVADACategoría II</v>
      </c>
    </row>
    <row r="11" spans="1:28" x14ac:dyDescent="0.25">
      <c r="A11" s="1" t="s">
        <v>11</v>
      </c>
      <c r="B11" s="1" t="s">
        <v>3</v>
      </c>
      <c r="C11" s="3" t="s">
        <v>18</v>
      </c>
      <c r="D11" s="57">
        <v>0</v>
      </c>
      <c r="E11" s="57">
        <f>IFERROR(VLOOKUP(B11,'[3]Acreditación Doctorados'!$D$19:$J$27,2,0),0)</f>
        <v>0</v>
      </c>
      <c r="F11" s="57">
        <f>IFERROR(VLOOKUP(B11,'[3]Acreditación Doctorados'!$D$19:$F$27,3,0),0)</f>
        <v>0</v>
      </c>
      <c r="G11" s="57">
        <f>IFERROR(VLOOKUP(B11,'[3]Acreditación Doctorados'!$D$19:$G$27,4,0),0)</f>
        <v>0</v>
      </c>
      <c r="H11" s="57">
        <f>IFERROR(VLOOKUP(B11,'[3]Acreditación Doctorados'!$D$19:$H$27,5,0),0)</f>
        <v>0</v>
      </c>
      <c r="I11" s="57">
        <v>0</v>
      </c>
      <c r="J11" s="57">
        <v>0</v>
      </c>
      <c r="K11" s="57">
        <f>IFERROR(VLOOKUP(B11,'[3]Acreditación Doctorados'!$D$19:$J$27,6,0),0)</f>
        <v>0</v>
      </c>
      <c r="L11" s="57">
        <f>IFERROR(VLOOKUP(B11,'[3]Acreditación Doctorados'!$D$19:$J$27,7,0),0)</f>
        <v>0</v>
      </c>
      <c r="M11" s="57">
        <f t="shared" si="2"/>
        <v>0</v>
      </c>
      <c r="N11" s="57">
        <f>IFERROR(VLOOKUP(B11,'[3]Acreditación Doctorados'!$D$19:$S$27,9,0),0)</f>
        <v>2</v>
      </c>
      <c r="O11" s="57">
        <f>IFERROR(VLOOKUP(B11,'[3]Acreditación Doctorados'!$D$19:$S$27,10,0),0)</f>
        <v>4</v>
      </c>
      <c r="P11" s="57">
        <f>IFERROR(VLOOKUP(B11,'[3]Acreditación Doctorados'!$D$19:$S$27,11,0),0)</f>
        <v>3</v>
      </c>
      <c r="Q11" s="57">
        <f>IFERROR(VLOOKUP(B11,'[3]Acreditación Doctorados'!$D$19:$S$27,12,0),0)</f>
        <v>4</v>
      </c>
      <c r="R11" s="57">
        <f>IFERROR(VLOOKUP(B11,'[3]Acreditación Doctorados'!$D$19:$S$27,13,0),0)</f>
        <v>4</v>
      </c>
      <c r="S11" s="57">
        <f>IFERROR(VLOOKUP(B11,'[3]Acreditación Doctorados'!$D$19:$S$27,14,0),0)</f>
        <v>5</v>
      </c>
      <c r="T11" s="57">
        <f>IFERROR(VLOOKUP(B11,'[3]Acreditación Doctorados'!$D$19:$S$27,15,0),0)</f>
        <v>1</v>
      </c>
      <c r="U11" s="57">
        <f>IFERROR(VLOOKUP(B11,'[3]Acreditación Doctorados'!$D$19:$S$27,16,0),0)</f>
        <v>0</v>
      </c>
      <c r="V11" s="57">
        <f t="shared" si="3"/>
        <v>23</v>
      </c>
      <c r="W11" s="57">
        <f t="shared" si="4"/>
        <v>23</v>
      </c>
      <c r="X11" s="57">
        <f t="shared" si="5"/>
        <v>0</v>
      </c>
      <c r="Y11" s="1">
        <f t="shared" si="6"/>
        <v>23</v>
      </c>
      <c r="Z11" s="1">
        <f>IFERROR(VLOOKUP(B11,[4]SCOPUS!$C$7:$L$33,10,0),0)</f>
        <v>1101</v>
      </c>
      <c r="AA11" s="1" t="str">
        <f t="shared" si="0"/>
        <v>Categoría I</v>
      </c>
      <c r="AB11" s="1" t="str">
        <f t="shared" si="1"/>
        <v>CRUCH-PRIVADACategoría I</v>
      </c>
    </row>
    <row r="12" spans="1:28" x14ac:dyDescent="0.25">
      <c r="A12" s="1" t="s">
        <v>14</v>
      </c>
      <c r="B12" s="1" t="s">
        <v>6</v>
      </c>
      <c r="C12" s="3" t="s">
        <v>18</v>
      </c>
      <c r="D12" s="57">
        <v>0</v>
      </c>
      <c r="E12" s="57">
        <f>IFERROR(VLOOKUP(B12,'[3]Acreditación Doctorados'!$D$19:$J$27,2,0),0)</f>
        <v>0</v>
      </c>
      <c r="F12" s="57">
        <f>IFERROR(VLOOKUP(B12,'[3]Acreditación Doctorados'!$D$19:$F$27,3,0),0)</f>
        <v>2</v>
      </c>
      <c r="G12" s="57">
        <f>IFERROR(VLOOKUP(B12,'[3]Acreditación Doctorados'!$D$19:$G$27,4,0),0)</f>
        <v>0</v>
      </c>
      <c r="H12" s="57">
        <f>IFERROR(VLOOKUP(B12,'[3]Acreditación Doctorados'!$D$19:$H$27,5,0),0)</f>
        <v>1</v>
      </c>
      <c r="I12" s="57">
        <v>0</v>
      </c>
      <c r="J12" s="57">
        <v>0</v>
      </c>
      <c r="K12" s="57">
        <f>IFERROR(VLOOKUP(B12,'[3]Acreditación Doctorados'!$D$19:$J$27,6,0),0)</f>
        <v>0</v>
      </c>
      <c r="L12" s="57">
        <f>IFERROR(VLOOKUP(B12,'[3]Acreditación Doctorados'!$D$19:$J$27,7,0),0)</f>
        <v>1</v>
      </c>
      <c r="M12" s="57">
        <f t="shared" si="2"/>
        <v>4</v>
      </c>
      <c r="N12" s="57">
        <f>IFERROR(VLOOKUP(B12,'[3]Acreditación Doctorados'!$D$19:$S$27,9,0),0)</f>
        <v>1</v>
      </c>
      <c r="O12" s="57">
        <f>IFERROR(VLOOKUP(B12,'[3]Acreditación Doctorados'!$D$19:$S$27,10,0),0)</f>
        <v>0</v>
      </c>
      <c r="P12" s="57">
        <f>IFERROR(VLOOKUP(B12,'[3]Acreditación Doctorados'!$D$19:$S$27,11,0),0)</f>
        <v>1</v>
      </c>
      <c r="Q12" s="57">
        <f>IFERROR(VLOOKUP(B12,'[3]Acreditación Doctorados'!$D$19:$S$27,12,0),0)</f>
        <v>0</v>
      </c>
      <c r="R12" s="57">
        <f>IFERROR(VLOOKUP(B12,'[3]Acreditación Doctorados'!$D$19:$S$27,13,0),0)</f>
        <v>0</v>
      </c>
      <c r="S12" s="57">
        <f>IFERROR(VLOOKUP(B12,'[3]Acreditación Doctorados'!$D$19:$S$27,14,0),0)</f>
        <v>1</v>
      </c>
      <c r="T12" s="57">
        <f>IFERROR(VLOOKUP(B12,'[3]Acreditación Doctorados'!$D$19:$S$27,15,0),0)</f>
        <v>0</v>
      </c>
      <c r="U12" s="57">
        <f>IFERROR(VLOOKUP(B12,'[3]Acreditación Doctorados'!$D$19:$S$27,16,0),0)</f>
        <v>0</v>
      </c>
      <c r="V12" s="57">
        <f t="shared" si="3"/>
        <v>3</v>
      </c>
      <c r="W12" s="57">
        <f t="shared" si="4"/>
        <v>7</v>
      </c>
      <c r="X12" s="57">
        <f t="shared" si="5"/>
        <v>2</v>
      </c>
      <c r="Y12" s="1">
        <f t="shared" si="6"/>
        <v>5</v>
      </c>
      <c r="Z12" s="1">
        <f>IFERROR(VLOOKUP(B12,[4]SCOPUS!$C$7:$L$33,10,0),0)</f>
        <v>569</v>
      </c>
      <c r="AA12" s="1" t="str">
        <f t="shared" si="0"/>
        <v>Categoría II</v>
      </c>
      <c r="AB12" s="1" t="str">
        <f t="shared" si="1"/>
        <v>CRUCH-PRIVADACategoría II</v>
      </c>
    </row>
    <row r="13" spans="1:28" x14ac:dyDescent="0.25">
      <c r="A13" s="1"/>
      <c r="B13" s="1"/>
      <c r="C13" s="3" t="s">
        <v>0</v>
      </c>
      <c r="D13" s="141">
        <f>SUM(D4:D12)</f>
        <v>0</v>
      </c>
      <c r="E13" s="141">
        <f t="shared" ref="E13:L13" si="7">SUM(E4:E12)</f>
        <v>4</v>
      </c>
      <c r="F13" s="141">
        <f t="shared" si="7"/>
        <v>3</v>
      </c>
      <c r="G13" s="141">
        <f t="shared" si="7"/>
        <v>1</v>
      </c>
      <c r="H13" s="141">
        <f t="shared" si="7"/>
        <v>5</v>
      </c>
      <c r="I13" s="141">
        <f t="shared" si="7"/>
        <v>0</v>
      </c>
      <c r="J13" s="141">
        <f t="shared" si="7"/>
        <v>0</v>
      </c>
      <c r="K13" s="141">
        <f t="shared" si="7"/>
        <v>0</v>
      </c>
      <c r="L13" s="141">
        <f t="shared" si="7"/>
        <v>2</v>
      </c>
      <c r="M13" s="141">
        <f t="shared" ref="M13:Z13" si="8">SUM(M4:M12)</f>
        <v>15</v>
      </c>
      <c r="N13" s="141">
        <f t="shared" si="8"/>
        <v>9</v>
      </c>
      <c r="O13" s="141">
        <f t="shared" si="8"/>
        <v>19</v>
      </c>
      <c r="P13" s="141">
        <f t="shared" si="8"/>
        <v>13</v>
      </c>
      <c r="Q13" s="141">
        <f t="shared" si="8"/>
        <v>11</v>
      </c>
      <c r="R13" s="141">
        <f t="shared" si="8"/>
        <v>8</v>
      </c>
      <c r="S13" s="141">
        <f t="shared" si="8"/>
        <v>16</v>
      </c>
      <c r="T13" s="141">
        <f t="shared" si="8"/>
        <v>5</v>
      </c>
      <c r="U13" s="141">
        <f t="shared" si="8"/>
        <v>1</v>
      </c>
      <c r="V13" s="141">
        <f t="shared" si="8"/>
        <v>82</v>
      </c>
      <c r="W13" s="141">
        <f t="shared" si="8"/>
        <v>97</v>
      </c>
      <c r="X13" s="141">
        <f t="shared" si="8"/>
        <v>8</v>
      </c>
      <c r="Y13" s="9">
        <f t="shared" si="8"/>
        <v>90</v>
      </c>
      <c r="Z13" s="9">
        <f t="shared" si="8"/>
        <v>5956</v>
      </c>
      <c r="AA13" s="1"/>
    </row>
    <row r="16" spans="1:28" x14ac:dyDescent="0.25">
      <c r="A16" s="9" t="s">
        <v>54</v>
      </c>
      <c r="B16" s="9" t="s">
        <v>60</v>
      </c>
      <c r="C16" s="9" t="s">
        <v>58</v>
      </c>
      <c r="D16" s="9" t="s">
        <v>63</v>
      </c>
      <c r="E16" s="9" t="s">
        <v>75</v>
      </c>
      <c r="F16" s="9"/>
    </row>
    <row r="17" spans="1:6" x14ac:dyDescent="0.25">
      <c r="A17" s="1" t="s">
        <v>55</v>
      </c>
      <c r="B17" s="1">
        <f>COUNTIF($AB$3:$AB$12,A17)</f>
        <v>3</v>
      </c>
      <c r="C17" s="1">
        <f>(3*$B$17)+(2*$B$18)+$B$19</f>
        <v>19</v>
      </c>
      <c r="D17" s="77">
        <f>($B$23*3*B17)/C17</f>
        <v>6639804.1894736849</v>
      </c>
      <c r="E17" s="77">
        <f>ROUND(D17,0)</f>
        <v>6639804</v>
      </c>
      <c r="F17" s="7"/>
    </row>
    <row r="18" spans="1:6" x14ac:dyDescent="0.25">
      <c r="A18" s="1" t="s">
        <v>56</v>
      </c>
      <c r="B18" s="1">
        <f>COUNTIF($AB$3:$AB$12,A18)</f>
        <v>4</v>
      </c>
      <c r="C18" s="1">
        <f>(3*$B$17)+(2*$B$18)+$B$19</f>
        <v>19</v>
      </c>
      <c r="D18" s="77">
        <f>($B$23*2*B18)/C18</f>
        <v>5902048.1684210533</v>
      </c>
      <c r="E18" s="77">
        <f>ROUND(D18,0)</f>
        <v>5902048</v>
      </c>
      <c r="F18" s="7"/>
    </row>
    <row r="19" spans="1:6" x14ac:dyDescent="0.25">
      <c r="A19" s="1" t="s">
        <v>57</v>
      </c>
      <c r="B19" s="1">
        <f>COUNTIF($AB$3:$AB$12,A19)</f>
        <v>2</v>
      </c>
      <c r="C19" s="1">
        <f>(3*$B$17)+(2*$B$18)+$B$19</f>
        <v>19</v>
      </c>
      <c r="D19" s="77">
        <f>($B$23*1*B19)/C19</f>
        <v>1475512.0421052633</v>
      </c>
      <c r="E19" s="77">
        <f>ROUND(D19,0)</f>
        <v>1475512</v>
      </c>
      <c r="F19" s="7"/>
    </row>
    <row r="20" spans="1:6" x14ac:dyDescent="0.25">
      <c r="A20" s="1"/>
      <c r="B20" s="1">
        <f>SUM(B17:B19)</f>
        <v>9</v>
      </c>
      <c r="C20" s="1"/>
      <c r="D20" s="78">
        <f>SUM(D17:D19)</f>
        <v>14017364.4</v>
      </c>
      <c r="E20" s="78">
        <f>SUM(E17:E19)</f>
        <v>14017364</v>
      </c>
      <c r="F20" s="8"/>
    </row>
    <row r="22" spans="1:6" x14ac:dyDescent="0.25">
      <c r="A22" s="9" t="s">
        <v>61</v>
      </c>
      <c r="B22" s="9" t="s">
        <v>62</v>
      </c>
    </row>
    <row r="23" spans="1:6" x14ac:dyDescent="0.25">
      <c r="A23" s="1" t="s">
        <v>18</v>
      </c>
      <c r="B23" s="83">
        <f>'Montos BD 2019'!J26</f>
        <v>14017364.400000002</v>
      </c>
    </row>
    <row r="24" spans="1:6" x14ac:dyDescent="0.25">
      <c r="B24" s="8"/>
    </row>
    <row r="28" spans="1:6" x14ac:dyDescent="0.25">
      <c r="B28" s="24"/>
    </row>
  </sheetData>
  <mergeCells count="2">
    <mergeCell ref="D2:M2"/>
    <mergeCell ref="N2:X2"/>
  </mergeCells>
  <pageMargins left="0.70866141732283472" right="0.70866141732283472" top="0.74803149606299213" bottom="0.74803149606299213" header="0.31496062992125984" footer="0.31496062992125984"/>
  <pageSetup scale="90" orientation="landscape" verticalDpi="0" r:id="rId1"/>
  <ignoredErrors>
    <ignoredError sqref="D13 I13:J1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2:AA20"/>
  <sheetViews>
    <sheetView workbookViewId="0">
      <selection activeCell="A21" sqref="A21"/>
    </sheetView>
  </sheetViews>
  <sheetFormatPr baseColWidth="10" defaultRowHeight="15" x14ac:dyDescent="0.25"/>
  <cols>
    <col min="1" max="1" width="46.5703125" bestFit="1" customWidth="1"/>
    <col min="4" max="4" width="12.85546875" customWidth="1"/>
  </cols>
  <sheetData>
    <row r="2" spans="1:27" x14ac:dyDescent="0.25">
      <c r="E2" s="117">
        <v>1</v>
      </c>
      <c r="F2" s="117">
        <v>2</v>
      </c>
      <c r="G2" s="117">
        <v>3</v>
      </c>
      <c r="H2" s="117">
        <v>4</v>
      </c>
      <c r="I2" s="117">
        <v>5</v>
      </c>
      <c r="J2" s="117">
        <v>6</v>
      </c>
      <c r="K2" s="117">
        <v>7</v>
      </c>
      <c r="L2" s="117">
        <v>8</v>
      </c>
      <c r="M2" s="117">
        <v>9</v>
      </c>
      <c r="N2" s="117">
        <v>10</v>
      </c>
      <c r="O2" s="117">
        <v>11</v>
      </c>
      <c r="P2" s="117">
        <v>12</v>
      </c>
      <c r="Q2" s="117">
        <v>13</v>
      </c>
      <c r="R2" s="117">
        <v>14</v>
      </c>
      <c r="S2" s="117">
        <v>15</v>
      </c>
      <c r="T2" s="117">
        <v>16</v>
      </c>
      <c r="U2" s="117">
        <v>17</v>
      </c>
      <c r="V2" s="117">
        <v>18</v>
      </c>
      <c r="W2" s="117">
        <v>19</v>
      </c>
      <c r="X2" s="117">
        <v>20</v>
      </c>
      <c r="Y2" s="117">
        <v>21</v>
      </c>
    </row>
    <row r="3" spans="1:27" ht="33.75" x14ac:dyDescent="0.25">
      <c r="A3" s="24" t="s">
        <v>9</v>
      </c>
      <c r="B3" s="24" t="s">
        <v>1</v>
      </c>
      <c r="C3" s="24" t="s">
        <v>17</v>
      </c>
      <c r="D3" s="9" t="s">
        <v>26</v>
      </c>
      <c r="E3" s="118" t="s">
        <v>136</v>
      </c>
      <c r="F3" s="118" t="s">
        <v>137</v>
      </c>
      <c r="G3" s="118" t="s">
        <v>138</v>
      </c>
      <c r="H3" s="119" t="s">
        <v>139</v>
      </c>
      <c r="I3" s="118" t="s">
        <v>140</v>
      </c>
      <c r="J3" s="118" t="s">
        <v>141</v>
      </c>
      <c r="K3" s="127" t="s">
        <v>150</v>
      </c>
      <c r="L3" s="127" t="s">
        <v>151</v>
      </c>
      <c r="M3" s="127" t="s">
        <v>152</v>
      </c>
      <c r="N3" s="120" t="s">
        <v>142</v>
      </c>
      <c r="O3" s="121" t="s">
        <v>143</v>
      </c>
      <c r="P3" s="121" t="s">
        <v>144</v>
      </c>
      <c r="Q3" s="127" t="s">
        <v>164</v>
      </c>
      <c r="R3" s="4" t="s">
        <v>145</v>
      </c>
      <c r="S3" s="121" t="s">
        <v>146</v>
      </c>
      <c r="T3" s="124" t="s">
        <v>147</v>
      </c>
      <c r="U3" s="125" t="s">
        <v>78</v>
      </c>
      <c r="V3" s="125" t="s">
        <v>85</v>
      </c>
      <c r="W3" s="125" t="s">
        <v>148</v>
      </c>
      <c r="X3" s="126" t="s">
        <v>149</v>
      </c>
      <c r="Y3" s="126" t="s">
        <v>86</v>
      </c>
    </row>
    <row r="4" spans="1:27" x14ac:dyDescent="0.25">
      <c r="A4" s="51" t="str">
        <f>Categorías!A4</f>
        <v>PONTIFICIA UNIVERSIDAD CATÓLICA DE CHILE</v>
      </c>
      <c r="B4" s="51" t="str">
        <f>Categorías!B4</f>
        <v>PUC</v>
      </c>
      <c r="C4" s="52" t="str">
        <f>Categorías!C4</f>
        <v>CRUCH-PRIVADA</v>
      </c>
      <c r="D4" s="51" t="str">
        <f>Categorías!AA4</f>
        <v>Categoría I</v>
      </c>
      <c r="E4" s="50">
        <f>IFERROR(VLOOKUP(B4,'[5]PAC 2017'!$D$35:$Y$62,22,0),0)</f>
        <v>1561</v>
      </c>
      <c r="F4" s="50">
        <f>IFERROR(VLOOKUP(B4,'[6]Indicador a)'!$C$2:$F$62,4,0),0)</f>
        <v>31802</v>
      </c>
      <c r="G4" s="50">
        <f>IFERROR(VLOOKUP(B4,'[6]Indicador b)'!$C$2:$F$62,3,0),0)</f>
        <v>1035.5909090909086</v>
      </c>
      <c r="H4" s="50">
        <f>IFERROR(VLOOKUP(B4,'[6]Indicador b)'!$C$2:$F$62,4,0),0)</f>
        <v>2236.9999999999982</v>
      </c>
      <c r="I4" s="50">
        <f>IFERROR(VLOOKUP(B4,'[6]Indicador c)'!$C$2:$F$62,4,0),0)</f>
        <v>487.06818181818062</v>
      </c>
      <c r="J4" s="50">
        <f>IFERROR(VLOOKUP(B4,'[6]Indicador c)'!$C$2:$G$62,5,0),0)</f>
        <v>439.24999999999989</v>
      </c>
      <c r="K4" s="50">
        <f>IFERROR(VLOOKUP(B4,[4]SCOPUS!$C$7:$M$33,10,0),0)</f>
        <v>2338</v>
      </c>
      <c r="L4" s="50">
        <f>IFERROR(VLOOKUP(B4,[4]SCOPUS!$C$7:$O$33,13,0),0)</f>
        <v>94776</v>
      </c>
      <c r="M4" s="50">
        <f>IFERROR(VLOOKUP(B4,[4]SCOPUS!$C$7:$O$33,12,0),0)</f>
        <v>10620</v>
      </c>
      <c r="N4" s="53">
        <f>IFERROR(VLOOKUP(B4,'[6]Ind G 2018 con QUINTIL PERFIL'!$F$10:$AA$36,21,0),0)</f>
        <v>1426</v>
      </c>
      <c r="O4" s="53">
        <f>IFERROR(VLOOKUP(B4,'[6]Ind G 2018 con QUINTIL PERFIL'!$F$10:$AA$36,14,0),0)</f>
        <v>5554</v>
      </c>
      <c r="P4" s="53">
        <f>IFERROR(VLOOKUP(B4,'[6]Indicador H 2018'!$E$11:$Z$37,21,0),0)</f>
        <v>4689</v>
      </c>
      <c r="Q4" s="53">
        <f>IFERROR(VLOOKUP(B4,'[6]Indicador H 2018'!$E$11:$R$37,14,0),0)</f>
        <v>5473</v>
      </c>
      <c r="R4" s="54">
        <f>IFERROR(VLOOKUP(B4,'[6]Indicador I 1) 2018'!$D$11:$X$35,21,0),0)</f>
        <v>3923</v>
      </c>
      <c r="S4" s="54">
        <f>IFERROR(VLOOKUP(B4,'[6]Indicador I 1) 2018'!$D$11:$X$35,14,0),0)</f>
        <v>5194</v>
      </c>
      <c r="T4" s="50">
        <f>IFERROR(VLOOKUP(B4,'[6]INDICADOR J 2017'!$F$8:$N$24,9,0),0)</f>
        <v>32</v>
      </c>
      <c r="U4" s="50">
        <v>184</v>
      </c>
      <c r="V4" s="50">
        <v>169</v>
      </c>
      <c r="W4" s="50">
        <f>IFERROR(VLOOKUP(B4,'[6]INDICADOR J 2017'!$F$8:$G$24,2,0),0)</f>
        <v>171</v>
      </c>
      <c r="X4" s="50">
        <f>IFERROR(VLOOKUP(B4,[7]Hoja1!$B$5:$C$18,2,0),0)</f>
        <v>11</v>
      </c>
      <c r="Y4" s="50">
        <f>IFERROR(VLOOKUP(B4,[8]Valores!$B$4:$Y$12,23,0),0)</f>
        <v>11</v>
      </c>
      <c r="Z4" s="55"/>
      <c r="AA4" s="56"/>
    </row>
    <row r="5" spans="1:27" x14ac:dyDescent="0.25">
      <c r="A5" s="51" t="str">
        <f>Categorías!A5</f>
        <v>PONTIFICIA UNIVERSIDAD CATÓLICA DE VALPARAÍSO</v>
      </c>
      <c r="B5" s="51" t="str">
        <f>Categorías!B5</f>
        <v>UCV</v>
      </c>
      <c r="C5" s="52" t="str">
        <f>Categorías!C5</f>
        <v>CRUCH-PRIVADA</v>
      </c>
      <c r="D5" s="51" t="str">
        <f>Categorías!AA5</f>
        <v>Categoría I</v>
      </c>
      <c r="E5" s="50">
        <f>IFERROR(VLOOKUP(B5,'[5]PAC 2017'!$D$35:$Y$62,22,0),0)</f>
        <v>504</v>
      </c>
      <c r="F5" s="50">
        <f>IFERROR(VLOOKUP(B5,'[6]Indicador a)'!$C$2:$F$62,4,0),0)</f>
        <v>15948</v>
      </c>
      <c r="G5" s="50">
        <f>IFERROR(VLOOKUP(B5,'[6]Indicador b)'!$C$2:$F$62,3,0),0)</f>
        <v>379.45454545454584</v>
      </c>
      <c r="H5" s="50">
        <f>IFERROR(VLOOKUP(B5,'[6]Indicador b)'!$C$2:$F$62,4,0),0)</f>
        <v>638.65909090909201</v>
      </c>
      <c r="I5" s="50">
        <f>IFERROR(VLOOKUP(B5,'[6]Indicador c)'!$C$2:$F$62,4,0),0)</f>
        <v>147.40909090909113</v>
      </c>
      <c r="J5" s="50">
        <f>IFERROR(VLOOKUP(B5,'[6]Indicador c)'!$C$2:$G$62,5,0),0)</f>
        <v>0.57954545454545459</v>
      </c>
      <c r="K5" s="50">
        <f>IFERROR(VLOOKUP(B5,[4]SCOPUS!$C$7:$M$33,10,0),0)</f>
        <v>608</v>
      </c>
      <c r="L5" s="50">
        <f>IFERROR(VLOOKUP(B5,[4]SCOPUS!$C$7:$O$33,13,0),0)</f>
        <v>12371</v>
      </c>
      <c r="M5" s="50">
        <f>IFERROR(VLOOKUP(B5,[4]SCOPUS!$C$7:$O$33,12,0),0)</f>
        <v>2656</v>
      </c>
      <c r="N5" s="53">
        <f>IFERROR(VLOOKUP(B5,'[6]Ind G 2018 con QUINTIL PERFIL'!$F$10:$AA$36,21,0),0)</f>
        <v>2041</v>
      </c>
      <c r="O5" s="53">
        <f>IFERROR(VLOOKUP(B5,'[6]Ind G 2018 con QUINTIL PERFIL'!$F$10:$AA$36,14,0),0)</f>
        <v>3519</v>
      </c>
      <c r="P5" s="53">
        <f>IFERROR(VLOOKUP(B5,'[6]Indicador H 2018'!$E$11:$Z$37,21,0),0)</f>
        <v>2732</v>
      </c>
      <c r="Q5" s="53">
        <f>IFERROR(VLOOKUP(B5,'[6]Indicador H 2018'!$E$11:$R$37,14,0),0)</f>
        <v>3399</v>
      </c>
      <c r="R5" s="54">
        <f>IFERROR(VLOOKUP(B5,'[6]Indicador I 1) 2018'!$D$11:$X$35,21,0),0)</f>
        <v>1953</v>
      </c>
      <c r="S5" s="54">
        <f>IFERROR(VLOOKUP(B5,'[6]Indicador I 1) 2018'!$D$11:$X$35,14,0),0)</f>
        <v>3203</v>
      </c>
      <c r="T5" s="50">
        <f>IFERROR(VLOOKUP(B5,'[6]INDICADOR J 2017'!$F$8:$N$24,9,0),0)</f>
        <v>5</v>
      </c>
      <c r="U5" s="50">
        <v>56</v>
      </c>
      <c r="V5" s="50">
        <v>37</v>
      </c>
      <c r="W5" s="50">
        <f>IFERROR(VLOOKUP(B5,'[6]INDICADOR J 2017'!$F$8:$G$24,2,0),0)</f>
        <v>51</v>
      </c>
      <c r="X5" s="50">
        <f>IFERROR(VLOOKUP(B5,[7]Hoja1!$B$5:$C$18,2,0),0)</f>
        <v>0</v>
      </c>
      <c r="Y5" s="50">
        <f>IFERROR(VLOOKUP(B5,[8]Valores!$B$4:$Y$12,23,0),0)</f>
        <v>2</v>
      </c>
      <c r="Z5" s="55"/>
      <c r="AA5" s="56"/>
    </row>
    <row r="6" spans="1:27" x14ac:dyDescent="0.25">
      <c r="A6" s="51" t="str">
        <f>Categorías!A6</f>
        <v>UNIVERSIDAD AUSTRAL DE CHILE</v>
      </c>
      <c r="B6" s="51" t="str">
        <f>Categorías!B6</f>
        <v>AUS</v>
      </c>
      <c r="C6" s="52" t="str">
        <f>Categorías!C6</f>
        <v>CRUCH-PRIVADA</v>
      </c>
      <c r="D6" s="51" t="str">
        <f>Categorías!AA6</f>
        <v>Categoría II</v>
      </c>
      <c r="E6" s="50">
        <f>IFERROR(VLOOKUP(B6,'[5]PAC 2017'!$D$35:$Y$62,22,0),0)</f>
        <v>721</v>
      </c>
      <c r="F6" s="50">
        <f>IFERROR(VLOOKUP(B6,'[6]Indicador a)'!$C$2:$F$62,4,0),0)</f>
        <v>15256</v>
      </c>
      <c r="G6" s="50">
        <f>IFERROR(VLOOKUP(B6,'[6]Indicador b)'!$C$2:$F$62,3,0),0)</f>
        <v>372.45454545454544</v>
      </c>
      <c r="H6" s="50">
        <f>IFERROR(VLOOKUP(B6,'[6]Indicador b)'!$C$2:$F$62,4,0),0)</f>
        <v>911.97727272727263</v>
      </c>
      <c r="I6" s="50">
        <f>IFERROR(VLOOKUP(B6,'[6]Indicador c)'!$C$2:$F$62,4,0),0)</f>
        <v>255.7727272727272</v>
      </c>
      <c r="J6" s="50">
        <f>IFERROR(VLOOKUP(B6,'[6]Indicador c)'!$C$2:$G$62,5,0),0)</f>
        <v>60.681818181818215</v>
      </c>
      <c r="K6" s="50">
        <f>IFERROR(VLOOKUP(B6,[4]SCOPUS!$C$7:$M$33,10,0),0)</f>
        <v>548</v>
      </c>
      <c r="L6" s="50">
        <f>IFERROR(VLOOKUP(B6,[4]SCOPUS!$C$7:$O$33,13,0),0)</f>
        <v>15937</v>
      </c>
      <c r="M6" s="50">
        <f>IFERROR(VLOOKUP(B6,[4]SCOPUS!$C$7:$O$33,12,0),0)</f>
        <v>2494</v>
      </c>
      <c r="N6" s="53">
        <f>IFERROR(VLOOKUP(B6,'[6]Ind G 2018 con QUINTIL PERFIL'!$F$10:$AA$36,21,0),0)</f>
        <v>1987</v>
      </c>
      <c r="O6" s="53">
        <f>IFERROR(VLOOKUP(B6,'[6]Ind G 2018 con QUINTIL PERFIL'!$F$10:$AA$36,14,0),0)</f>
        <v>3036</v>
      </c>
      <c r="P6" s="53">
        <f>IFERROR(VLOOKUP(B6,'[6]Indicador H 2018'!$E$11:$Z$37,21,0),0)</f>
        <v>2347</v>
      </c>
      <c r="Q6" s="53">
        <f>IFERROR(VLOOKUP(B6,'[6]Indicador H 2018'!$E$11:$R$37,14,0),0)</f>
        <v>2823</v>
      </c>
      <c r="R6" s="54">
        <f>IFERROR(VLOOKUP(B6,'[6]Indicador I 1) 2018'!$D$11:$X$35,21,0),0)</f>
        <v>1857</v>
      </c>
      <c r="S6" s="54">
        <f>IFERROR(VLOOKUP(B6,'[6]Indicador I 1) 2018'!$D$11:$X$35,14,0),0)</f>
        <v>2750</v>
      </c>
      <c r="T6" s="50">
        <f>IFERROR(VLOOKUP(B6,'[6]INDICADOR J 2017'!$F$8:$N$24,9,0),0)</f>
        <v>10</v>
      </c>
      <c r="U6" s="50">
        <v>54</v>
      </c>
      <c r="V6" s="50">
        <v>42</v>
      </c>
      <c r="W6" s="50">
        <f>IFERROR(VLOOKUP(B6,'[6]INDICADOR J 2017'!$F$8:$G$24,2,0),0)</f>
        <v>36</v>
      </c>
      <c r="X6" s="50">
        <f>IFERROR(VLOOKUP(B6,[7]Hoja1!$B$5:$C$18,2,0),0)</f>
        <v>1</v>
      </c>
      <c r="Y6" s="50">
        <f>IFERROR(VLOOKUP(B6,[8]Valores!$B$4:$Y$12,23,0),0)</f>
        <v>0</v>
      </c>
      <c r="Z6" s="55"/>
      <c r="AA6" s="56"/>
    </row>
    <row r="7" spans="1:27" x14ac:dyDescent="0.25">
      <c r="A7" s="51" t="str">
        <f>Categorías!A7</f>
        <v>UNIVERSIDAD CATÓLICA DE LA SANTÍSIMA CONCEPCIÓN</v>
      </c>
      <c r="B7" s="51" t="str">
        <f>Categorías!B7</f>
        <v>USC</v>
      </c>
      <c r="C7" s="52" t="str">
        <f>Categorías!C7</f>
        <v>CRUCH-PRIVADA</v>
      </c>
      <c r="D7" s="51" t="str">
        <f>Categorías!AA7</f>
        <v>Categoría III</v>
      </c>
      <c r="E7" s="50">
        <f>IFERROR(VLOOKUP(B7,'[5]PAC 2017'!$D$35:$Y$62,22,0),0)</f>
        <v>284</v>
      </c>
      <c r="F7" s="50">
        <f>IFERROR(VLOOKUP(B7,'[6]Indicador a)'!$C$2:$F$62,4,0),0)</f>
        <v>14145</v>
      </c>
      <c r="G7" s="50">
        <f>IFERROR(VLOOKUP(B7,'[6]Indicador b)'!$C$2:$F$62,3,0),0)</f>
        <v>131.70454545454541</v>
      </c>
      <c r="H7" s="50">
        <f>IFERROR(VLOOKUP(B7,'[6]Indicador b)'!$C$2:$F$62,4,0),0)</f>
        <v>501.31818181818102</v>
      </c>
      <c r="I7" s="50">
        <f>IFERROR(VLOOKUP(B7,'[6]Indicador c)'!$C$2:$F$62,4,0),0)</f>
        <v>167.84090909090838</v>
      </c>
      <c r="J7" s="50">
        <f>IFERROR(VLOOKUP(B7,'[6]Indicador c)'!$C$2:$G$62,5,0),0)</f>
        <v>28.318181818181817</v>
      </c>
      <c r="K7" s="50">
        <f>IFERROR(VLOOKUP(B7,[4]SCOPUS!$C$7:$M$33,10,0),0)</f>
        <v>144</v>
      </c>
      <c r="L7" s="50">
        <f>IFERROR(VLOOKUP(B7,[4]SCOPUS!$C$7:$O$33,13,0),0)</f>
        <v>1405</v>
      </c>
      <c r="M7" s="50">
        <f>IFERROR(VLOOKUP(B7,[4]SCOPUS!$C$7:$O$33,12,0),0)</f>
        <v>464</v>
      </c>
      <c r="N7" s="53">
        <f>IFERROR(VLOOKUP(B7,'[6]Ind G 2018 con QUINTIL PERFIL'!$F$10:$AA$36,21,0),0)</f>
        <v>1455</v>
      </c>
      <c r="O7" s="53">
        <f>IFERROR(VLOOKUP(B7,'[6]Ind G 2018 con QUINTIL PERFIL'!$F$10:$AA$36,14,0),0)</f>
        <v>1880</v>
      </c>
      <c r="P7" s="53">
        <f>IFERROR(VLOOKUP(B7,'[6]Indicador H 2018'!$E$11:$Z$37,21,0),0)</f>
        <v>1655</v>
      </c>
      <c r="Q7" s="53">
        <f>IFERROR(VLOOKUP(B7,'[6]Indicador H 2018'!$E$11:$R$37,14,0),0)</f>
        <v>1915</v>
      </c>
      <c r="R7" s="54">
        <f>IFERROR(VLOOKUP(B7,'[6]Indicador I 1) 2018'!$D$11:$X$35,21,0),0)</f>
        <v>1217</v>
      </c>
      <c r="S7" s="54">
        <f>IFERROR(VLOOKUP(B7,'[6]Indicador I 1) 2018'!$D$11:$X$35,14,0),0)</f>
        <v>1715</v>
      </c>
      <c r="T7" s="50">
        <f>IFERROR(VLOOKUP(B7,'[6]INDICADOR J 2017'!$F$8:$N$24,9,0),0)</f>
        <v>0</v>
      </c>
      <c r="U7" s="50">
        <v>0</v>
      </c>
      <c r="V7" s="50">
        <v>0</v>
      </c>
      <c r="W7" s="50">
        <f>IFERROR(VLOOKUP(B7,'[6]INDICADOR J 2017'!$F$8:$G$24,2,0),0)</f>
        <v>0</v>
      </c>
      <c r="X7" s="50">
        <f>IFERROR(VLOOKUP(B7,[7]Hoja1!$B$5:$C$18,2,0),0)</f>
        <v>0</v>
      </c>
      <c r="Y7" s="50">
        <f>IFERROR(VLOOKUP(B7,[8]Valores!$B$4:$Y$12,23,0),0)</f>
        <v>0</v>
      </c>
      <c r="Z7" s="55"/>
      <c r="AA7" s="56"/>
    </row>
    <row r="8" spans="1:27" x14ac:dyDescent="0.25">
      <c r="A8" s="51" t="str">
        <f>Categorías!A8</f>
        <v>UNIVERSIDAD CATÓLICA DE TEMUCO</v>
      </c>
      <c r="B8" s="51" t="str">
        <f>Categorías!B8</f>
        <v>UCT</v>
      </c>
      <c r="C8" s="52" t="str">
        <f>Categorías!C8</f>
        <v>CRUCH-PRIVADA</v>
      </c>
      <c r="D8" s="51" t="str">
        <f>Categorías!AA8</f>
        <v>Categoría II</v>
      </c>
      <c r="E8" s="50">
        <f>IFERROR(VLOOKUP(B8,'[5]PAC 2017'!$D$35:$Y$62,22,0),0)</f>
        <v>332</v>
      </c>
      <c r="F8" s="50">
        <f>IFERROR(VLOOKUP(B8,'[6]Indicador a)'!$C$2:$F$62,4,0),0)</f>
        <v>10915</v>
      </c>
      <c r="G8" s="50">
        <f>IFERROR(VLOOKUP(B8,'[6]Indicador b)'!$C$2:$F$62,3,0),0)</f>
        <v>149.56863636363636</v>
      </c>
      <c r="H8" s="50">
        <f>IFERROR(VLOOKUP(B8,'[6]Indicador b)'!$C$2:$F$62,4,0),0)</f>
        <v>492.53931818181826</v>
      </c>
      <c r="I8" s="50">
        <f>IFERROR(VLOOKUP(B8,'[6]Indicador c)'!$C$2:$F$62,4,0),0)</f>
        <v>194.43295454545452</v>
      </c>
      <c r="J8" s="50">
        <f>IFERROR(VLOOKUP(B8,'[6]Indicador c)'!$C$2:$G$62,5,0),0)</f>
        <v>1.0909090909090908</v>
      </c>
      <c r="K8" s="50">
        <f>IFERROR(VLOOKUP(B8,[4]SCOPUS!$C$7:$M$33,10,0),0)</f>
        <v>160</v>
      </c>
      <c r="L8" s="50">
        <f>IFERROR(VLOOKUP(B8,[4]SCOPUS!$C$7:$O$33,13,0),0)</f>
        <v>1820</v>
      </c>
      <c r="M8" s="50">
        <f>IFERROR(VLOOKUP(B8,[4]SCOPUS!$C$7:$O$33,12,0),0)</f>
        <v>600</v>
      </c>
      <c r="N8" s="53">
        <f>IFERROR(VLOOKUP(B8,'[6]Ind G 2018 con QUINTIL PERFIL'!$F$10:$AA$36,21,0),0)</f>
        <v>1598</v>
      </c>
      <c r="O8" s="53">
        <f>IFERROR(VLOOKUP(B8,'[6]Ind G 2018 con QUINTIL PERFIL'!$F$10:$AA$36,14,0),0)</f>
        <v>1971</v>
      </c>
      <c r="P8" s="53">
        <f>IFERROR(VLOOKUP(B8,'[6]Indicador H 2018'!$E$11:$Z$37,21,0),0)</f>
        <v>1609</v>
      </c>
      <c r="Q8" s="53">
        <f>IFERROR(VLOOKUP(B8,'[6]Indicador H 2018'!$E$11:$R$37,14,0),0)</f>
        <v>2019</v>
      </c>
      <c r="R8" s="54">
        <f>IFERROR(VLOOKUP(B8,'[6]Indicador I 1) 2018'!$D$11:$X$35,21,0),0)</f>
        <v>1137</v>
      </c>
      <c r="S8" s="54">
        <f>IFERROR(VLOOKUP(B8,'[6]Indicador I 1) 2018'!$D$11:$X$35,14,0),0)</f>
        <v>1697</v>
      </c>
      <c r="T8" s="50">
        <f>IFERROR(VLOOKUP(B8,'[6]INDICADOR J 2017'!$F$8:$N$24,9,0),0)</f>
        <v>0</v>
      </c>
      <c r="U8" s="50">
        <v>0</v>
      </c>
      <c r="V8" s="50">
        <v>0</v>
      </c>
      <c r="W8" s="50">
        <f>IFERROR(VLOOKUP(B8,'[6]INDICADOR J 2017'!$F$8:$G$24,2,0),0)</f>
        <v>0</v>
      </c>
      <c r="X8" s="50">
        <f>IFERROR(VLOOKUP(B8,[7]Hoja1!$B$5:$C$18,2,0),0)</f>
        <v>0</v>
      </c>
      <c r="Y8" s="50">
        <f>IFERROR(VLOOKUP(B8,[8]Valores!$B$4:$Y$12,23,0),0)</f>
        <v>0</v>
      </c>
      <c r="Z8" s="55"/>
      <c r="AA8" s="56"/>
    </row>
    <row r="9" spans="1:27" x14ac:dyDescent="0.25">
      <c r="A9" s="51" t="str">
        <f>Categorías!A9</f>
        <v>UNIVERSIDAD CATÓLICA DEL MAULE</v>
      </c>
      <c r="B9" s="51" t="str">
        <f>Categorías!B9</f>
        <v>UCM</v>
      </c>
      <c r="C9" s="52" t="str">
        <f>Categorías!C9</f>
        <v>CRUCH-PRIVADA</v>
      </c>
      <c r="D9" s="51" t="str">
        <f>Categorías!AA9</f>
        <v>Categoría III</v>
      </c>
      <c r="E9" s="50">
        <f>IFERROR(VLOOKUP(B9,'[5]PAC 2017'!$D$35:$Y$62,22,0),0)</f>
        <v>297</v>
      </c>
      <c r="F9" s="50">
        <f>IFERROR(VLOOKUP(B9,'[6]Indicador a)'!$C$2:$F$62,4,0),0)</f>
        <v>8032</v>
      </c>
      <c r="G9" s="50">
        <f>IFERROR(VLOOKUP(B9,'[6]Indicador b)'!$C$2:$F$62,3,0),0)</f>
        <v>132.72727272727269</v>
      </c>
      <c r="H9" s="50">
        <f>IFERROR(VLOOKUP(B9,'[6]Indicador b)'!$C$2:$F$62,4,0),0)</f>
        <v>406.86136363636319</v>
      </c>
      <c r="I9" s="50">
        <f>IFERROR(VLOOKUP(B9,'[6]Indicador c)'!$C$2:$F$62,4,0),0)</f>
        <v>152.51363636363627</v>
      </c>
      <c r="J9" s="50">
        <f>IFERROR(VLOOKUP(B9,'[6]Indicador c)'!$C$2:$G$62,5,0),0)</f>
        <v>34.377272727272732</v>
      </c>
      <c r="K9" s="50">
        <f>IFERROR(VLOOKUP(B9,[4]SCOPUS!$C$7:$M$33,10,0),0)</f>
        <v>138</v>
      </c>
      <c r="L9" s="50">
        <f>IFERROR(VLOOKUP(B9,[4]SCOPUS!$C$7:$O$33,13,0),0)</f>
        <v>1653</v>
      </c>
      <c r="M9" s="50">
        <f>IFERROR(VLOOKUP(B9,[4]SCOPUS!$C$7:$O$33,12,0),0)</f>
        <v>446</v>
      </c>
      <c r="N9" s="53">
        <f>IFERROR(VLOOKUP(B9,'[6]Ind G 2018 con QUINTIL PERFIL'!$F$10:$AA$36,21,0),0)</f>
        <v>1507</v>
      </c>
      <c r="O9" s="53">
        <f>IFERROR(VLOOKUP(B9,'[6]Ind G 2018 con QUINTIL PERFIL'!$F$10:$AA$36,14,0),0)</f>
        <v>1892</v>
      </c>
      <c r="P9" s="53">
        <f>IFERROR(VLOOKUP(B9,'[6]Indicador H 2018'!$E$11:$Z$37,21,0),0)</f>
        <v>1484</v>
      </c>
      <c r="Q9" s="53">
        <f>IFERROR(VLOOKUP(B9,'[6]Indicador H 2018'!$E$11:$R$37,14,0),0)</f>
        <v>1704</v>
      </c>
      <c r="R9" s="54">
        <f>IFERROR(VLOOKUP(B9,'[6]Indicador I 1) 2018'!$D$11:$X$35,21,0),0)</f>
        <v>987</v>
      </c>
      <c r="S9" s="54">
        <f>IFERROR(VLOOKUP(B9,'[6]Indicador I 1) 2018'!$D$11:$X$35,14,0),0)</f>
        <v>1355</v>
      </c>
      <c r="T9" s="50">
        <f>IFERROR(VLOOKUP(B9,'[6]INDICADOR J 2017'!$F$8:$N$24,9,0),0)</f>
        <v>0</v>
      </c>
      <c r="U9" s="50">
        <v>0</v>
      </c>
      <c r="V9" s="50">
        <v>0</v>
      </c>
      <c r="W9" s="50">
        <f>IFERROR(VLOOKUP(B9,'[6]INDICADOR J 2017'!$F$8:$G$24,2,0),0)</f>
        <v>0</v>
      </c>
      <c r="X9" s="50">
        <f>IFERROR(VLOOKUP(B9,[7]Hoja1!$B$5:$C$18,2,0),0)</f>
        <v>0</v>
      </c>
      <c r="Y9" s="50">
        <f>IFERROR(VLOOKUP(B9,[8]Valores!$B$4:$Y$12,23,0),0)</f>
        <v>2</v>
      </c>
      <c r="Z9" s="55"/>
      <c r="AA9" s="56"/>
    </row>
    <row r="10" spans="1:27" x14ac:dyDescent="0.25">
      <c r="A10" s="51" t="str">
        <f>Categorías!A10</f>
        <v>UNIVERSIDAD CATÓLICA DEL NORTE</v>
      </c>
      <c r="B10" s="51" t="str">
        <f>Categorías!B10</f>
        <v>UCN</v>
      </c>
      <c r="C10" s="52" t="str">
        <f>Categorías!C10</f>
        <v>CRUCH-PRIVADA</v>
      </c>
      <c r="D10" s="51" t="str">
        <f>Categorías!AA10</f>
        <v>Categoría II</v>
      </c>
      <c r="E10" s="50">
        <f>IFERROR(VLOOKUP(B10,'[5]PAC 2017'!$D$35:$Y$62,22,0),0)</f>
        <v>434</v>
      </c>
      <c r="F10" s="50">
        <f>IFERROR(VLOOKUP(B10,'[6]Indicador a)'!$C$2:$F$62,4,0),0)</f>
        <v>11140</v>
      </c>
      <c r="G10" s="50">
        <f>IFERROR(VLOOKUP(B10,'[6]Indicador b)'!$C$2:$F$62,3,0),0)</f>
        <v>209.61363636363635</v>
      </c>
      <c r="H10" s="50">
        <f>IFERROR(VLOOKUP(B10,'[6]Indicador b)'!$C$2:$F$62,4,0),0)</f>
        <v>593.09090909090958</v>
      </c>
      <c r="I10" s="50">
        <f>IFERROR(VLOOKUP(B10,'[6]Indicador c)'!$C$2:$F$62,4,0),0)</f>
        <v>158.75000000000009</v>
      </c>
      <c r="J10" s="50">
        <f>IFERROR(VLOOKUP(B10,'[6]Indicador c)'!$C$2:$G$62,5,0),0)</f>
        <v>21</v>
      </c>
      <c r="K10" s="50">
        <f>IFERROR(VLOOKUP(B10,[4]SCOPUS!$C$7:$M$33,10,0),0)</f>
        <v>350</v>
      </c>
      <c r="L10" s="50">
        <f>IFERROR(VLOOKUP(B10,[4]SCOPUS!$C$7:$O$33,13,0),0)</f>
        <v>7835</v>
      </c>
      <c r="M10" s="50">
        <f>IFERROR(VLOOKUP(B10,[4]SCOPUS!$C$7:$O$33,12,0),0)</f>
        <v>1588</v>
      </c>
      <c r="N10" s="53">
        <f>IFERROR(VLOOKUP(B10,'[6]Ind G 2018 con QUINTIL PERFIL'!$F$10:$AA$36,21,0),0)</f>
        <v>1086</v>
      </c>
      <c r="O10" s="53">
        <f>IFERROR(VLOOKUP(B10,'[6]Ind G 2018 con QUINTIL PERFIL'!$F$10:$AA$36,14,0),0)</f>
        <v>2203</v>
      </c>
      <c r="P10" s="53">
        <f>IFERROR(VLOOKUP(B10,'[6]Indicador H 2018'!$E$11:$Z$37,21,0),0)</f>
        <v>1679</v>
      </c>
      <c r="Q10" s="53">
        <f>IFERROR(VLOOKUP(B10,'[6]Indicador H 2018'!$E$11:$R$37,14,0),0)</f>
        <v>2068</v>
      </c>
      <c r="R10" s="54">
        <f>IFERROR(VLOOKUP(B10,'[6]Indicador I 1) 2018'!$D$11:$X$35,21,0),0)</f>
        <v>1227</v>
      </c>
      <c r="S10" s="54">
        <f>IFERROR(VLOOKUP(B10,'[6]Indicador I 1) 2018'!$D$11:$X$35,14,0),0)</f>
        <v>1881</v>
      </c>
      <c r="T10" s="50">
        <f>IFERROR(VLOOKUP(B10,'[6]INDICADOR J 2017'!$F$8:$N$24,9,0),0)</f>
        <v>3</v>
      </c>
      <c r="U10" s="50">
        <v>10</v>
      </c>
      <c r="V10" s="50">
        <v>4</v>
      </c>
      <c r="W10" s="50">
        <f>IFERROR(VLOOKUP(B10,'[6]INDICADOR J 2017'!$F$8:$G$24,2,0),0)</f>
        <v>12</v>
      </c>
      <c r="X10" s="50">
        <f>IFERROR(VLOOKUP(B10,[7]Hoja1!$B$5:$C$18,2,0),0)</f>
        <v>1</v>
      </c>
      <c r="Y10" s="50">
        <f>IFERROR(VLOOKUP(B10,[8]Valores!$B$4:$Y$12,23,0),0)</f>
        <v>1</v>
      </c>
      <c r="Z10" s="55"/>
      <c r="AA10" s="56"/>
    </row>
    <row r="11" spans="1:27" x14ac:dyDescent="0.25">
      <c r="A11" s="51" t="str">
        <f>Categorías!A11</f>
        <v>UNIVERSIDAD DE CONCEPCIÓN</v>
      </c>
      <c r="B11" s="51" t="str">
        <f>Categorías!B11</f>
        <v>UCO</v>
      </c>
      <c r="C11" s="52" t="str">
        <f>Categorías!C11</f>
        <v>CRUCH-PRIVADA</v>
      </c>
      <c r="D11" s="51" t="str">
        <f>Categorías!AA11</f>
        <v>Categoría I</v>
      </c>
      <c r="E11" s="50">
        <f>IFERROR(VLOOKUP(B11,'[5]PAC 2017'!$D$35:$Y$62,22,0),0)</f>
        <v>1127</v>
      </c>
      <c r="F11" s="50">
        <f>IFERROR(VLOOKUP(B11,'[6]Indicador a)'!$C$2:$F$62,4,0),0)</f>
        <v>26969</v>
      </c>
      <c r="G11" s="50">
        <f>IFERROR(VLOOKUP(B11,'[6]Indicador b)'!$C$2:$F$62,3,0),0)</f>
        <v>738.72727272727263</v>
      </c>
      <c r="H11" s="50">
        <f>IFERROR(VLOOKUP(B11,'[6]Indicador b)'!$C$2:$F$62,4,0),0)</f>
        <v>1434.4999999999998</v>
      </c>
      <c r="I11" s="50">
        <f>IFERROR(VLOOKUP(B11,'[6]Indicador c)'!$C$2:$F$62,4,0),0)</f>
        <v>398.09090909090901</v>
      </c>
      <c r="J11" s="50">
        <f>IFERROR(VLOOKUP(B11,'[6]Indicador c)'!$C$2:$G$62,5,0),0)</f>
        <v>90.795454545454575</v>
      </c>
      <c r="K11" s="50">
        <f>IFERROR(VLOOKUP(B11,[4]SCOPUS!$C$7:$M$33,10,0),0)</f>
        <v>1101</v>
      </c>
      <c r="L11" s="50">
        <f>IFERROR(VLOOKUP(B11,[4]SCOPUS!$C$7:$O$33,13,0),0)</f>
        <v>33251</v>
      </c>
      <c r="M11" s="50">
        <f>IFERROR(VLOOKUP(B11,[4]SCOPUS!$C$7:$O$33,12,0),0)</f>
        <v>5156</v>
      </c>
      <c r="N11" s="53">
        <f>IFERROR(VLOOKUP(B11,'[6]Ind G 2018 con QUINTIL PERFIL'!$F$10:$AA$36,21,0),0)</f>
        <v>3285</v>
      </c>
      <c r="O11" s="53">
        <f>IFERROR(VLOOKUP(B11,'[6]Ind G 2018 con QUINTIL PERFIL'!$F$10:$AA$36,14,0),0)</f>
        <v>4878</v>
      </c>
      <c r="P11" s="53">
        <f>IFERROR(VLOOKUP(B11,'[6]Indicador H 2018'!$E$11:$Z$37,21,0),0)</f>
        <v>4053</v>
      </c>
      <c r="Q11" s="53">
        <f>IFERROR(VLOOKUP(B11,'[6]Indicador H 2018'!$E$11:$R$37,14,0),0)</f>
        <v>5001</v>
      </c>
      <c r="R11" s="54">
        <f>IFERROR(VLOOKUP(B11,'[6]Indicador I 1) 2018'!$D$11:$X$35,21,0),0)</f>
        <v>3099</v>
      </c>
      <c r="S11" s="54">
        <f>IFERROR(VLOOKUP(B11,'[6]Indicador I 1) 2018'!$D$11:$X$35,14,0),0)</f>
        <v>4702</v>
      </c>
      <c r="T11" s="50">
        <f>IFERROR(VLOOKUP(B11,'[6]INDICADOR J 2017'!$F$8:$N$24,9,0),0)</f>
        <v>23</v>
      </c>
      <c r="U11" s="50">
        <v>105</v>
      </c>
      <c r="V11" s="50">
        <v>88</v>
      </c>
      <c r="W11" s="50">
        <f>IFERROR(VLOOKUP(B11,'[6]INDICADOR J 2017'!$F$8:$G$24,2,0),0)</f>
        <v>87</v>
      </c>
      <c r="X11" s="50">
        <f>IFERROR(VLOOKUP(B11,[7]Hoja1!$B$5:$C$18,2,0),0)</f>
        <v>6</v>
      </c>
      <c r="Y11" s="50">
        <f>IFERROR(VLOOKUP(B11,[8]Valores!$B$4:$Y$12,23,0),0)</f>
        <v>6</v>
      </c>
      <c r="Z11" s="55"/>
      <c r="AA11" s="56"/>
    </row>
    <row r="12" spans="1:27" x14ac:dyDescent="0.25">
      <c r="A12" s="51" t="str">
        <f>Categorías!A12</f>
        <v>UNIVERSIDAD TÉCNICA FEDERICO SANTA MARÍA</v>
      </c>
      <c r="B12" s="51" t="str">
        <f>Categorías!B12</f>
        <v>FSM</v>
      </c>
      <c r="C12" s="52" t="str">
        <f>Categorías!C12</f>
        <v>CRUCH-PRIVADA</v>
      </c>
      <c r="D12" s="51" t="str">
        <f>Categorías!AA12</f>
        <v>Categoría II</v>
      </c>
      <c r="E12" s="50">
        <f>IFERROR(VLOOKUP(B12,'[5]PAC 2017'!$D$35:$Y$62,22,0),0)</f>
        <v>444</v>
      </c>
      <c r="F12" s="50">
        <f>IFERROR(VLOOKUP(B12,'[6]Indicador a)'!$C$2:$F$62,4,0),0)</f>
        <v>19084</v>
      </c>
      <c r="G12" s="50">
        <f>IFERROR(VLOOKUP(B12,'[6]Indicador b)'!$C$2:$F$62,3,0),0)</f>
        <v>251.55681818181876</v>
      </c>
      <c r="H12" s="50">
        <f>IFERROR(VLOOKUP(B12,'[6]Indicador b)'!$C$2:$F$62,4,0),0)</f>
        <v>698.74750000000097</v>
      </c>
      <c r="I12" s="50">
        <f>IFERROR(VLOOKUP(B12,'[6]Indicador c)'!$C$2:$F$62,4,0),0)</f>
        <v>180.05795454545435</v>
      </c>
      <c r="J12" s="50">
        <f>IFERROR(VLOOKUP(B12,'[6]Indicador c)'!$C$2:$G$62,5,0),0)</f>
        <v>0</v>
      </c>
      <c r="K12" s="50">
        <f>IFERROR(VLOOKUP(B12,[4]SCOPUS!$C$7:$M$33,10,0),0)</f>
        <v>569</v>
      </c>
      <c r="L12" s="50">
        <f>IFERROR(VLOOKUP(B12,[4]SCOPUS!$C$7:$O$33,13,0),0)</f>
        <v>29761</v>
      </c>
      <c r="M12" s="50">
        <f>IFERROR(VLOOKUP(B12,[4]SCOPUS!$C$7:$O$33,12,0),0)</f>
        <v>2664</v>
      </c>
      <c r="N12" s="53">
        <f>IFERROR(VLOOKUP(B12,'[6]Ind G 2018 con QUINTIL PERFIL'!$F$10:$AA$36,21,0),0)</f>
        <v>1096</v>
      </c>
      <c r="O12" s="53">
        <f>IFERROR(VLOOKUP(B12,'[6]Ind G 2018 con QUINTIL PERFIL'!$F$10:$AA$36,14,0),0)</f>
        <v>2132</v>
      </c>
      <c r="P12" s="53">
        <f>IFERROR(VLOOKUP(B12,'[6]Indicador H 2018'!$E$11:$Z$37,21,0),0)</f>
        <v>1562</v>
      </c>
      <c r="Q12" s="53">
        <f>IFERROR(VLOOKUP(B12,'[6]Indicador H 2018'!$E$11:$R$37,14,0),0)</f>
        <v>1952</v>
      </c>
      <c r="R12" s="54">
        <f>IFERROR(VLOOKUP(B12,'[6]Indicador I 1) 2018'!$D$11:$X$35,21,0),0)</f>
        <v>1037</v>
      </c>
      <c r="S12" s="54">
        <f>IFERROR(VLOOKUP(B12,'[6]Indicador I 1) 2018'!$D$11:$X$35,14,0),0)</f>
        <v>1864</v>
      </c>
      <c r="T12" s="50">
        <f>IFERROR(VLOOKUP(B12,'[6]INDICADOR J 2017'!$F$8:$N$24,9,0),0)</f>
        <v>2</v>
      </c>
      <c r="U12" s="50">
        <v>27</v>
      </c>
      <c r="V12" s="50">
        <v>19</v>
      </c>
      <c r="W12" s="50">
        <f>IFERROR(VLOOKUP(B12,'[6]INDICADOR J 2017'!$F$8:$G$24,2,0),0)</f>
        <v>23</v>
      </c>
      <c r="X12" s="50">
        <f>IFERROR(VLOOKUP(B12,[7]Hoja1!$B$5:$C$18,2,0),0)</f>
        <v>9</v>
      </c>
      <c r="Y12" s="50">
        <f>IFERROR(VLOOKUP(B12,[8]Valores!$B$4:$Y$12,23,0),0)</f>
        <v>8</v>
      </c>
      <c r="Z12" s="55"/>
      <c r="AA12" s="56"/>
    </row>
    <row r="13" spans="1:27" x14ac:dyDescent="0.25">
      <c r="E13" s="49">
        <f t="shared" ref="E13:Y13" si="0">SUM(E4:E12)</f>
        <v>5704</v>
      </c>
      <c r="F13" s="49">
        <f t="shared" si="0"/>
        <v>153291</v>
      </c>
      <c r="G13" s="49">
        <f t="shared" si="0"/>
        <v>3401.3981818181824</v>
      </c>
      <c r="H13" s="49">
        <f t="shared" si="0"/>
        <v>7914.693636363636</v>
      </c>
      <c r="I13" s="142">
        <f t="shared" si="0"/>
        <v>2141.9363636363614</v>
      </c>
      <c r="J13" s="49">
        <f t="shared" si="0"/>
        <v>676.09318181818185</v>
      </c>
      <c r="K13" s="49">
        <f t="shared" si="0"/>
        <v>5956</v>
      </c>
      <c r="L13" s="49">
        <f t="shared" si="0"/>
        <v>198809</v>
      </c>
      <c r="M13" s="49">
        <f t="shared" si="0"/>
        <v>26688</v>
      </c>
      <c r="N13" s="49">
        <f t="shared" si="0"/>
        <v>15481</v>
      </c>
      <c r="O13" s="49">
        <f t="shared" si="0"/>
        <v>27065</v>
      </c>
      <c r="P13" s="49">
        <f t="shared" si="0"/>
        <v>21810</v>
      </c>
      <c r="Q13" s="49">
        <f t="shared" si="0"/>
        <v>26354</v>
      </c>
      <c r="R13" s="49">
        <f t="shared" si="0"/>
        <v>16437</v>
      </c>
      <c r="S13" s="49">
        <f t="shared" si="0"/>
        <v>24361</v>
      </c>
      <c r="T13" s="49">
        <f t="shared" si="0"/>
        <v>75</v>
      </c>
      <c r="U13" s="49">
        <f>SUM(U4:U12)</f>
        <v>436</v>
      </c>
      <c r="V13" s="49">
        <f>SUM(V4:V12)</f>
        <v>359</v>
      </c>
      <c r="W13" s="49">
        <f>SUM(W4:W12)</f>
        <v>380</v>
      </c>
      <c r="X13" s="49">
        <f t="shared" si="0"/>
        <v>28</v>
      </c>
      <c r="Y13" s="49">
        <f t="shared" si="0"/>
        <v>30</v>
      </c>
      <c r="Z13" s="55"/>
    </row>
    <row r="20" spans="1:1" x14ac:dyDescent="0.25">
      <c r="A20" s="23" t="s">
        <v>188</v>
      </c>
    </row>
  </sheetData>
  <pageMargins left="0.70866141732283472" right="0.70866141732283472" top="0.74803149606299213" bottom="0.74803149606299213" header="0.31496062992125984" footer="0.31496062992125984"/>
  <pageSetup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</sheetPr>
  <dimension ref="A1:AI81"/>
  <sheetViews>
    <sheetView zoomScaleNormal="100" workbookViewId="0">
      <pane xSplit="2" ySplit="3" topLeftCell="Z4" activePane="bottomRight" state="frozen"/>
      <selection pane="topRight" activeCell="C1" sqref="C1"/>
      <selection pane="bottomLeft" activeCell="A4" sqref="A4"/>
      <selection pane="bottomRight" activeCell="AE4" sqref="AE4"/>
    </sheetView>
  </sheetViews>
  <sheetFormatPr baseColWidth="10" defaultRowHeight="15" x14ac:dyDescent="0.25"/>
  <cols>
    <col min="1" max="1" width="46.5703125" bestFit="1" customWidth="1"/>
    <col min="5" max="5" width="19.7109375" customWidth="1"/>
    <col min="28" max="28" width="11.28515625" customWidth="1"/>
    <col min="29" max="31" width="10.7109375" customWidth="1"/>
    <col min="32" max="32" width="11.42578125" bestFit="1" customWidth="1"/>
    <col min="33" max="35" width="10.7109375" customWidth="1"/>
  </cols>
  <sheetData>
    <row r="1" spans="1:35" x14ac:dyDescent="0.25">
      <c r="A1" s="18" t="s">
        <v>187</v>
      </c>
      <c r="F1" s="5" t="s">
        <v>27</v>
      </c>
      <c r="G1" s="5" t="s">
        <v>28</v>
      </c>
      <c r="H1" s="5" t="s">
        <v>29</v>
      </c>
      <c r="I1" s="5" t="s">
        <v>30</v>
      </c>
      <c r="J1" s="5" t="s">
        <v>31</v>
      </c>
      <c r="K1" s="5" t="s">
        <v>32</v>
      </c>
      <c r="L1" s="5" t="s">
        <v>33</v>
      </c>
      <c r="M1" s="5" t="s">
        <v>34</v>
      </c>
      <c r="N1" s="5" t="s">
        <v>35</v>
      </c>
      <c r="O1" s="5" t="s">
        <v>73</v>
      </c>
      <c r="P1" s="5" t="s">
        <v>74</v>
      </c>
      <c r="Q1" s="25" t="s">
        <v>51</v>
      </c>
    </row>
    <row r="2" spans="1:35" ht="79.5" x14ac:dyDescent="0.25">
      <c r="F2" s="6" t="s">
        <v>36</v>
      </c>
      <c r="G2" s="6" t="s">
        <v>37</v>
      </c>
      <c r="H2" s="6" t="s">
        <v>38</v>
      </c>
      <c r="I2" s="6" t="s">
        <v>39</v>
      </c>
      <c r="J2" s="6" t="s">
        <v>40</v>
      </c>
      <c r="K2" s="6" t="s">
        <v>41</v>
      </c>
      <c r="L2" s="6" t="s">
        <v>42</v>
      </c>
      <c r="M2" s="6" t="s">
        <v>43</v>
      </c>
      <c r="N2" s="6" t="s">
        <v>44</v>
      </c>
      <c r="O2" s="6" t="s">
        <v>45</v>
      </c>
      <c r="P2" s="6" t="s">
        <v>46</v>
      </c>
      <c r="Q2" s="6" t="s">
        <v>36</v>
      </c>
      <c r="R2" s="6" t="s">
        <v>37</v>
      </c>
      <c r="S2" s="6" t="s">
        <v>38</v>
      </c>
      <c r="T2" s="6" t="s">
        <v>39</v>
      </c>
      <c r="U2" s="6" t="s">
        <v>40</v>
      </c>
      <c r="V2" s="6" t="s">
        <v>41</v>
      </c>
      <c r="W2" s="6" t="s">
        <v>42</v>
      </c>
      <c r="X2" s="6" t="s">
        <v>43</v>
      </c>
      <c r="Y2" s="6" t="s">
        <v>44</v>
      </c>
      <c r="Z2" s="6" t="s">
        <v>45</v>
      </c>
      <c r="AA2" s="6" t="s">
        <v>46</v>
      </c>
      <c r="AB2" s="6"/>
      <c r="AC2" s="6"/>
    </row>
    <row r="3" spans="1:35" ht="67.5" x14ac:dyDescent="0.25">
      <c r="A3" s="10" t="s">
        <v>9</v>
      </c>
      <c r="B3" s="15" t="s">
        <v>1</v>
      </c>
      <c r="C3" s="15" t="s">
        <v>17</v>
      </c>
      <c r="D3" s="16" t="s">
        <v>26</v>
      </c>
      <c r="E3" s="17" t="s">
        <v>50</v>
      </c>
      <c r="F3" s="11" t="s">
        <v>82</v>
      </c>
      <c r="G3" s="11" t="s">
        <v>83</v>
      </c>
      <c r="H3" s="11" t="s">
        <v>84</v>
      </c>
      <c r="I3" s="11" t="s">
        <v>47</v>
      </c>
      <c r="J3" s="11" t="s">
        <v>48</v>
      </c>
      <c r="K3" s="11" t="s">
        <v>76</v>
      </c>
      <c r="L3" s="11" t="s">
        <v>87</v>
      </c>
      <c r="M3" s="11" t="s">
        <v>88</v>
      </c>
      <c r="N3" s="11" t="s">
        <v>89</v>
      </c>
      <c r="O3" s="11" t="s">
        <v>81</v>
      </c>
      <c r="P3" s="11" t="s">
        <v>90</v>
      </c>
      <c r="Q3" s="14" t="s">
        <v>49</v>
      </c>
      <c r="R3" s="12" t="s">
        <v>49</v>
      </c>
      <c r="S3" s="12" t="s">
        <v>49</v>
      </c>
      <c r="T3" s="12" t="s">
        <v>49</v>
      </c>
      <c r="U3" s="12" t="s">
        <v>49</v>
      </c>
      <c r="V3" s="12" t="s">
        <v>49</v>
      </c>
      <c r="W3" s="12" t="s">
        <v>49</v>
      </c>
      <c r="X3" s="12" t="s">
        <v>49</v>
      </c>
      <c r="Y3" s="12" t="s">
        <v>49</v>
      </c>
      <c r="Z3" s="12" t="s">
        <v>49</v>
      </c>
      <c r="AA3" s="12" t="s">
        <v>49</v>
      </c>
      <c r="AB3" s="37" t="s">
        <v>52</v>
      </c>
      <c r="AC3" s="38" t="s">
        <v>69</v>
      </c>
      <c r="AD3" s="38" t="s">
        <v>53</v>
      </c>
      <c r="AE3" s="38" t="s">
        <v>68</v>
      </c>
      <c r="AF3" s="38" t="s">
        <v>70</v>
      </c>
      <c r="AG3" s="38" t="s">
        <v>71</v>
      </c>
      <c r="AH3" s="38" t="s">
        <v>72</v>
      </c>
      <c r="AI3" s="38" t="s">
        <v>67</v>
      </c>
    </row>
    <row r="4" spans="1:35" x14ac:dyDescent="0.25">
      <c r="A4" s="26" t="str">
        <f>Valores!A4</f>
        <v>PONTIFICIA UNIVERSIDAD CATÓLICA DE CHILE</v>
      </c>
      <c r="B4" s="27" t="str">
        <f>Valores!B4</f>
        <v>PUC</v>
      </c>
      <c r="C4" s="28" t="str">
        <f>Valores!C4</f>
        <v>CRUCH-PRIVADA</v>
      </c>
      <c r="D4" s="28" t="str">
        <f>Valores!D4</f>
        <v>Categoría I</v>
      </c>
      <c r="E4" s="28" t="str">
        <f t="shared" ref="E4:E12" si="0">CONCATENATE(C4,D4)</f>
        <v>CRUCH-PRIVADACategoría I</v>
      </c>
      <c r="F4" s="30">
        <f>IFERROR(Valores!E4/Valores!F4*100,0)</f>
        <v>4.9084963209861012</v>
      </c>
      <c r="G4" s="31">
        <f>IFERROR(Valores!G4/Valores!H4,0)</f>
        <v>0.46293737554354464</v>
      </c>
      <c r="H4" s="31">
        <f>IFERROR((Valores!G4+Valores!I4+Valores!J4)/(Valores!H4),0)</f>
        <v>0.87702686227496229</v>
      </c>
      <c r="I4" s="31">
        <f>IFERROR(Valores!K4/Valores!H4,0)</f>
        <v>1.045149754135003</v>
      </c>
      <c r="J4" s="31">
        <f>IFERROR(Valores!K4/Valores!G4,0)</f>
        <v>2.2576482464995844</v>
      </c>
      <c r="K4" s="31">
        <f>IFERROR(Valores!L4/Valores!M4,0)</f>
        <v>8.9242937853107343</v>
      </c>
      <c r="L4" s="31">
        <f>IFERROR(Valores!N4/Valores!O4,0)</f>
        <v>0.25675189052934821</v>
      </c>
      <c r="M4" s="31">
        <f>IFERROR(Valores!P4/Valores!Q4,0)</f>
        <v>0.85675132468481641</v>
      </c>
      <c r="N4" s="31">
        <f>IFERROR(Valores!R4/Valores!S4,0)</f>
        <v>0.75529457065845207</v>
      </c>
      <c r="O4" s="29">
        <f>IF(Valores!W4&gt;0,Valores!T4/Valores!W4,IF(AND(Valores!W4=0,OR(Valores!V4&gt;0,Valores!U4&gt;0)),0,IF(AND(Valores!V4=0,Valores!W4=0,Valores!U4=0),"NC",)))</f>
        <v>0.1871345029239766</v>
      </c>
      <c r="P4" s="32">
        <f>IFERROR((Valores!X4+Valores!Y4)*1000/(Valores!H4),0)</f>
        <v>9.8345999105945534</v>
      </c>
      <c r="Q4" s="33">
        <f t="array" ref="Q4">F4/MAX(IF($E$4:$E$18=$E4,F$4:F$18))</f>
        <v>1</v>
      </c>
      <c r="R4" s="33">
        <f t="array" ref="R4">G4/MAX(IF($E$4:$E$18=$E4,G$4:G$18))</f>
        <v>0.77916885422551263</v>
      </c>
      <c r="S4" s="33">
        <f t="array" ref="S4">H4/MAX(IF($E$4:$E$18=$E4,H$4:H$18))</f>
        <v>1</v>
      </c>
      <c r="T4" s="33">
        <f t="array" ref="T4">I4/MAX(IF($E$4:$E$18=$E4,I$4:I$18))</f>
        <v>1</v>
      </c>
      <c r="U4" s="33">
        <f t="array" ref="U4">J4/MAX(IF($E$4:$E$18=$E4,J$4:J$18))</f>
        <v>1</v>
      </c>
      <c r="V4" s="33">
        <f t="array" ref="V4">K4/MAX(IF($E$4:$E$18=$E4,K$4:K$18))</f>
        <v>1</v>
      </c>
      <c r="W4" s="33">
        <f t="array" ref="W4">L4/MAX(IF($E$4:$E$18=$E4,L$4:L$18))</f>
        <v>0.38125897169015543</v>
      </c>
      <c r="X4" s="33">
        <f t="array" ref="X4">M4/MAX(IF($E$4:$E$18=$E4,M$4:M$18))</f>
        <v>1</v>
      </c>
      <c r="Y4" s="33">
        <f t="array" ref="Y4">N4/MAX(IF($E$4:$E$18=$E4,N$4:N$18))</f>
        <v>1</v>
      </c>
      <c r="Z4" s="33">
        <f t="array" ref="Z4">IF(O4="NC","NC",IF(O4=0,0,IF(O4&gt;0,O4/MAX(IF($E$4:$E$18=$E4,$O$4:$O$18,"ERROR")))))</f>
        <v>0.70785659801678102</v>
      </c>
      <c r="AA4" s="34">
        <f t="array" ref="AA4">IF(P4=0,0,P4/MAX(IF($E$4:$E$18=$E4,$P$4:$P$18)))</f>
        <v>1</v>
      </c>
      <c r="AB4" s="35">
        <f t="shared" ref="AB4:AB12" si="1">IF(Z4="NC",(SUM(Q4:Y4)+AA4)/(COUNTA(Q4:Y4)+COUNTA(AA4)),AVERAGE(Q4:AA4))</f>
        <v>0.89711676581204081</v>
      </c>
      <c r="AC4" s="13">
        <f t="array" ref="AC4">SUM(IF($E$4:$E$18=$E4,$AB$4:$AB$18,"ERROR"))</f>
        <v>2.4884027359074357</v>
      </c>
      <c r="AD4" s="39">
        <f t="shared" ref="AD4:AD12" si="2">AB4/AC4</f>
        <v>0.36051912050518337</v>
      </c>
      <c r="AE4" s="84">
        <f>VLOOKUP(E4,Categorías!$A$16:$E$19,4,0)</f>
        <v>6639804.1894736849</v>
      </c>
      <c r="AF4" s="85">
        <f t="shared" ref="AF4:AF12" si="3">AD4*AE4</f>
        <v>2393776.3667156845</v>
      </c>
      <c r="AG4" s="84">
        <f t="shared" ref="AG4:AH13" si="4">ROUND(AF4,0)</f>
        <v>2393776</v>
      </c>
      <c r="AH4" s="36">
        <f t="shared" si="4"/>
        <v>2393776</v>
      </c>
      <c r="AI4" s="22">
        <f t="array" ref="AI4">AG4/(SUM(IF($C$4:$C$18=$C4,$AG$4:$AG$18,0)))</f>
        <v>0.17077220587067624</v>
      </c>
    </row>
    <row r="5" spans="1:35" x14ac:dyDescent="0.25">
      <c r="A5" s="26" t="str">
        <f>Valores!A5</f>
        <v>PONTIFICIA UNIVERSIDAD CATÓLICA DE VALPARAÍSO</v>
      </c>
      <c r="B5" s="27" t="str">
        <f>Valores!B5</f>
        <v>UCV</v>
      </c>
      <c r="C5" s="28" t="str">
        <f>Valores!C5</f>
        <v>CRUCH-PRIVADA</v>
      </c>
      <c r="D5" s="28" t="str">
        <f>Valores!D5</f>
        <v>Categoría I</v>
      </c>
      <c r="E5" s="28" t="str">
        <f t="shared" si="0"/>
        <v>CRUCH-PRIVADACategoría I</v>
      </c>
      <c r="F5" s="30">
        <f>IFERROR(Valores!E5/Valores!F5*100,0)</f>
        <v>3.1602708803611739</v>
      </c>
      <c r="G5" s="31">
        <f>IFERROR(Valores!G5/Valores!H5,0)</f>
        <v>0.59414255720436948</v>
      </c>
      <c r="H5" s="31">
        <f>IFERROR((Valores!G5+Valores!I5+Valores!J5)/(Valores!H5),0)</f>
        <v>0.82586028966940628</v>
      </c>
      <c r="I5" s="31">
        <f>IFERROR(Valores!K5/Valores!H5,0)</f>
        <v>0.95199459093982253</v>
      </c>
      <c r="J5" s="31">
        <f>IFERROR(Valores!K5/Valores!G5,0)</f>
        <v>1.60229995208433</v>
      </c>
      <c r="K5" s="31">
        <f>IFERROR(Valores!L5/Valores!M5,0)</f>
        <v>4.6577560240963853</v>
      </c>
      <c r="L5" s="31">
        <f>IFERROR(Valores!N5/Valores!O5,0)</f>
        <v>0.57999431656720657</v>
      </c>
      <c r="M5" s="31">
        <f>IFERROR(Valores!P5/Valores!Q5,0)</f>
        <v>0.80376581347455134</v>
      </c>
      <c r="N5" s="31">
        <f>IFERROR(Valores!R5/Valores!S5,0)</f>
        <v>0.60974086793630966</v>
      </c>
      <c r="O5" s="29">
        <f>IF(Valores!W5&gt;0,Valores!T5/Valores!W5,IF(AND(Valores!W5=0,OR(Valores!V5&gt;0,Valores!U5&gt;0)),0,IF(AND(Valores!V5=0,Valores!W5=0,Valores!U5=0),"NC",)))</f>
        <v>9.8039215686274508E-2</v>
      </c>
      <c r="P5" s="32">
        <f>IFERROR((Valores!X5+Valores!Y5)*1000/(Valores!H5),0)</f>
        <v>3.131561154407311</v>
      </c>
      <c r="Q5" s="33">
        <f t="array" ref="Q5">F5/MAX(IF($E$4:$E$18=$E5,F$4:F$18))</f>
        <v>0.64383686442822585</v>
      </c>
      <c r="R5" s="33">
        <f t="array" ref="R5">G5/MAX(IF($E$4:$E$18=$E5,G$4:G$18))</f>
        <v>1</v>
      </c>
      <c r="S5" s="33">
        <f t="array" ref="S5">H5/MAX(IF($E$4:$E$18=$E5,H$4:H$18))</f>
        <v>0.94165905879686218</v>
      </c>
      <c r="T5" s="33">
        <f t="array" ref="T5">I5/MAX(IF($E$4:$E$18=$E5,I$4:I$18))</f>
        <v>0.91086907610452583</v>
      </c>
      <c r="U5" s="33">
        <f t="array" ref="U5">J5/MAX(IF($E$4:$E$18=$E5,J$4:J$18))</f>
        <v>0.70972081437781454</v>
      </c>
      <c r="V5" s="33">
        <f t="array" ref="V5">K5/MAX(IF($E$4:$E$18=$E5,K$4:K$18))</f>
        <v>0.52191872389532812</v>
      </c>
      <c r="W5" s="33">
        <f t="array" ref="W5">L5/MAX(IF($E$4:$E$18=$E5,L$4:L$18))</f>
        <v>0.86125183446418074</v>
      </c>
      <c r="X5" s="33">
        <f t="array" ref="X5">M5/MAX(IF($E$4:$E$18=$E5,M$4:M$18))</f>
        <v>0.93815532035534643</v>
      </c>
      <c r="Y5" s="33">
        <f t="array" ref="Y5">N5/MAX(IF($E$4:$E$18=$E5,N$4:N$18))</f>
        <v>0.80728882693377324</v>
      </c>
      <c r="Z5" s="33">
        <f t="array" ref="Z5">IF(O5="NC","NC",IF(O5=0,0,IF(O5&gt;0,O5/MAX(IF($E$4:$E$18=$E5,$O$4:$O$18,"ERROR")))))</f>
        <v>0.37084398976982097</v>
      </c>
      <c r="AA5" s="34">
        <f t="array" ref="AA5">IF(P5=0,0,P5/MAX(IF($E$4:$E$18=$E5,$P$4:$P$18)))</f>
        <v>0.31842283192768861</v>
      </c>
      <c r="AB5" s="35">
        <f t="shared" si="1"/>
        <v>0.72945157645941516</v>
      </c>
      <c r="AC5" s="13">
        <f t="array" ref="AC5">SUM(IF($E$4:$E$18=$E5,$AB$4:$AB$18,"ERROR"))</f>
        <v>2.4884027359074357</v>
      </c>
      <c r="AD5" s="39">
        <f t="shared" si="2"/>
        <v>0.29314048161637674</v>
      </c>
      <c r="AE5" s="84">
        <f>VLOOKUP(E5,Categorías!$A$16:$E$19,4,0)</f>
        <v>6639804.1894736849</v>
      </c>
      <c r="AF5" s="85">
        <f t="shared" si="3"/>
        <v>1946395.3979407519</v>
      </c>
      <c r="AG5" s="84">
        <f t="shared" si="4"/>
        <v>1946395</v>
      </c>
      <c r="AH5" s="36">
        <f t="shared" si="4"/>
        <v>1946395</v>
      </c>
      <c r="AI5" s="22">
        <f t="array" ref="AI5">AG5/(SUM(IF($C$4:$C$18=$C5,$AG$4:$AG$18,0)))</f>
        <v>0.13885600308702856</v>
      </c>
    </row>
    <row r="6" spans="1:35" x14ac:dyDescent="0.25">
      <c r="A6" s="26" t="str">
        <f>Valores!A6</f>
        <v>UNIVERSIDAD AUSTRAL DE CHILE</v>
      </c>
      <c r="B6" s="27" t="str">
        <f>Valores!B6</f>
        <v>AUS</v>
      </c>
      <c r="C6" s="28" t="str">
        <f>Valores!C6</f>
        <v>CRUCH-PRIVADA</v>
      </c>
      <c r="D6" s="28" t="str">
        <f>Valores!D6</f>
        <v>Categoría II</v>
      </c>
      <c r="E6" s="28" t="str">
        <f t="shared" si="0"/>
        <v>CRUCH-PRIVADACategoría II</v>
      </c>
      <c r="F6" s="30">
        <f>IFERROR(Valores!E6/Valores!F6*100,0)</f>
        <v>4.7260094389092817</v>
      </c>
      <c r="G6" s="31">
        <f>IFERROR(Valores!G6/Valores!H6,0)</f>
        <v>0.40840331946071229</v>
      </c>
      <c r="H6" s="31">
        <f>IFERROR((Valores!G6+Valores!I6+Valores!J6)/(Valores!H6),0)</f>
        <v>0.75540159992025324</v>
      </c>
      <c r="I6" s="31">
        <f>IFERROR(Valores!K6/Valores!H6,0)</f>
        <v>0.60089216736860473</v>
      </c>
      <c r="J6" s="31">
        <f>IFERROR(Valores!K6/Valores!G6,0)</f>
        <v>1.4713204783988285</v>
      </c>
      <c r="K6" s="31">
        <f>IFERROR(Valores!L6/Valores!M6,0)</f>
        <v>6.3901363271852443</v>
      </c>
      <c r="L6" s="31">
        <f>IFERROR(Valores!N6/Valores!O6,0)</f>
        <v>0.65447957839262183</v>
      </c>
      <c r="M6" s="31">
        <f>IFERROR(Valores!P6/Valores!Q6,0)</f>
        <v>0.83138505136379737</v>
      </c>
      <c r="N6" s="31">
        <f>IFERROR(Valores!R6/Valores!S6,0)</f>
        <v>0.67527272727272725</v>
      </c>
      <c r="O6" s="29">
        <f>IF(Valores!W6&gt;0,Valores!T6/Valores!W6,IF(AND(Valores!W6=0,OR(Valores!V6&gt;0,Valores!U6&gt;0)),0,IF(AND(Valores!V6=0,Valores!W6=0,Valores!U6=0),"NC",)))</f>
        <v>0.27777777777777779</v>
      </c>
      <c r="P6" s="32">
        <f>IFERROR((Valores!X6+Valores!Y6)*1000/(Valores!H6),0)</f>
        <v>1.0965185535923445</v>
      </c>
      <c r="Q6" s="33">
        <f t="array" ref="Q6">F6/MAX(IF($E$4:$E$18=$E6,F$4:F$18))</f>
        <v>1</v>
      </c>
      <c r="R6" s="33">
        <f t="array" ref="R6">G6/MAX(IF($E$4:$E$18=$E6,G$4:G$18))</f>
        <v>1</v>
      </c>
      <c r="S6" s="33">
        <f t="array" ref="S6">H6/MAX(IF($E$4:$E$18=$E6,H$4:H$18))</f>
        <v>1</v>
      </c>
      <c r="T6" s="33">
        <f t="array" ref="T6">I6/MAX(IF($E$4:$E$18=$E6,I$4:I$18))</f>
        <v>0.73791195029594858</v>
      </c>
      <c r="U6" s="33">
        <f t="array" ref="U6">J6/MAX(IF($E$4:$E$18=$E6,J$4:J$18))</f>
        <v>0.65047574353560755</v>
      </c>
      <c r="V6" s="33">
        <f t="array" ref="V6">K6/MAX(IF($E$4:$E$18=$E6,K$4:K$18))</f>
        <v>0.57200104753272707</v>
      </c>
      <c r="W6" s="33">
        <f t="array" ref="W6">L6/MAX(IF($E$4:$E$18=$E6,L$4:L$18))</f>
        <v>0.80724608824271449</v>
      </c>
      <c r="X6" s="33">
        <f t="array" ref="X6">M6/MAX(IF($E$4:$E$18=$E6,M$4:M$18))</f>
        <v>1</v>
      </c>
      <c r="Y6" s="33">
        <f t="array" ref="Y6">N6/MAX(IF($E$4:$E$18=$E6,N$4:N$18))</f>
        <v>1</v>
      </c>
      <c r="Z6" s="33">
        <f t="array" ref="Z6">IF(O6="NC","NC",IF(O6=0,0,IF(O6&gt;0,O6/MAX(IF($E$4:$E$18=$E6,$O$4:$O$18,"ERROR")))))</f>
        <v>1</v>
      </c>
      <c r="AA6" s="34">
        <f t="array" ref="AA6">IF(P6=0,0,P6/MAX(IF($E$4:$E$18=$E6,$P$4:$P$18)))</f>
        <v>4.5069976354486348E-2</v>
      </c>
      <c r="AB6" s="35">
        <f t="shared" si="1"/>
        <v>0.80115498236013494</v>
      </c>
      <c r="AC6" s="13">
        <f t="array" ref="AC6">SUM(IF($E$4:$E$18=$E6,$AB$4:$AB$18,"ERROR"))</f>
        <v>2.9854442734031696</v>
      </c>
      <c r="AD6" s="39">
        <f t="shared" si="2"/>
        <v>0.26835368842670837</v>
      </c>
      <c r="AE6" s="84">
        <f>VLOOKUP(E6,Categorías!$A$16:$E$19,4,0)</f>
        <v>5902048.1684210533</v>
      </c>
      <c r="AF6" s="85">
        <f t="shared" si="3"/>
        <v>1583836.3952678882</v>
      </c>
      <c r="AG6" s="84">
        <f t="shared" si="4"/>
        <v>1583836</v>
      </c>
      <c r="AH6" s="36">
        <f t="shared" si="4"/>
        <v>1583836</v>
      </c>
      <c r="AI6" s="22">
        <f t="array" ref="AI6">AG6/(SUM(IF($C$4:$C$18=$C6,$AG$4:$AG$18,0)))</f>
        <v>0.11299100979264075</v>
      </c>
    </row>
    <row r="7" spans="1:35" x14ac:dyDescent="0.25">
      <c r="A7" s="26" t="str">
        <f>Valores!A7</f>
        <v>UNIVERSIDAD CATÓLICA DE LA SANTÍSIMA CONCEPCIÓN</v>
      </c>
      <c r="B7" s="27" t="str">
        <f>Valores!B7</f>
        <v>USC</v>
      </c>
      <c r="C7" s="28" t="str">
        <f>Valores!C7</f>
        <v>CRUCH-PRIVADA</v>
      </c>
      <c r="D7" s="28" t="str">
        <f>Valores!D7</f>
        <v>Categoría III</v>
      </c>
      <c r="E7" s="28" t="str">
        <f t="shared" si="0"/>
        <v>CRUCH-PRIVADACategoría III</v>
      </c>
      <c r="F7" s="30">
        <f>IFERROR(Valores!E7/Valores!F7*100,0)</f>
        <v>2.0077765995051253</v>
      </c>
      <c r="G7" s="31">
        <f>IFERROR(Valores!G7/Valores!H7,0)</f>
        <v>0.26271647474839094</v>
      </c>
      <c r="H7" s="31">
        <f>IFERROR((Valores!G7+Valores!I7+Valores!J7)/(Valores!H7),0)</f>
        <v>0.65400308278175678</v>
      </c>
      <c r="I7" s="31">
        <f>IFERROR(Valores!K7/Valores!H7,0)</f>
        <v>0.28724272372835297</v>
      </c>
      <c r="J7" s="31">
        <f>IFERROR(Valores!K7/Valores!G7,0)</f>
        <v>1.0933563416738572</v>
      </c>
      <c r="K7" s="31">
        <f>IFERROR(Valores!L7/Valores!M7,0)</f>
        <v>3.0280172413793105</v>
      </c>
      <c r="L7" s="31">
        <f>IFERROR(Valores!N7/Valores!O7,0)</f>
        <v>0.77393617021276595</v>
      </c>
      <c r="M7" s="31">
        <f>IFERROR(Valores!P7/Valores!Q7,0)</f>
        <v>0.86422976501305482</v>
      </c>
      <c r="N7" s="31">
        <f>IFERROR(Valores!R7/Valores!S7,0)</f>
        <v>0.70962099125364431</v>
      </c>
      <c r="O7" s="29" t="str">
        <f>IF(Valores!W7&gt;0,Valores!T7/Valores!W7,IF(AND(Valores!W7=0,OR(Valores!V7&gt;0,Valores!U7&gt;0)),0,IF(AND(Valores!V7=0,Valores!W7=0,Valores!U7=0),"NC",)))</f>
        <v>NC</v>
      </c>
      <c r="P7" s="32">
        <f>IFERROR((Valores!X7+Valores!Y7)*1000/(Valores!H7),0)</f>
        <v>0</v>
      </c>
      <c r="Q7" s="33">
        <f t="array" ref="Q7">F7/MAX(IF($E$4:$E$18=$E7,F$4:F$18))</f>
        <v>0.54297850664057801</v>
      </c>
      <c r="R7" s="33">
        <f t="array" ref="R7">G7/MAX(IF($E$4:$E$18=$E7,G$4:G$18))</f>
        <v>0.80532946220859858</v>
      </c>
      <c r="S7" s="33">
        <f t="array" ref="S7">H7/MAX(IF($E$4:$E$18=$E7,H$4:H$18))</f>
        <v>0.83252017945067425</v>
      </c>
      <c r="T7" s="33">
        <f t="array" ref="T7">I7/MAX(IF($E$4:$E$18=$E7,I$4:I$18))</f>
        <v>0.84686932080246979</v>
      </c>
      <c r="U7" s="33">
        <f t="array" ref="U7">J7/MAX(IF($E$4:$E$18=$E7,J$4:J$18))</f>
        <v>1</v>
      </c>
      <c r="V7" s="33">
        <f t="array" ref="V7">K7/MAX(IF($E$4:$E$18=$E7,K$4:K$18))</f>
        <v>0.81699678745019511</v>
      </c>
      <c r="W7" s="33">
        <f t="array" ref="W7">L7/MAX(IF($E$4:$E$18=$E7,L$4:L$18))</f>
        <v>0.97165708961018793</v>
      </c>
      <c r="X7" s="33">
        <f t="array" ref="X7">M7/MAX(IF($E$4:$E$18=$E7,M$4:M$18))</f>
        <v>0.99235008058102792</v>
      </c>
      <c r="Y7" s="33">
        <f t="array" ref="Y7">N7/MAX(IF($E$4:$E$18=$E7,N$4:N$18))</f>
        <v>0.97420105688823511</v>
      </c>
      <c r="Z7" s="33" t="str">
        <f t="array" ref="Z7">IF(O7="NC","NC",IF(O7=0,0,IF(O7&gt;0,O7/MAX(IF($E$4:$E$18=$E7,$O$4:$O$18,"ERROR")))))</f>
        <v>NC</v>
      </c>
      <c r="AA7" s="34">
        <f t="array" ref="AA7">IF(P7=0,0,P7/MAX(IF($E$4:$E$18=$E7,$P$4:$P$18)))</f>
        <v>0</v>
      </c>
      <c r="AB7" s="35">
        <f t="shared" si="1"/>
        <v>0.77829024836319671</v>
      </c>
      <c r="AC7" s="13">
        <f t="array" ref="AC7">SUM(IF($E$4:$E$18=$E7,$AB$4:$AB$18,"ERROR"))</f>
        <v>1.7733851399157081</v>
      </c>
      <c r="AD7" s="39">
        <f t="shared" si="2"/>
        <v>0.43887265706996403</v>
      </c>
      <c r="AE7" s="84">
        <f>VLOOKUP(E7,Categorías!$A$16:$E$19,4,0)</f>
        <v>1475512.0421052633</v>
      </c>
      <c r="AF7" s="85">
        <f t="shared" si="3"/>
        <v>647561.89045746555</v>
      </c>
      <c r="AG7" s="84">
        <f t="shared" si="4"/>
        <v>647562</v>
      </c>
      <c r="AH7" s="36">
        <f t="shared" si="4"/>
        <v>647562</v>
      </c>
      <c r="AI7" s="22">
        <f t="array" ref="AI7">AG7/(SUM(IF($C$4:$C$18=$C7,$AG$4:$AG$18,0)))</f>
        <v>4.6197134225602919E-2</v>
      </c>
    </row>
    <row r="8" spans="1:35" x14ac:dyDescent="0.25">
      <c r="A8" s="26" t="str">
        <f>Valores!A8</f>
        <v>UNIVERSIDAD CATÓLICA DE TEMUCO</v>
      </c>
      <c r="B8" s="27" t="str">
        <f>Valores!B8</f>
        <v>UCT</v>
      </c>
      <c r="C8" s="28" t="str">
        <f>Valores!C8</f>
        <v>CRUCH-PRIVADA</v>
      </c>
      <c r="D8" s="28" t="str">
        <f>Valores!D8</f>
        <v>Categoría II</v>
      </c>
      <c r="E8" s="28" t="str">
        <f t="shared" si="0"/>
        <v>CRUCH-PRIVADACategoría II</v>
      </c>
      <c r="F8" s="30">
        <f>IFERROR(Valores!E8/Valores!F8*100,0)</f>
        <v>3.0416857535501602</v>
      </c>
      <c r="G8" s="31">
        <f>IFERROR(Valores!G8/Valores!H8,0)</f>
        <v>0.30366841964162522</v>
      </c>
      <c r="H8" s="31">
        <f>IFERROR((Valores!G8+Valores!I8+Valores!J8)/(Valores!H8),0)</f>
        <v>0.70063949670838432</v>
      </c>
      <c r="I8" s="31">
        <f>IFERROR(Valores!K8/Valores!H8,0)</f>
        <v>0.32484716263999225</v>
      </c>
      <c r="J8" s="31">
        <f>IFERROR(Valores!K8/Valores!G8,0)</f>
        <v>1.0697429881690073</v>
      </c>
      <c r="K8" s="31">
        <f>IFERROR(Valores!L8/Valores!M8,0)</f>
        <v>3.0333333333333332</v>
      </c>
      <c r="L8" s="31">
        <f>IFERROR(Valores!N8/Valores!O8,0)</f>
        <v>0.8107559614408929</v>
      </c>
      <c r="M8" s="31">
        <f>IFERROR(Valores!P8/Valores!Q8,0)</f>
        <v>0.79692917285785048</v>
      </c>
      <c r="N8" s="31">
        <f>IFERROR(Valores!R8/Valores!S8,0)</f>
        <v>0.67000589275191513</v>
      </c>
      <c r="O8" s="29" t="str">
        <f>IF(Valores!W8&gt;0,Valores!T8/Valores!W8,IF(AND(Valores!W8=0,OR(Valores!V8&gt;0,Valores!U8&gt;0)),0,IF(AND(Valores!V8=0,Valores!W8=0,Valores!U8=0),"NC",)))</f>
        <v>NC</v>
      </c>
      <c r="P8" s="32">
        <f>IFERROR((Valores!X8+Valores!Y8)*1000/(Valores!H8),0)</f>
        <v>0</v>
      </c>
      <c r="Q8" s="33">
        <f t="array" ref="Q8">F8/MAX(IF($E$4:$E$18=$E8,F$4:F$18))</f>
        <v>0.64360551811596733</v>
      </c>
      <c r="R8" s="33">
        <f t="array" ref="R8">G8/MAX(IF($E$4:$E$18=$E8,G$4:G$18))</f>
        <v>0.74355032187939307</v>
      </c>
      <c r="S8" s="33">
        <f t="array" ref="S8">H8/MAX(IF($E$4:$E$18=$E8,H$4:H$18))</f>
        <v>0.92750597401746293</v>
      </c>
      <c r="T8" s="33">
        <f t="array" ref="T8">I8/MAX(IF($E$4:$E$18=$E8,I$4:I$18))</f>
        <v>0.39892116480982126</v>
      </c>
      <c r="U8" s="33">
        <f t="array" ref="U8">J8/MAX(IF($E$4:$E$18=$E8,J$4:J$18))</f>
        <v>0.47293698132883388</v>
      </c>
      <c r="V8" s="33">
        <f t="array" ref="V8">K8/MAX(IF($E$4:$E$18=$E8,K$4:K$18))</f>
        <v>0.27152313430328284</v>
      </c>
      <c r="W8" s="33">
        <f t="array" ref="W8">L8/MAX(IF($E$4:$E$18=$E8,L$4:L$18))</f>
        <v>1</v>
      </c>
      <c r="X8" s="33">
        <f t="array" ref="X8">M8/MAX(IF($E$4:$E$18=$E8,M$4:M$18))</f>
        <v>0.95855605239783215</v>
      </c>
      <c r="Y8" s="33">
        <f t="array" ref="Y8">N8/MAX(IF($E$4:$E$18=$E8,N$4:N$18))</f>
        <v>0.99220043353137677</v>
      </c>
      <c r="Z8" s="33" t="str">
        <f t="array" ref="Z8">IF(O8="NC","NC",IF(O8=0,0,IF(O8&gt;0,O8/MAX(IF($E$4:$E$18=$E8,$O$4:$O$18,"ERROR")))))</f>
        <v>NC</v>
      </c>
      <c r="AA8" s="34">
        <f t="array" ref="AA8">IF(P8=0,0,P8/MAX(IF($E$4:$E$18=$E8,$P$4:$P$18)))</f>
        <v>0</v>
      </c>
      <c r="AB8" s="35">
        <f t="shared" si="1"/>
        <v>0.64087995803839715</v>
      </c>
      <c r="AC8" s="13">
        <f t="array" ref="AC8">SUM(IF($E$4:$E$18=$E8,$AB$4:$AB$18,"ERROR"))</f>
        <v>2.9854442734031696</v>
      </c>
      <c r="AD8" s="39">
        <f t="shared" si="2"/>
        <v>0.21466820323792038</v>
      </c>
      <c r="AE8" s="84">
        <f>VLOOKUP(E8,Categorías!$A$16:$E$19,4,0)</f>
        <v>5902048.1684210533</v>
      </c>
      <c r="AF8" s="85">
        <f t="shared" si="3"/>
        <v>1266982.0757386065</v>
      </c>
      <c r="AG8" s="84">
        <f t="shared" si="4"/>
        <v>1266982</v>
      </c>
      <c r="AH8" s="36">
        <f t="shared" si="4"/>
        <v>1266982</v>
      </c>
      <c r="AI8" s="22">
        <f t="array" ref="AI8">AG8/(SUM(IF($C$4:$C$18=$C8,$AG$4:$AG$18,0)))</f>
        <v>9.0386615513916566E-2</v>
      </c>
    </row>
    <row r="9" spans="1:35" x14ac:dyDescent="0.25">
      <c r="A9" s="26" t="str">
        <f>Valores!A9</f>
        <v>UNIVERSIDAD CATÓLICA DEL MAULE</v>
      </c>
      <c r="B9" s="27" t="str">
        <f>Valores!B9</f>
        <v>UCM</v>
      </c>
      <c r="C9" s="28" t="str">
        <f>Valores!C9</f>
        <v>CRUCH-PRIVADA</v>
      </c>
      <c r="D9" s="28" t="str">
        <f>Valores!D9</f>
        <v>Categoría III</v>
      </c>
      <c r="E9" s="28" t="str">
        <f t="shared" si="0"/>
        <v>CRUCH-PRIVADACategoría III</v>
      </c>
      <c r="F9" s="30">
        <f>IFERROR(Valores!E9/Valores!F9*100,0)</f>
        <v>3.6977091633466137</v>
      </c>
      <c r="G9" s="31">
        <f>IFERROR(Valores!G9/Valores!H9,0)</f>
        <v>0.32622235628620455</v>
      </c>
      <c r="H9" s="31">
        <f>IFERROR((Valores!G9+Valores!I9+Valores!J9)/(Valores!H9),0)</f>
        <v>0.78557024673358755</v>
      </c>
      <c r="I9" s="31">
        <f>IFERROR(Valores!K9/Valores!H9,0)</f>
        <v>0.33918187454962917</v>
      </c>
      <c r="J9" s="31">
        <f>IFERROR(Valores!K9/Valores!G9,0)</f>
        <v>1.0397260273972606</v>
      </c>
      <c r="K9" s="31">
        <f>IFERROR(Valores!L9/Valores!M9,0)</f>
        <v>3.7062780269058297</v>
      </c>
      <c r="L9" s="31">
        <f>IFERROR(Valores!N9/Valores!O9,0)</f>
        <v>0.79651162790697672</v>
      </c>
      <c r="M9" s="31">
        <f>IFERROR(Valores!P9/Valores!Q9,0)</f>
        <v>0.87089201877934275</v>
      </c>
      <c r="N9" s="31">
        <f>IFERROR(Valores!R9/Valores!S9,0)</f>
        <v>0.72841328413284134</v>
      </c>
      <c r="O9" s="29" t="str">
        <f>IF(Valores!W9&gt;0,Valores!T9/Valores!W9,IF(AND(Valores!W9=0,OR(Valores!V9&gt;0,Valores!U9&gt;0)),0,IF(AND(Valores!V9=0,Valores!W9=0,Valores!U9=0),"NC",)))</f>
        <v>NC</v>
      </c>
      <c r="P9" s="32">
        <f>IFERROR((Valores!X9+Valores!Y9)*1000/(Valores!H9),0)</f>
        <v>4.9156793412989739</v>
      </c>
      <c r="Q9" s="33">
        <f t="array" ref="Q9">F9/MAX(IF($E$4:$E$18=$E9,F$4:F$18))</f>
        <v>1</v>
      </c>
      <c r="R9" s="33">
        <f t="array" ref="R9">G9/MAX(IF($E$4:$E$18=$E9,G$4:G$18))</f>
        <v>1</v>
      </c>
      <c r="S9" s="33">
        <f t="array" ref="S9">H9/MAX(IF($E$4:$E$18=$E9,H$4:H$18))</f>
        <v>1</v>
      </c>
      <c r="T9" s="33">
        <f t="array" ref="T9">I9/MAX(IF($E$4:$E$18=$E9,I$4:I$18))</f>
        <v>1</v>
      </c>
      <c r="U9" s="33">
        <f t="array" ref="U9">J9/MAX(IF($E$4:$E$18=$E9,J$4:J$18))</f>
        <v>0.95094891552511407</v>
      </c>
      <c r="V9" s="33">
        <f t="array" ref="V9">K9/MAX(IF($E$4:$E$18=$E9,K$4:K$18))</f>
        <v>1</v>
      </c>
      <c r="W9" s="33">
        <f t="array" ref="W9">L9/MAX(IF($E$4:$E$18=$E9,L$4:L$18))</f>
        <v>1</v>
      </c>
      <c r="X9" s="33">
        <f t="array" ref="X9">M9/MAX(IF($E$4:$E$18=$E9,M$4:M$18))</f>
        <v>1</v>
      </c>
      <c r="Y9" s="33">
        <f t="array" ref="Y9">N9/MAX(IF($E$4:$E$18=$E9,N$4:N$18))</f>
        <v>1</v>
      </c>
      <c r="Z9" s="33" t="str">
        <f t="array" ref="Z9">IF(O9="NC","NC",IF(O9=0,0,IF(O9&gt;0,O9/MAX(IF($E$4:$E$18=$E9,$O$4:$O$18,"ERROR")))))</f>
        <v>NC</v>
      </c>
      <c r="AA9" s="34">
        <f t="array" ref="AA9">IF(P9=0,0,P9/MAX(IF($E$4:$E$18=$E9,$P$4:$P$18)))</f>
        <v>1</v>
      </c>
      <c r="AB9" s="35">
        <f t="shared" si="1"/>
        <v>0.99509489155251141</v>
      </c>
      <c r="AC9" s="13">
        <f t="array" ref="AC9">SUM(IF($E$4:$E$18=$E9,$AB$4:$AB$18,"ERROR"))</f>
        <v>1.7733851399157081</v>
      </c>
      <c r="AD9" s="39">
        <f t="shared" si="2"/>
        <v>0.56112734293003597</v>
      </c>
      <c r="AE9" s="84">
        <f>VLOOKUP(E9,Categorías!$A$16:$E$19,4,0)</f>
        <v>1475512.0421052633</v>
      </c>
      <c r="AF9" s="85">
        <f t="shared" si="3"/>
        <v>827950.15164779779</v>
      </c>
      <c r="AG9" s="84">
        <f t="shared" si="4"/>
        <v>827950</v>
      </c>
      <c r="AH9" s="36">
        <f t="shared" si="4"/>
        <v>827950</v>
      </c>
      <c r="AI9" s="22">
        <f t="array" ref="AI9">AG9/(SUM(IF($C$4:$C$18=$C9,$AG$4:$AG$18,0)))</f>
        <v>5.9066031178617549E-2</v>
      </c>
    </row>
    <row r="10" spans="1:35" x14ac:dyDescent="0.25">
      <c r="A10" s="26" t="str">
        <f>Valores!A10</f>
        <v>UNIVERSIDAD CATÓLICA DEL NORTE</v>
      </c>
      <c r="B10" s="27" t="str">
        <f>Valores!B10</f>
        <v>UCN</v>
      </c>
      <c r="C10" s="28" t="str">
        <f>Valores!C10</f>
        <v>CRUCH-PRIVADA</v>
      </c>
      <c r="D10" s="28" t="str">
        <f>Valores!D10</f>
        <v>Categoría II</v>
      </c>
      <c r="E10" s="28" t="str">
        <f t="shared" si="0"/>
        <v>CRUCH-PRIVADACategoría II</v>
      </c>
      <c r="F10" s="30">
        <f>IFERROR(Valores!E10/Valores!F10*100,0)</f>
        <v>3.895870736086176</v>
      </c>
      <c r="G10" s="31">
        <f>IFERROR(Valores!G10/Valores!H10,0)</f>
        <v>0.35342581238503951</v>
      </c>
      <c r="H10" s="31">
        <f>IFERROR((Valores!G10+Valores!I10+Valores!J10)/(Valores!H10),0)</f>
        <v>0.65649908031882243</v>
      </c>
      <c r="I10" s="31">
        <f>IFERROR(Valores!K10/Valores!H10,0)</f>
        <v>0.59012875536480636</v>
      </c>
      <c r="J10" s="31">
        <f>IFERROR(Valores!K10/Valores!G10,0)</f>
        <v>1.6697386967364201</v>
      </c>
      <c r="K10" s="31">
        <f>IFERROR(Valores!L10/Valores!M10,0)</f>
        <v>4.9338790931989926</v>
      </c>
      <c r="L10" s="31">
        <f>IFERROR(Valores!N10/Valores!O10,0)</f>
        <v>0.49296413980935089</v>
      </c>
      <c r="M10" s="31">
        <f>IFERROR(Valores!P10/Valores!Q10,0)</f>
        <v>0.81189555125725343</v>
      </c>
      <c r="N10" s="31">
        <f>IFERROR(Valores!R10/Valores!S10,0)</f>
        <v>0.65231259968102073</v>
      </c>
      <c r="O10" s="29">
        <f>IF(Valores!W10&gt;0,Valores!T10/Valores!W10,IF(AND(Valores!W10=0,OR(Valores!V10&gt;0,Valores!U10&gt;0)),0,IF(AND(Valores!V10=0,Valores!W10=0,Valores!U10=0),"NC",)))</f>
        <v>0.25</v>
      </c>
      <c r="P10" s="32">
        <f>IFERROR((Valores!X10+Valores!Y10)*1000/(Valores!H10),0)</f>
        <v>3.3721643163703221</v>
      </c>
      <c r="Q10" s="33">
        <f t="array" ref="Q10">F10/MAX(IF($E$4:$E$18=$E10,F$4:F$18))</f>
        <v>0.82434679541928846</v>
      </c>
      <c r="R10" s="33">
        <f t="array" ref="R10">G10/MAX(IF($E$4:$E$18=$E10,G$4:G$18))</f>
        <v>0.8653842795688601</v>
      </c>
      <c r="S10" s="33">
        <f t="array" ref="S10">H10/MAX(IF($E$4:$E$18=$E10,H$4:H$18))</f>
        <v>0.86907292807975012</v>
      </c>
      <c r="T10" s="33">
        <f t="array" ref="T10">I10/MAX(IF($E$4:$E$18=$E10,I$4:I$18))</f>
        <v>0.72469418715161793</v>
      </c>
      <c r="U10" s="33">
        <f t="array" ref="U10">J10/MAX(IF($E$4:$E$18=$E10,J$4:J$18))</f>
        <v>0.73819710675935091</v>
      </c>
      <c r="V10" s="33">
        <f t="array" ref="V10">K10/MAX(IF($E$4:$E$18=$E10,K$4:K$18))</f>
        <v>0.44164691725016353</v>
      </c>
      <c r="W10" s="33">
        <f t="array" ref="W10">L10/MAX(IF($E$4:$E$18=$E10,L$4:L$18))</f>
        <v>0.60803023752454988</v>
      </c>
      <c r="X10" s="33">
        <f t="array" ref="X10">M10/MAX(IF($E$4:$E$18=$E10,M$4:M$18))</f>
        <v>0.97655779343810245</v>
      </c>
      <c r="Y10" s="33">
        <f t="array" ref="Y10">N10/MAX(IF($E$4:$E$18=$E10,N$4:N$18))</f>
        <v>0.96599873404566883</v>
      </c>
      <c r="Z10" s="33">
        <f t="array" ref="Z10">IF(O10="NC","NC",IF(O10=0,0,IF(O10&gt;0,O10/MAX(IF($E$4:$E$18=$E10,$O$4:$O$18,"ERROR")))))</f>
        <v>0.89999999999999991</v>
      </c>
      <c r="AA10" s="34">
        <f t="array" ref="AA10">IF(P10=0,0,P10/MAX(IF($E$4:$E$18=$E10,$P$4:$P$18)))</f>
        <v>0.1386053756266456</v>
      </c>
      <c r="AB10" s="35">
        <f t="shared" si="1"/>
        <v>0.73204857771490883</v>
      </c>
      <c r="AC10" s="13">
        <f t="array" ref="AC10">SUM(IF($E$4:$E$18=$E10,$AB$4:$AB$18,"ERROR"))</f>
        <v>2.9854442734031696</v>
      </c>
      <c r="AD10" s="39">
        <f t="shared" si="2"/>
        <v>0.24520590929685368</v>
      </c>
      <c r="AE10" s="84">
        <f>VLOOKUP(E10,Categorías!$A$16:$E$19,4,0)</f>
        <v>5902048.1684210533</v>
      </c>
      <c r="AF10" s="85">
        <f t="shared" si="3"/>
        <v>1447217.0878515141</v>
      </c>
      <c r="AG10" s="84">
        <f t="shared" si="4"/>
        <v>1447217</v>
      </c>
      <c r="AH10" s="36">
        <f t="shared" si="4"/>
        <v>1447217</v>
      </c>
      <c r="AI10" s="22">
        <f t="array" ref="AI10">AG10/(SUM(IF($C$4:$C$18=$C10,$AG$4:$AG$18,0)))</f>
        <v>0.10324459743248426</v>
      </c>
    </row>
    <row r="11" spans="1:35" x14ac:dyDescent="0.25">
      <c r="A11" s="26" t="str">
        <f>Valores!A11</f>
        <v>UNIVERSIDAD DE CONCEPCIÓN</v>
      </c>
      <c r="B11" s="27" t="str">
        <f>Valores!B11</f>
        <v>UCO</v>
      </c>
      <c r="C11" s="28" t="str">
        <f>Valores!C11</f>
        <v>CRUCH-PRIVADA</v>
      </c>
      <c r="D11" s="28" t="str">
        <f>Valores!D11</f>
        <v>Categoría I</v>
      </c>
      <c r="E11" s="28" t="str">
        <f t="shared" si="0"/>
        <v>CRUCH-PRIVADACategoría I</v>
      </c>
      <c r="F11" s="30">
        <f>IFERROR(Valores!E11/Valores!F11*100,0)</f>
        <v>4.1788720382661575</v>
      </c>
      <c r="G11" s="31">
        <f>IFERROR(Valores!G11/Valores!H11,0)</f>
        <v>0.51497195728635259</v>
      </c>
      <c r="H11" s="31">
        <f>IFERROR((Valores!G11+Valores!I11+Valores!J11)/(Valores!H11),0)</f>
        <v>0.85577806647865895</v>
      </c>
      <c r="I11" s="31">
        <f>IFERROR(Valores!K11/Valores!H11,0)</f>
        <v>0.76751481352387607</v>
      </c>
      <c r="J11" s="31">
        <f>IFERROR(Valores!K11/Valores!G11,0)</f>
        <v>1.4904011813930595</v>
      </c>
      <c r="K11" s="31">
        <f>IFERROR(Valores!L11/Valores!M11,0)</f>
        <v>6.4489914662529095</v>
      </c>
      <c r="L11" s="31">
        <f>IFERROR(Valores!N11/Valores!O11,0)</f>
        <v>0.67343173431734316</v>
      </c>
      <c r="M11" s="31">
        <f>IFERROR(Valores!P11/Valores!Q11,0)</f>
        <v>0.8104379124175165</v>
      </c>
      <c r="N11" s="31">
        <f>IFERROR(Valores!R11/Valores!S11,0)</f>
        <v>0.65908124202467033</v>
      </c>
      <c r="O11" s="29">
        <f>IF(Valores!W11&gt;0,Valores!T11/Valores!W11,IF(AND(Valores!W11=0,OR(Valores!V11&gt;0,Valores!U11&gt;0)),0,IF(AND(Valores!V11=0,Valores!W11=0,Valores!U11=0),"NC",)))</f>
        <v>0.26436781609195403</v>
      </c>
      <c r="P11" s="32">
        <f>IFERROR((Valores!X11+Valores!Y11)*1000/(Valores!H11),0)</f>
        <v>8.3652840711049166</v>
      </c>
      <c r="Q11" s="33">
        <f t="array" ref="Q11">F11/MAX(IF($E$4:$E$18=$E11,F$4:F$18))</f>
        <v>0.85135482742434565</v>
      </c>
      <c r="R11" s="33">
        <f t="array" ref="R11">G11/MAX(IF($E$4:$E$18=$E11,G$4:G$18))</f>
        <v>0.86674814157305979</v>
      </c>
      <c r="S11" s="33">
        <f t="array" ref="S11">H11/MAX(IF($E$4:$E$18=$E11,H$4:H$18))</f>
        <v>0.97577178452529367</v>
      </c>
      <c r="T11" s="33">
        <f t="array" ref="T11">I11/MAX(IF($E$4:$E$18=$E11,I$4:I$18))</f>
        <v>0.73435869882502547</v>
      </c>
      <c r="U11" s="33">
        <f t="array" ref="U11">J11/MAX(IF($E$4:$E$18=$E11,J$4:J$18))</f>
        <v>0.66015650742044585</v>
      </c>
      <c r="V11" s="33">
        <f t="array" ref="V11">K11/MAX(IF($E$4:$E$18=$E11,K$4:K$18))</f>
        <v>0.72263325495490316</v>
      </c>
      <c r="W11" s="33">
        <f t="array" ref="W11">L11/MAX(IF($E$4:$E$18=$E11,L$4:L$18))</f>
        <v>1</v>
      </c>
      <c r="X11" s="33">
        <f t="array" ref="X11">M11/MAX(IF($E$4:$E$18=$E11,M$4:M$18))</f>
        <v>0.94594299310323471</v>
      </c>
      <c r="Y11" s="33">
        <f t="array" ref="Y11">N11/MAX(IF($E$4:$E$18=$E11,N$4:N$18))</f>
        <v>0.87261482821211767</v>
      </c>
      <c r="Z11" s="33">
        <f t="array" ref="Z11">IF(O11="NC","NC",IF(O11=0,0,IF(O11&gt;0,O11/MAX(IF($E$4:$E$18=$E11,$O$4:$O$18,"ERROR")))))</f>
        <v>1</v>
      </c>
      <c r="AA11" s="34">
        <f t="array" ref="AA11">IF(P11=0,0,P11/MAX(IF($E$4:$E$18=$E11,$P$4:$P$18)))</f>
        <v>0.85059729395734929</v>
      </c>
      <c r="AB11" s="35">
        <f t="shared" si="1"/>
        <v>0.86183439363597969</v>
      </c>
      <c r="AC11" s="13">
        <f t="array" ref="AC11">SUM(IF($E$4:$E$18=$E11,$AB$4:$AB$18,"ERROR"))</f>
        <v>2.4884027359074357</v>
      </c>
      <c r="AD11" s="39">
        <f t="shared" si="2"/>
        <v>0.3463403978784399</v>
      </c>
      <c r="AE11" s="84">
        <f>VLOOKUP(E11,Categorías!$A$16:$E$19,4,0)</f>
        <v>6639804.1894736849</v>
      </c>
      <c r="AF11" s="85">
        <f t="shared" si="3"/>
        <v>2299632.4248172482</v>
      </c>
      <c r="AG11" s="84">
        <f t="shared" si="4"/>
        <v>2299632</v>
      </c>
      <c r="AH11" s="36">
        <f t="shared" si="4"/>
        <v>2299632</v>
      </c>
      <c r="AI11" s="22">
        <f t="array" ref="AI11">AG11/(SUM(IF($C$4:$C$18=$C11,$AG$4:$AG$18,0)))</f>
        <v>0.16405596402119285</v>
      </c>
    </row>
    <row r="12" spans="1:35" x14ac:dyDescent="0.25">
      <c r="A12" s="26" t="str">
        <f>Valores!A12</f>
        <v>UNIVERSIDAD TÉCNICA FEDERICO SANTA MARÍA</v>
      </c>
      <c r="B12" s="27" t="str">
        <f>Valores!B12</f>
        <v>FSM</v>
      </c>
      <c r="C12" s="28" t="str">
        <f>Valores!C12</f>
        <v>CRUCH-PRIVADA</v>
      </c>
      <c r="D12" s="28" t="str">
        <f>Valores!D12</f>
        <v>Categoría II</v>
      </c>
      <c r="E12" s="28" t="str">
        <f t="shared" si="0"/>
        <v>CRUCH-PRIVADACategoría II</v>
      </c>
      <c r="F12" s="30">
        <f>IFERROR(Valores!E12/Valores!F12*100,0)</f>
        <v>2.326556277509956</v>
      </c>
      <c r="G12" s="31">
        <f>IFERROR(Valores!G12/Valores!H12,0)</f>
        <v>0.36001104573800752</v>
      </c>
      <c r="H12" s="31">
        <f>IFERROR((Valores!G12+Valores!I12+Valores!J12)/(Valores!H12),0)</f>
        <v>0.61769777026361106</v>
      </c>
      <c r="I12" s="31">
        <f>IFERROR(Valores!K12/Valores!H12,0)</f>
        <v>0.81431418359278451</v>
      </c>
      <c r="J12" s="31">
        <f>IFERROR(Valores!K12/Valores!G12,0)</f>
        <v>2.2619144418846222</v>
      </c>
      <c r="K12" s="31">
        <f>IFERROR(Valores!L12/Valores!M12,0)</f>
        <v>11.171546546546546</v>
      </c>
      <c r="L12" s="31">
        <f>IFERROR(Valores!N12/Valores!O12,0)</f>
        <v>0.51407129455909939</v>
      </c>
      <c r="M12" s="31">
        <f>IFERROR(Valores!P12/Valores!Q12,0)</f>
        <v>0.80020491803278693</v>
      </c>
      <c r="N12" s="31">
        <f>IFERROR(Valores!R12/Valores!S12,0)</f>
        <v>0.55633047210300424</v>
      </c>
      <c r="O12" s="29">
        <f>IF(Valores!W12&gt;0,Valores!T12/Valores!W12,IF(AND(Valores!W12=0,OR(Valores!V12&gt;0,Valores!U12&gt;0)),0,IF(AND(Valores!V12=0,Valores!W12=0,Valores!U12=0),"NC",)))</f>
        <v>8.6956521739130432E-2</v>
      </c>
      <c r="P12" s="32">
        <f>IFERROR((Valores!X12+Valores!Y12)*1000/(Valores!H12),0)</f>
        <v>24.329246258483895</v>
      </c>
      <c r="Q12" s="33">
        <f t="array" ref="Q12">F12/MAX(IF($E$4:$E$18=$E12,F$4:F$18))</f>
        <v>0.49228769167395126</v>
      </c>
      <c r="R12" s="33">
        <f t="array" ref="R12">G12/MAX(IF($E$4:$E$18=$E12,G$4:G$18))</f>
        <v>0.88150861803325764</v>
      </c>
      <c r="S12" s="33">
        <f t="array" ref="S12">H12/MAX(IF($E$4:$E$18=$E12,H$4:H$18))</f>
        <v>0.81770778659830823</v>
      </c>
      <c r="T12" s="33">
        <f t="array" ref="T12">I12/MAX(IF($E$4:$E$18=$E12,I$4:I$18))</f>
        <v>1</v>
      </c>
      <c r="U12" s="33">
        <f t="array" ref="U12">J12/MAX(IF($E$4:$E$18=$E12,J$4:J$18))</f>
        <v>1</v>
      </c>
      <c r="V12" s="33">
        <f t="array" ref="V12">K12/MAX(IF($E$4:$E$18=$E12,K$4:K$18))</f>
        <v>1</v>
      </c>
      <c r="W12" s="33">
        <f t="array" ref="W12">L12/MAX(IF($E$4:$E$18=$E12,L$4:L$18))</f>
        <v>0.63406415618021583</v>
      </c>
      <c r="X12" s="33">
        <f t="array" ref="X12">M12/MAX(IF($E$4:$E$18=$E12,M$4:M$18))</f>
        <v>0.96249615833257673</v>
      </c>
      <c r="Y12" s="33">
        <f t="array" ref="Y12">N12/MAX(IF($E$4:$E$18=$E12,N$4:N$18))</f>
        <v>0.82386041910784147</v>
      </c>
      <c r="Z12" s="33">
        <f t="array" ref="Z12">IF(O12="NC","NC",IF(O12=0,0,IF(O12&gt;0,O12/MAX(IF($E$4:$E$18=$E12,$O$4:$O$18,"ERROR")))))</f>
        <v>0.31304347826086953</v>
      </c>
      <c r="AA12" s="34">
        <f t="array" ref="AA12">IF(P12=0,0,P12/MAX(IF($E$4:$E$18=$E12,$P$4:$P$18)))</f>
        <v>1</v>
      </c>
      <c r="AB12" s="35">
        <f t="shared" si="1"/>
        <v>0.81136075528972917</v>
      </c>
      <c r="AC12" s="13">
        <f t="array" ref="AC12">SUM(IF($E$4:$E$18=$E12,$AB$4:$AB$18,"ERROR"))</f>
        <v>2.9854442734031696</v>
      </c>
      <c r="AD12" s="39">
        <f t="shared" si="2"/>
        <v>0.27177219903851774</v>
      </c>
      <c r="AE12" s="84">
        <f>VLOOKUP(E12,Categorías!$A$16:$E$19,4,0)</f>
        <v>5902048.1684210533</v>
      </c>
      <c r="AF12" s="85">
        <f t="shared" si="3"/>
        <v>1604012.6095630457</v>
      </c>
      <c r="AG12" s="84">
        <f t="shared" si="4"/>
        <v>1604013</v>
      </c>
      <c r="AH12" s="36">
        <f t="shared" si="4"/>
        <v>1604013</v>
      </c>
      <c r="AI12" s="22">
        <f t="array" ref="AI12">AG12/(SUM(IF($C$4:$C$18=$C12,$AG$4:$AG$18,0)))</f>
        <v>0.1144304388778403</v>
      </c>
    </row>
    <row r="13" spans="1:35" x14ac:dyDescent="0.25">
      <c r="AF13" s="86">
        <f>SUM(AF4:AF12)</f>
        <v>14017364.400000002</v>
      </c>
      <c r="AG13" s="87">
        <f>SUM(AG4:AG12)</f>
        <v>14017363</v>
      </c>
      <c r="AH13" s="80">
        <f t="shared" si="4"/>
        <v>14017363</v>
      </c>
      <c r="AI13" s="138">
        <f>SUM(AI4:AI12)</f>
        <v>1</v>
      </c>
    </row>
    <row r="19" spans="31:35" x14ac:dyDescent="0.25">
      <c r="AG19" s="40"/>
      <c r="AH19" s="40"/>
      <c r="AI19" s="40"/>
    </row>
    <row r="20" spans="31:35" x14ac:dyDescent="0.25">
      <c r="AG20" s="40"/>
      <c r="AH20" s="40"/>
      <c r="AI20" s="40"/>
    </row>
    <row r="21" spans="31:35" x14ac:dyDescent="0.25">
      <c r="AG21" s="42"/>
      <c r="AH21" s="40"/>
      <c r="AI21" s="42"/>
    </row>
    <row r="22" spans="31:35" x14ac:dyDescent="0.25">
      <c r="AG22" s="42"/>
      <c r="AH22" s="40"/>
      <c r="AI22" s="42"/>
    </row>
    <row r="23" spans="31:35" x14ac:dyDescent="0.25">
      <c r="AG23" s="42"/>
      <c r="AH23" s="40"/>
      <c r="AI23" s="42"/>
    </row>
    <row r="24" spans="31:35" x14ac:dyDescent="0.25">
      <c r="AG24" s="42"/>
      <c r="AH24" s="40"/>
      <c r="AI24" s="42"/>
    </row>
    <row r="25" spans="31:35" x14ac:dyDescent="0.25">
      <c r="AG25" s="42"/>
      <c r="AH25" s="40"/>
      <c r="AI25" s="42"/>
    </row>
    <row r="26" spans="31:35" x14ac:dyDescent="0.25">
      <c r="AE26" s="41"/>
      <c r="AF26" s="42"/>
      <c r="AG26" s="42"/>
      <c r="AH26" s="40"/>
      <c r="AI26" s="42"/>
    </row>
    <row r="27" spans="31:35" x14ac:dyDescent="0.25">
      <c r="AE27" s="41"/>
      <c r="AF27" s="42"/>
      <c r="AG27" s="42"/>
      <c r="AH27" s="40"/>
      <c r="AI27" s="42"/>
    </row>
    <row r="28" spans="31:35" x14ac:dyDescent="0.25">
      <c r="AE28" s="41"/>
      <c r="AF28" s="42"/>
      <c r="AG28" s="42"/>
      <c r="AH28" s="40"/>
      <c r="AI28" s="42"/>
    </row>
    <row r="29" spans="31:35" x14ac:dyDescent="0.25">
      <c r="AE29" s="41"/>
      <c r="AF29" s="42"/>
      <c r="AG29" s="42"/>
      <c r="AH29" s="40"/>
      <c r="AI29" s="42"/>
    </row>
    <row r="30" spans="31:35" x14ac:dyDescent="0.25">
      <c r="AE30" s="41"/>
      <c r="AF30" s="42"/>
      <c r="AG30" s="42"/>
      <c r="AH30" s="40"/>
      <c r="AI30" s="42"/>
    </row>
    <row r="31" spans="31:35" x14ac:dyDescent="0.25">
      <c r="AE31" s="41"/>
      <c r="AF31" s="42"/>
      <c r="AG31" s="42"/>
      <c r="AH31" s="40"/>
      <c r="AI31" s="42"/>
    </row>
    <row r="32" spans="31:35" x14ac:dyDescent="0.25">
      <c r="AE32" s="41"/>
      <c r="AF32" s="42"/>
      <c r="AG32" s="42"/>
      <c r="AH32" s="40"/>
      <c r="AI32" s="42"/>
    </row>
    <row r="33" spans="17:35" x14ac:dyDescent="0.25">
      <c r="AE33" s="41"/>
      <c r="AF33" s="42"/>
      <c r="AG33" s="42"/>
      <c r="AH33" s="40"/>
      <c r="AI33" s="42"/>
    </row>
    <row r="34" spans="17:35" x14ac:dyDescent="0.25">
      <c r="AE34" s="41"/>
      <c r="AF34" s="42"/>
      <c r="AG34" s="42"/>
      <c r="AH34" s="40"/>
      <c r="AI34" s="42"/>
    </row>
    <row r="35" spans="17:35" x14ac:dyDescent="0.25">
      <c r="AE35" s="41"/>
      <c r="AF35" s="42"/>
      <c r="AG35" s="42"/>
      <c r="AH35" s="40"/>
      <c r="AI35" s="42"/>
    </row>
    <row r="36" spans="17:35" x14ac:dyDescent="0.25">
      <c r="AE36" s="41"/>
      <c r="AF36" s="42"/>
      <c r="AG36" s="42"/>
      <c r="AH36" s="40"/>
      <c r="AI36" s="42"/>
    </row>
    <row r="37" spans="17:35" x14ac:dyDescent="0.25">
      <c r="AE37" s="41"/>
      <c r="AF37" s="42"/>
      <c r="AG37" s="42"/>
      <c r="AH37" s="40"/>
      <c r="AI37" s="42"/>
    </row>
    <row r="38" spans="17:35" x14ac:dyDescent="0.25">
      <c r="AE38" s="41"/>
      <c r="AF38" s="42"/>
      <c r="AG38" s="42"/>
      <c r="AH38" s="40"/>
      <c r="AI38" s="42"/>
    </row>
    <row r="39" spans="17:35" x14ac:dyDescent="0.25">
      <c r="AE39" s="41"/>
      <c r="AF39" s="42"/>
      <c r="AG39" s="42"/>
      <c r="AH39" s="40"/>
      <c r="AI39" s="42"/>
    </row>
    <row r="40" spans="17:35" x14ac:dyDescent="0.25">
      <c r="AE40" s="41"/>
      <c r="AF40" s="42"/>
      <c r="AG40" s="42"/>
      <c r="AH40" s="40"/>
      <c r="AI40" s="42"/>
    </row>
    <row r="41" spans="17:35" x14ac:dyDescent="0.25">
      <c r="AE41" s="41"/>
      <c r="AF41" s="42"/>
      <c r="AG41" s="42"/>
      <c r="AH41" s="40"/>
      <c r="AI41" s="42"/>
    </row>
    <row r="42" spans="17:35" x14ac:dyDescent="0.25">
      <c r="AE42" s="41"/>
      <c r="AF42" s="42"/>
      <c r="AG42" s="42"/>
      <c r="AH42" s="40"/>
      <c r="AI42" s="42"/>
    </row>
    <row r="43" spans="17:35" x14ac:dyDescent="0.25">
      <c r="AE43" s="41"/>
      <c r="AF43" s="42"/>
      <c r="AG43" s="42"/>
      <c r="AH43" s="40"/>
      <c r="AI43" s="42"/>
    </row>
    <row r="44" spans="17:35" x14ac:dyDescent="0.25">
      <c r="AE44" s="41"/>
      <c r="AF44" s="42"/>
      <c r="AG44" s="42"/>
      <c r="AH44" s="40"/>
      <c r="AI44" s="42"/>
    </row>
    <row r="45" spans="17:35" x14ac:dyDescent="0.25">
      <c r="AE45" s="41"/>
      <c r="AF45" s="42"/>
      <c r="AG45" s="42"/>
      <c r="AH45" s="40"/>
      <c r="AI45" s="42"/>
    </row>
    <row r="46" spans="17:35" x14ac:dyDescent="0.25">
      <c r="AE46" s="41"/>
      <c r="AF46" s="42"/>
      <c r="AG46" s="42"/>
      <c r="AH46" s="40"/>
      <c r="AI46" s="42"/>
    </row>
    <row r="47" spans="17:35" x14ac:dyDescent="0.25">
      <c r="AD47" s="40"/>
      <c r="AE47" s="41"/>
      <c r="AF47" s="42"/>
      <c r="AG47" s="42"/>
      <c r="AH47" s="40"/>
      <c r="AI47" s="42"/>
    </row>
    <row r="48" spans="17:35" x14ac:dyDescent="0.25">
      <c r="Q48" s="43" t="e">
        <f>#REF!-#REF!</f>
        <v>#REF!</v>
      </c>
      <c r="R48" s="43" t="e">
        <f>#REF!-#REF!</f>
        <v>#REF!</v>
      </c>
      <c r="S48" s="43" t="e">
        <f>#REF!-#REF!</f>
        <v>#REF!</v>
      </c>
      <c r="T48" s="43" t="e">
        <f>#REF!-#REF!</f>
        <v>#REF!</v>
      </c>
      <c r="U48" s="43" t="e">
        <f>#REF!-#REF!</f>
        <v>#REF!</v>
      </c>
      <c r="V48" s="43"/>
      <c r="W48" s="43"/>
      <c r="X48" s="43"/>
      <c r="Y48" s="43"/>
      <c r="Z48" s="43"/>
      <c r="AA48" s="43"/>
      <c r="AB48" s="43"/>
      <c r="AC48" s="43"/>
      <c r="AD48" s="43"/>
      <c r="AE48" s="41"/>
      <c r="AF48" s="42"/>
      <c r="AG48" s="42"/>
      <c r="AH48" s="40"/>
      <c r="AI48" s="42"/>
    </row>
    <row r="49" spans="17:35" x14ac:dyDescent="0.25">
      <c r="Q49" s="43" t="e">
        <f>#REF!-Q18</f>
        <v>#REF!</v>
      </c>
      <c r="R49" s="43" t="e">
        <f>#REF!-R18</f>
        <v>#REF!</v>
      </c>
      <c r="S49" s="43" t="e">
        <f>#REF!-S18</f>
        <v>#REF!</v>
      </c>
      <c r="T49" s="43" t="e">
        <f>#REF!-T18</f>
        <v>#REF!</v>
      </c>
      <c r="U49" s="43" t="e">
        <f>#REF!-U18</f>
        <v>#REF!</v>
      </c>
      <c r="V49" s="43"/>
      <c r="W49" s="43"/>
      <c r="X49" s="43"/>
      <c r="Y49" s="43"/>
      <c r="Z49" s="43"/>
      <c r="AA49" s="43"/>
      <c r="AB49" s="43"/>
      <c r="AC49" s="43"/>
      <c r="AD49" s="43"/>
      <c r="AE49" s="41"/>
      <c r="AF49" s="42"/>
      <c r="AG49" s="42"/>
      <c r="AH49" s="40"/>
      <c r="AI49" s="42"/>
    </row>
    <row r="50" spans="17:35" x14ac:dyDescent="0.25">
      <c r="Q50" s="43" t="e">
        <f>#REF!-Q19</f>
        <v>#REF!</v>
      </c>
      <c r="R50" s="43" t="e">
        <f>#REF!-R19</f>
        <v>#REF!</v>
      </c>
      <c r="S50" s="43" t="e">
        <f>#REF!-S19</f>
        <v>#REF!</v>
      </c>
      <c r="T50" s="43" t="e">
        <f>#REF!-T19</f>
        <v>#REF!</v>
      </c>
      <c r="U50" s="43" t="e">
        <f>#REF!-U19</f>
        <v>#REF!</v>
      </c>
      <c r="V50" s="43"/>
      <c r="W50" s="43"/>
      <c r="X50" s="43"/>
      <c r="Y50" s="43"/>
      <c r="Z50" s="43"/>
      <c r="AA50" s="43"/>
      <c r="AB50" s="43"/>
      <c r="AC50" s="43"/>
      <c r="AD50" s="43"/>
      <c r="AE50" s="41"/>
      <c r="AF50" s="42"/>
      <c r="AG50" s="42"/>
      <c r="AH50" s="40"/>
      <c r="AI50" s="42"/>
    </row>
    <row r="51" spans="17:35" x14ac:dyDescent="0.25">
      <c r="Q51" s="43" t="e">
        <f>#REF!-Q20</f>
        <v>#REF!</v>
      </c>
      <c r="R51" s="43" t="e">
        <f>#REF!-R20</f>
        <v>#REF!</v>
      </c>
      <c r="S51" s="43" t="e">
        <f>#REF!-S20</f>
        <v>#REF!</v>
      </c>
      <c r="T51" s="43" t="e">
        <f>#REF!-T20</f>
        <v>#REF!</v>
      </c>
      <c r="U51" s="43" t="e">
        <f>#REF!-U20</f>
        <v>#REF!</v>
      </c>
      <c r="V51" s="43"/>
      <c r="W51" s="43"/>
      <c r="X51" s="43"/>
      <c r="Y51" s="43"/>
      <c r="Z51" s="43"/>
      <c r="AA51" s="43"/>
      <c r="AB51" s="43"/>
      <c r="AC51" s="43"/>
      <c r="AD51" s="43"/>
      <c r="AE51" s="40"/>
      <c r="AF51" s="40"/>
      <c r="AG51" s="42"/>
      <c r="AH51" s="40"/>
      <c r="AI51" s="42"/>
    </row>
    <row r="52" spans="17:35" x14ac:dyDescent="0.25">
      <c r="Q52" s="43" t="e">
        <f>#REF!-Q21</f>
        <v>#REF!</v>
      </c>
      <c r="R52" s="43" t="e">
        <f>#REF!-R21</f>
        <v>#REF!</v>
      </c>
      <c r="S52" s="43" t="e">
        <f>#REF!-S21</f>
        <v>#REF!</v>
      </c>
      <c r="T52" s="43" t="e">
        <f>#REF!-T21</f>
        <v>#REF!</v>
      </c>
      <c r="U52" s="43" t="e">
        <f>#REF!-U21</f>
        <v>#REF!</v>
      </c>
      <c r="V52" s="43"/>
      <c r="W52" s="43"/>
      <c r="X52" s="43"/>
      <c r="Y52" s="43"/>
      <c r="Z52" s="43"/>
      <c r="AA52" s="43"/>
      <c r="AB52" s="43"/>
      <c r="AC52" s="43"/>
      <c r="AD52" s="43"/>
      <c r="AE52" s="40"/>
      <c r="AF52" s="40"/>
      <c r="AG52" s="40"/>
      <c r="AH52" s="40"/>
      <c r="AI52" s="40"/>
    </row>
    <row r="53" spans="17:35" x14ac:dyDescent="0.25">
      <c r="Q53" s="43" t="e">
        <f>#REF!-Q22</f>
        <v>#REF!</v>
      </c>
      <c r="R53" s="43" t="e">
        <f>#REF!-R22</f>
        <v>#REF!</v>
      </c>
      <c r="S53" s="43" t="e">
        <f>#REF!-S22</f>
        <v>#REF!</v>
      </c>
      <c r="T53" s="43" t="e">
        <f>#REF!-T22</f>
        <v>#REF!</v>
      </c>
      <c r="U53" s="43" t="e">
        <f>#REF!-U22</f>
        <v>#REF!</v>
      </c>
      <c r="V53" s="43"/>
      <c r="W53" s="43"/>
      <c r="X53" s="43"/>
      <c r="Y53" s="43"/>
      <c r="Z53" s="43"/>
      <c r="AA53" s="43"/>
      <c r="AB53" s="43"/>
      <c r="AC53" s="43"/>
      <c r="AD53" s="43"/>
      <c r="AE53" s="40"/>
      <c r="AF53" s="40"/>
      <c r="AG53" s="40"/>
      <c r="AH53" s="40"/>
      <c r="AI53" s="40"/>
    </row>
    <row r="54" spans="17:35" x14ac:dyDescent="0.25">
      <c r="Q54" s="43" t="e">
        <f>#REF!-Q23</f>
        <v>#REF!</v>
      </c>
      <c r="R54" s="43" t="e">
        <f>#REF!-R23</f>
        <v>#REF!</v>
      </c>
      <c r="S54" s="43" t="e">
        <f>#REF!-S23</f>
        <v>#REF!</v>
      </c>
      <c r="T54" s="43" t="e">
        <f>#REF!-T23</f>
        <v>#REF!</v>
      </c>
      <c r="U54" s="43" t="e">
        <f>#REF!-U23</f>
        <v>#REF!</v>
      </c>
      <c r="V54" s="43"/>
      <c r="W54" s="43"/>
      <c r="X54" s="43"/>
      <c r="Y54" s="43"/>
      <c r="Z54" s="43"/>
      <c r="AA54" s="43"/>
      <c r="AB54" s="43"/>
      <c r="AC54" s="43"/>
      <c r="AD54" s="43"/>
    </row>
    <row r="55" spans="17:35" x14ac:dyDescent="0.25">
      <c r="Q55" s="43" t="e">
        <f>#REF!-Q24</f>
        <v>#REF!</v>
      </c>
      <c r="R55" s="43" t="e">
        <f>#REF!-R24</f>
        <v>#REF!</v>
      </c>
      <c r="S55" s="43" t="e">
        <f>#REF!-S24</f>
        <v>#REF!</v>
      </c>
      <c r="T55" s="43" t="e">
        <f>#REF!-T24</f>
        <v>#REF!</v>
      </c>
      <c r="U55" s="43" t="e">
        <f>#REF!-U24</f>
        <v>#REF!</v>
      </c>
      <c r="V55" s="43"/>
      <c r="W55" s="43"/>
      <c r="X55" s="43"/>
      <c r="Y55" s="43"/>
      <c r="Z55" s="43"/>
      <c r="AA55" s="43"/>
      <c r="AB55" s="43"/>
      <c r="AC55" s="43"/>
      <c r="AD55" s="43"/>
    </row>
    <row r="56" spans="17:35" x14ac:dyDescent="0.25">
      <c r="Q56" s="43" t="e">
        <f>#REF!-Q25</f>
        <v>#REF!</v>
      </c>
      <c r="R56" s="43" t="e">
        <f>#REF!-R25</f>
        <v>#REF!</v>
      </c>
      <c r="S56" s="43" t="e">
        <f>#REF!-S25</f>
        <v>#REF!</v>
      </c>
      <c r="T56" s="43" t="e">
        <f>#REF!-T25</f>
        <v>#REF!</v>
      </c>
      <c r="U56" s="43" t="e">
        <f>#REF!-U25</f>
        <v>#REF!</v>
      </c>
      <c r="V56" s="43"/>
      <c r="W56" s="43"/>
      <c r="X56" s="43"/>
      <c r="Y56" s="43"/>
      <c r="Z56" s="43"/>
      <c r="AA56" s="43"/>
      <c r="AB56" s="43"/>
      <c r="AC56" s="43"/>
      <c r="AD56" s="43"/>
    </row>
    <row r="57" spans="17:35" x14ac:dyDescent="0.25">
      <c r="Q57" s="43" t="e">
        <f>#REF!-Q26</f>
        <v>#REF!</v>
      </c>
      <c r="R57" s="43" t="e">
        <f>#REF!-R26</f>
        <v>#REF!</v>
      </c>
      <c r="S57" s="43" t="e">
        <f>#REF!-S26</f>
        <v>#REF!</v>
      </c>
      <c r="T57" s="43" t="e">
        <f>#REF!-T26</f>
        <v>#REF!</v>
      </c>
      <c r="U57" s="43" t="e">
        <f>#REF!-U26</f>
        <v>#REF!</v>
      </c>
      <c r="V57" s="43"/>
      <c r="W57" s="43"/>
      <c r="X57" s="43"/>
      <c r="Y57" s="43"/>
      <c r="Z57" s="43"/>
      <c r="AA57" s="43"/>
      <c r="AB57" s="43"/>
      <c r="AC57" s="43"/>
      <c r="AD57" s="43"/>
    </row>
    <row r="58" spans="17:35" x14ac:dyDescent="0.25">
      <c r="Q58" s="43" t="e">
        <f>#REF!-Q27</f>
        <v>#REF!</v>
      </c>
      <c r="R58" s="43" t="e">
        <f>#REF!-R27</f>
        <v>#REF!</v>
      </c>
      <c r="S58" s="43" t="e">
        <f>#REF!-S27</f>
        <v>#REF!</v>
      </c>
      <c r="T58" s="43" t="e">
        <f>#REF!-T27</f>
        <v>#REF!</v>
      </c>
      <c r="U58" s="43" t="e">
        <f>#REF!-U27</f>
        <v>#REF!</v>
      </c>
      <c r="V58" s="43"/>
      <c r="W58" s="43"/>
      <c r="X58" s="43"/>
      <c r="Y58" s="43"/>
      <c r="Z58" s="43"/>
      <c r="AA58" s="43"/>
      <c r="AB58" s="43"/>
      <c r="AC58" s="43"/>
      <c r="AD58" s="43"/>
    </row>
    <row r="59" spans="17:35" x14ac:dyDescent="0.25">
      <c r="Q59" s="43" t="e">
        <f>#REF!-Q28</f>
        <v>#REF!</v>
      </c>
      <c r="R59" s="43" t="e">
        <f>#REF!-R28</f>
        <v>#REF!</v>
      </c>
      <c r="S59" s="43" t="e">
        <f>#REF!-S28</f>
        <v>#REF!</v>
      </c>
      <c r="T59" s="43" t="e">
        <f>#REF!-T28</f>
        <v>#REF!</v>
      </c>
      <c r="U59" s="43" t="e">
        <f>#REF!-U28</f>
        <v>#REF!</v>
      </c>
      <c r="V59" s="43"/>
      <c r="W59" s="43"/>
      <c r="X59" s="43"/>
      <c r="Y59" s="43"/>
      <c r="Z59" s="43"/>
      <c r="AA59" s="43"/>
      <c r="AB59" s="43"/>
      <c r="AC59" s="43"/>
      <c r="AD59" s="43"/>
    </row>
    <row r="60" spans="17:35" x14ac:dyDescent="0.25">
      <c r="Q60" s="43" t="e">
        <f>#REF!-Q29</f>
        <v>#REF!</v>
      </c>
      <c r="R60" s="43" t="e">
        <f>#REF!-R29</f>
        <v>#REF!</v>
      </c>
      <c r="S60" s="43" t="e">
        <f>#REF!-S29</f>
        <v>#REF!</v>
      </c>
      <c r="T60" s="43" t="e">
        <f>#REF!-T29</f>
        <v>#REF!</v>
      </c>
      <c r="U60" s="43" t="e">
        <f>#REF!-U29</f>
        <v>#REF!</v>
      </c>
      <c r="V60" s="43"/>
      <c r="W60" s="43"/>
      <c r="X60" s="43"/>
      <c r="Y60" s="43"/>
      <c r="Z60" s="43"/>
      <c r="AA60" s="43"/>
      <c r="AB60" s="43"/>
      <c r="AC60" s="43"/>
      <c r="AD60" s="43"/>
    </row>
    <row r="61" spans="17:35" x14ac:dyDescent="0.25">
      <c r="Q61" s="43" t="e">
        <f>#REF!-Q30</f>
        <v>#REF!</v>
      </c>
      <c r="R61" s="43" t="e">
        <f>#REF!-R30</f>
        <v>#REF!</v>
      </c>
      <c r="S61" s="43" t="e">
        <f>#REF!-S30</f>
        <v>#REF!</v>
      </c>
      <c r="T61" s="43" t="e">
        <f>#REF!-T30</f>
        <v>#REF!</v>
      </c>
      <c r="U61" s="43" t="e">
        <f>#REF!-U30</f>
        <v>#REF!</v>
      </c>
      <c r="V61" s="43"/>
      <c r="W61" s="43"/>
      <c r="X61" s="43"/>
      <c r="Y61" s="43"/>
      <c r="Z61" s="43"/>
      <c r="AA61" s="43"/>
      <c r="AB61" s="43"/>
      <c r="AC61" s="43"/>
      <c r="AD61" s="43"/>
    </row>
    <row r="62" spans="17:35" x14ac:dyDescent="0.25">
      <c r="Q62" s="43" t="e">
        <f>#REF!-Q31</f>
        <v>#REF!</v>
      </c>
      <c r="R62" s="43" t="e">
        <f>#REF!-R31</f>
        <v>#REF!</v>
      </c>
      <c r="S62" s="43" t="e">
        <f>#REF!-S31</f>
        <v>#REF!</v>
      </c>
      <c r="T62" s="43" t="e">
        <f>#REF!-T31</f>
        <v>#REF!</v>
      </c>
      <c r="U62" s="43" t="e">
        <f>#REF!-U31</f>
        <v>#REF!</v>
      </c>
      <c r="V62" s="43"/>
      <c r="W62" s="43"/>
      <c r="X62" s="43"/>
      <c r="Y62" s="43"/>
      <c r="Z62" s="43"/>
      <c r="AA62" s="43"/>
      <c r="AB62" s="43"/>
      <c r="AC62" s="43"/>
      <c r="AD62" s="43"/>
    </row>
    <row r="63" spans="17:35" x14ac:dyDescent="0.25">
      <c r="Q63" s="43" t="e">
        <f>#REF!-Q32</f>
        <v>#REF!</v>
      </c>
      <c r="R63" s="43" t="e">
        <f>#REF!-R32</f>
        <v>#REF!</v>
      </c>
      <c r="S63" s="43" t="e">
        <f>#REF!-S32</f>
        <v>#REF!</v>
      </c>
      <c r="T63" s="43" t="e">
        <f>#REF!-T32</f>
        <v>#REF!</v>
      </c>
      <c r="U63" s="43" t="e">
        <f>#REF!-U32</f>
        <v>#REF!</v>
      </c>
      <c r="V63" s="43"/>
      <c r="W63" s="43"/>
      <c r="X63" s="43"/>
      <c r="Y63" s="43"/>
      <c r="Z63" s="43"/>
      <c r="AA63" s="43"/>
      <c r="AB63" s="43"/>
      <c r="AC63" s="43"/>
      <c r="AD63" s="43"/>
    </row>
    <row r="64" spans="17:35" x14ac:dyDescent="0.25">
      <c r="Q64" s="43">
        <f t="shared" ref="Q64:U77" si="5">Q4-Q33</f>
        <v>1</v>
      </c>
      <c r="R64" s="43">
        <f t="shared" si="5"/>
        <v>0.77916885422551263</v>
      </c>
      <c r="S64" s="43">
        <f t="shared" si="5"/>
        <v>1</v>
      </c>
      <c r="T64" s="43">
        <f t="shared" si="5"/>
        <v>1</v>
      </c>
      <c r="U64" s="43">
        <f t="shared" si="5"/>
        <v>1</v>
      </c>
      <c r="V64" s="43"/>
      <c r="W64" s="43"/>
      <c r="X64" s="43"/>
      <c r="Y64" s="43"/>
      <c r="Z64" s="43"/>
      <c r="AA64" s="43"/>
      <c r="AB64" s="43"/>
      <c r="AC64" s="43"/>
      <c r="AD64" s="43"/>
    </row>
    <row r="65" spans="17:30" x14ac:dyDescent="0.25">
      <c r="Q65" s="43">
        <f t="shared" si="5"/>
        <v>0.64383686442822585</v>
      </c>
      <c r="R65" s="43">
        <f t="shared" si="5"/>
        <v>1</v>
      </c>
      <c r="S65" s="43">
        <f t="shared" si="5"/>
        <v>0.94165905879686218</v>
      </c>
      <c r="T65" s="43">
        <f t="shared" si="5"/>
        <v>0.91086907610452583</v>
      </c>
      <c r="U65" s="43">
        <f t="shared" si="5"/>
        <v>0.70972081437781454</v>
      </c>
      <c r="V65" s="43"/>
      <c r="W65" s="43"/>
      <c r="X65" s="43"/>
      <c r="Y65" s="43"/>
      <c r="Z65" s="43"/>
      <c r="AA65" s="43"/>
      <c r="AB65" s="43"/>
      <c r="AC65" s="43"/>
      <c r="AD65" s="43"/>
    </row>
    <row r="66" spans="17:30" x14ac:dyDescent="0.25">
      <c r="Q66" s="43">
        <f t="shared" si="5"/>
        <v>1</v>
      </c>
      <c r="R66" s="43">
        <f t="shared" si="5"/>
        <v>1</v>
      </c>
      <c r="S66" s="43">
        <f t="shared" si="5"/>
        <v>1</v>
      </c>
      <c r="T66" s="43">
        <f t="shared" si="5"/>
        <v>0.73791195029594858</v>
      </c>
      <c r="U66" s="43">
        <f t="shared" si="5"/>
        <v>0.65047574353560755</v>
      </c>
      <c r="V66" s="43"/>
      <c r="W66" s="43"/>
      <c r="X66" s="43"/>
      <c r="Y66" s="43"/>
      <c r="Z66" s="43"/>
      <c r="AA66" s="43"/>
      <c r="AB66" s="43"/>
      <c r="AC66" s="43"/>
      <c r="AD66" s="43"/>
    </row>
    <row r="67" spans="17:30" x14ac:dyDescent="0.25">
      <c r="Q67" s="43">
        <f t="shared" si="5"/>
        <v>0.54297850664057801</v>
      </c>
      <c r="R67" s="43">
        <f t="shared" si="5"/>
        <v>0.80532946220859858</v>
      </c>
      <c r="S67" s="43">
        <f t="shared" si="5"/>
        <v>0.83252017945067425</v>
      </c>
      <c r="T67" s="43">
        <f t="shared" si="5"/>
        <v>0.84686932080246979</v>
      </c>
      <c r="U67" s="43">
        <f t="shared" si="5"/>
        <v>1</v>
      </c>
      <c r="V67" s="43"/>
      <c r="W67" s="43"/>
      <c r="X67" s="43"/>
      <c r="Y67" s="43"/>
      <c r="Z67" s="43"/>
      <c r="AA67" s="43"/>
      <c r="AB67" s="43"/>
      <c r="AC67" s="43"/>
      <c r="AD67" s="43"/>
    </row>
    <row r="68" spans="17:30" x14ac:dyDescent="0.25">
      <c r="Q68" s="43">
        <f t="shared" si="5"/>
        <v>0.64360551811596733</v>
      </c>
      <c r="R68" s="43">
        <f t="shared" si="5"/>
        <v>0.74355032187939307</v>
      </c>
      <c r="S68" s="43">
        <f t="shared" si="5"/>
        <v>0.92750597401746293</v>
      </c>
      <c r="T68" s="43">
        <f t="shared" si="5"/>
        <v>0.39892116480982126</v>
      </c>
      <c r="U68" s="43">
        <f t="shared" si="5"/>
        <v>0.47293698132883388</v>
      </c>
      <c r="V68" s="43"/>
      <c r="W68" s="43"/>
      <c r="X68" s="43"/>
      <c r="Y68" s="43"/>
      <c r="Z68" s="43"/>
      <c r="AA68" s="43"/>
      <c r="AB68" s="43"/>
      <c r="AC68" s="43"/>
      <c r="AD68" s="43"/>
    </row>
    <row r="69" spans="17:30" x14ac:dyDescent="0.25">
      <c r="Q69" s="43">
        <f t="shared" si="5"/>
        <v>1</v>
      </c>
      <c r="R69" s="43">
        <f t="shared" si="5"/>
        <v>1</v>
      </c>
      <c r="S69" s="43">
        <f t="shared" si="5"/>
        <v>1</v>
      </c>
      <c r="T69" s="43">
        <f t="shared" si="5"/>
        <v>1</v>
      </c>
      <c r="U69" s="43">
        <f t="shared" si="5"/>
        <v>0.95094891552511407</v>
      </c>
      <c r="V69" s="43"/>
      <c r="W69" s="43"/>
      <c r="X69" s="43"/>
      <c r="Y69" s="43"/>
      <c r="Z69" s="43"/>
      <c r="AA69" s="43"/>
      <c r="AB69" s="43"/>
      <c r="AC69" s="43"/>
      <c r="AD69" s="43"/>
    </row>
    <row r="70" spans="17:30" x14ac:dyDescent="0.25">
      <c r="Q70" s="43">
        <f t="shared" si="5"/>
        <v>0.82434679541928846</v>
      </c>
      <c r="R70" s="43">
        <f t="shared" si="5"/>
        <v>0.8653842795688601</v>
      </c>
      <c r="S70" s="43">
        <f t="shared" si="5"/>
        <v>0.86907292807975012</v>
      </c>
      <c r="T70" s="43">
        <f t="shared" si="5"/>
        <v>0.72469418715161793</v>
      </c>
      <c r="U70" s="43">
        <f t="shared" si="5"/>
        <v>0.73819710675935091</v>
      </c>
      <c r="V70" s="43"/>
      <c r="W70" s="43"/>
      <c r="X70" s="43"/>
      <c r="Y70" s="43"/>
      <c r="Z70" s="43"/>
      <c r="AA70" s="43"/>
      <c r="AB70" s="43"/>
      <c r="AC70" s="43"/>
      <c r="AD70" s="43"/>
    </row>
    <row r="71" spans="17:30" x14ac:dyDescent="0.25">
      <c r="Q71" s="43">
        <f t="shared" si="5"/>
        <v>0.85135482742434565</v>
      </c>
      <c r="R71" s="43">
        <f t="shared" si="5"/>
        <v>0.86674814157305979</v>
      </c>
      <c r="S71" s="43">
        <f t="shared" si="5"/>
        <v>0.97577178452529367</v>
      </c>
      <c r="T71" s="43">
        <f t="shared" si="5"/>
        <v>0.73435869882502547</v>
      </c>
      <c r="U71" s="43">
        <f t="shared" si="5"/>
        <v>0.66015650742044585</v>
      </c>
      <c r="V71" s="43"/>
      <c r="W71" s="43"/>
      <c r="X71" s="43"/>
      <c r="Y71" s="43"/>
      <c r="Z71" s="43"/>
      <c r="AA71" s="43"/>
      <c r="AB71" s="43"/>
      <c r="AC71" s="43"/>
      <c r="AD71" s="43"/>
    </row>
    <row r="72" spans="17:30" x14ac:dyDescent="0.25">
      <c r="Q72" s="43">
        <f t="shared" si="5"/>
        <v>0.49228769167395126</v>
      </c>
      <c r="R72" s="43">
        <f t="shared" si="5"/>
        <v>0.88150861803325764</v>
      </c>
      <c r="S72" s="43">
        <f t="shared" si="5"/>
        <v>0.81770778659830823</v>
      </c>
      <c r="T72" s="43">
        <f t="shared" si="5"/>
        <v>1</v>
      </c>
      <c r="U72" s="43">
        <f t="shared" si="5"/>
        <v>1</v>
      </c>
      <c r="V72" s="43"/>
      <c r="W72" s="43"/>
      <c r="X72" s="43"/>
      <c r="Y72" s="43"/>
      <c r="Z72" s="43"/>
      <c r="AA72" s="43"/>
      <c r="AB72" s="43"/>
      <c r="AC72" s="43"/>
      <c r="AD72" s="43"/>
    </row>
    <row r="73" spans="17:30" x14ac:dyDescent="0.25">
      <c r="Q73" s="43">
        <f t="shared" si="5"/>
        <v>0</v>
      </c>
      <c r="R73" s="43">
        <f t="shared" si="5"/>
        <v>0</v>
      </c>
      <c r="S73" s="43">
        <f t="shared" si="5"/>
        <v>0</v>
      </c>
      <c r="T73" s="43">
        <f t="shared" si="5"/>
        <v>0</v>
      </c>
      <c r="U73" s="43">
        <f t="shared" si="5"/>
        <v>0</v>
      </c>
      <c r="V73" s="43"/>
      <c r="W73" s="43"/>
      <c r="X73" s="43"/>
      <c r="Y73" s="43"/>
      <c r="Z73" s="43"/>
      <c r="AA73" s="43"/>
      <c r="AB73" s="43"/>
      <c r="AC73" s="43"/>
      <c r="AD73" s="43"/>
    </row>
    <row r="74" spans="17:30" x14ac:dyDescent="0.25">
      <c r="Q74" s="43">
        <f t="shared" si="5"/>
        <v>0</v>
      </c>
      <c r="R74" s="43">
        <f t="shared" si="5"/>
        <v>0</v>
      </c>
      <c r="S74" s="43">
        <f t="shared" si="5"/>
        <v>0</v>
      </c>
      <c r="T74" s="43">
        <f t="shared" si="5"/>
        <v>0</v>
      </c>
      <c r="U74" s="43">
        <f t="shared" si="5"/>
        <v>0</v>
      </c>
      <c r="V74" s="43"/>
      <c r="W74" s="43"/>
      <c r="X74" s="43"/>
      <c r="Y74" s="43"/>
      <c r="Z74" s="43"/>
      <c r="AA74" s="43"/>
      <c r="AB74" s="43"/>
      <c r="AC74" s="43"/>
      <c r="AD74" s="43"/>
    </row>
    <row r="75" spans="17:30" x14ac:dyDescent="0.25">
      <c r="Q75" s="43">
        <f t="shared" si="5"/>
        <v>0</v>
      </c>
      <c r="R75" s="43">
        <f t="shared" si="5"/>
        <v>0</v>
      </c>
      <c r="S75" s="43">
        <f t="shared" si="5"/>
        <v>0</v>
      </c>
      <c r="T75" s="43">
        <f t="shared" si="5"/>
        <v>0</v>
      </c>
      <c r="U75" s="43">
        <f t="shared" si="5"/>
        <v>0</v>
      </c>
      <c r="V75" s="43"/>
      <c r="W75" s="43"/>
      <c r="X75" s="43"/>
      <c r="Y75" s="43"/>
      <c r="Z75" s="43"/>
      <c r="AA75" s="43"/>
      <c r="AB75" s="43"/>
      <c r="AC75" s="43"/>
      <c r="AD75" s="43"/>
    </row>
    <row r="76" spans="17:30" x14ac:dyDescent="0.25">
      <c r="Q76" s="43">
        <f t="shared" si="5"/>
        <v>0</v>
      </c>
      <c r="R76" s="43">
        <f t="shared" si="5"/>
        <v>0</v>
      </c>
      <c r="S76" s="43">
        <f t="shared" si="5"/>
        <v>0</v>
      </c>
      <c r="T76" s="43">
        <f t="shared" si="5"/>
        <v>0</v>
      </c>
      <c r="U76" s="43">
        <f t="shared" si="5"/>
        <v>0</v>
      </c>
      <c r="V76" s="43"/>
      <c r="W76" s="43"/>
      <c r="X76" s="43"/>
      <c r="Y76" s="43"/>
      <c r="Z76" s="43"/>
      <c r="AA76" s="43"/>
      <c r="AB76" s="43"/>
      <c r="AC76" s="43"/>
      <c r="AD76" s="43"/>
    </row>
    <row r="77" spans="17:30" x14ac:dyDescent="0.25">
      <c r="Q77" s="43">
        <f t="shared" si="5"/>
        <v>0</v>
      </c>
      <c r="R77" s="43">
        <f t="shared" si="5"/>
        <v>0</v>
      </c>
      <c r="S77" s="43">
        <f t="shared" si="5"/>
        <v>0</v>
      </c>
      <c r="T77" s="43">
        <f t="shared" si="5"/>
        <v>0</v>
      </c>
      <c r="U77" s="43">
        <f t="shared" si="5"/>
        <v>0</v>
      </c>
      <c r="V77" s="43"/>
      <c r="W77" s="43"/>
      <c r="X77" s="43"/>
      <c r="Y77" s="43"/>
      <c r="Z77" s="43"/>
      <c r="AA77" s="43"/>
      <c r="AB77" s="43"/>
      <c r="AC77" s="43"/>
      <c r="AD77" s="43"/>
    </row>
    <row r="78" spans="17:30" x14ac:dyDescent="0.25">
      <c r="Q78" s="43"/>
    </row>
    <row r="79" spans="17:30" x14ac:dyDescent="0.25">
      <c r="Q79" s="43"/>
    </row>
    <row r="80" spans="17:30" x14ac:dyDescent="0.25">
      <c r="Q80" s="43"/>
    </row>
    <row r="81" spans="17:17" x14ac:dyDescent="0.25">
      <c r="Q81" s="43"/>
    </row>
  </sheetData>
  <pageMargins left="0.70866141732283472" right="0.70866141732283472" top="0.74803149606299213" bottom="0.74803149606299213" header="0.31496062992125984" footer="0.31496062992125984"/>
  <pageSetup scale="80" orientation="landscape" verticalDpi="0" r:id="rId1"/>
  <ignoredErrors>
    <ignoredError sqref="M1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249977111117893"/>
  </sheetPr>
  <dimension ref="A2:E15"/>
  <sheetViews>
    <sheetView workbookViewId="0">
      <selection activeCell="C3" sqref="C3"/>
    </sheetView>
  </sheetViews>
  <sheetFormatPr baseColWidth="10" defaultRowHeight="15" x14ac:dyDescent="0.25"/>
  <cols>
    <col min="1" max="1" width="44.7109375" bestFit="1" customWidth="1"/>
    <col min="2" max="2" width="13.140625" bestFit="1" customWidth="1"/>
    <col min="3" max="3" width="12.140625" bestFit="1" customWidth="1"/>
    <col min="5" max="5" width="14.42578125" bestFit="1" customWidth="1"/>
  </cols>
  <sheetData>
    <row r="2" spans="1:5" ht="25.5" x14ac:dyDescent="0.25">
      <c r="A2" s="60" t="s">
        <v>9</v>
      </c>
      <c r="B2" s="61" t="s">
        <v>1</v>
      </c>
      <c r="C2" s="61" t="s">
        <v>153</v>
      </c>
      <c r="D2" s="61" t="s">
        <v>92</v>
      </c>
      <c r="E2" s="61" t="s">
        <v>93</v>
      </c>
    </row>
    <row r="3" spans="1:5" x14ac:dyDescent="0.25">
      <c r="A3" s="57" t="s">
        <v>10</v>
      </c>
      <c r="B3" s="57" t="s">
        <v>2</v>
      </c>
      <c r="C3" s="21">
        <f>IFERROR(VLOOKUP(B3,[4]SCOPUS!$C$7:$M$33,10,0),0)</f>
        <v>2338</v>
      </c>
      <c r="D3" s="58">
        <f t="shared" ref="D3:D11" si="0">C3/$C$12</f>
        <v>0.39254533243787776</v>
      </c>
      <c r="E3" s="59">
        <f t="shared" ref="E3:E11" si="1">$B$15*D3</f>
        <v>751869.98519140354</v>
      </c>
    </row>
    <row r="4" spans="1:5" x14ac:dyDescent="0.25">
      <c r="A4" s="57" t="s">
        <v>11</v>
      </c>
      <c r="B4" s="57" t="s">
        <v>3</v>
      </c>
      <c r="C4" s="21">
        <f>IFERROR(VLOOKUP(B4,[4]SCOPUS!$C$7:$M$33,10,0),0)</f>
        <v>1101</v>
      </c>
      <c r="D4" s="58">
        <f t="shared" si="0"/>
        <v>0.18485560779046339</v>
      </c>
      <c r="E4" s="59">
        <f t="shared" si="1"/>
        <v>354067.08883478842</v>
      </c>
    </row>
    <row r="5" spans="1:5" x14ac:dyDescent="0.25">
      <c r="A5" s="57" t="s">
        <v>12</v>
      </c>
      <c r="B5" s="57" t="s">
        <v>4</v>
      </c>
      <c r="C5" s="21">
        <f>IFERROR(VLOOKUP(B5,[4]SCOPUS!$C$7:$M$33,10,0),0)</f>
        <v>608</v>
      </c>
      <c r="D5" s="58">
        <f t="shared" si="0"/>
        <v>0.10208193418401612</v>
      </c>
      <c r="E5" s="59">
        <f t="shared" si="1"/>
        <v>195524.78656816654</v>
      </c>
    </row>
    <row r="6" spans="1:5" x14ac:dyDescent="0.25">
      <c r="A6" s="57" t="s">
        <v>13</v>
      </c>
      <c r="B6" s="57" t="s">
        <v>5</v>
      </c>
      <c r="C6" s="21">
        <f>IFERROR(VLOOKUP(B6,[4]SCOPUS!$C$7:$M$33,10,0),0)</f>
        <v>548</v>
      </c>
      <c r="D6" s="58">
        <f t="shared" si="0"/>
        <v>9.2008059100067166E-2</v>
      </c>
      <c r="E6" s="59">
        <f t="shared" si="1"/>
        <v>176229.57736736065</v>
      </c>
    </row>
    <row r="7" spans="1:5" x14ac:dyDescent="0.25">
      <c r="A7" s="57" t="s">
        <v>15</v>
      </c>
      <c r="B7" s="57" t="s">
        <v>7</v>
      </c>
      <c r="C7" s="21">
        <f>IFERROR(VLOOKUP(B7,[4]SCOPUS!$C$7:$M$33,10,0),0)</f>
        <v>350</v>
      </c>
      <c r="D7" s="58">
        <f t="shared" si="0"/>
        <v>5.8764271323035591E-2</v>
      </c>
      <c r="E7" s="59">
        <f t="shared" si="1"/>
        <v>112555.38700470113</v>
      </c>
    </row>
    <row r="8" spans="1:5" x14ac:dyDescent="0.25">
      <c r="A8" s="57" t="s">
        <v>14</v>
      </c>
      <c r="B8" s="57" t="s">
        <v>6</v>
      </c>
      <c r="C8" s="21">
        <f>IFERROR(VLOOKUP(B8,[4]SCOPUS!$C$7:$M$33,10,0),0)</f>
        <v>569</v>
      </c>
      <c r="D8" s="58">
        <f t="shared" si="0"/>
        <v>9.5533915379449288E-2</v>
      </c>
      <c r="E8" s="59">
        <f t="shared" si="1"/>
        <v>182982.90058764268</v>
      </c>
    </row>
    <row r="9" spans="1:5" x14ac:dyDescent="0.25">
      <c r="A9" s="57" t="s">
        <v>16</v>
      </c>
      <c r="B9" s="57" t="s">
        <v>8</v>
      </c>
      <c r="C9" s="21">
        <f>IFERROR(VLOOKUP(B9,[4]SCOPUS!$C$7:$M$33,10,0),0)</f>
        <v>160</v>
      </c>
      <c r="D9" s="58">
        <f t="shared" si="0"/>
        <v>2.6863666890530557E-2</v>
      </c>
      <c r="E9" s="59">
        <f t="shared" si="1"/>
        <v>51453.891202149091</v>
      </c>
    </row>
    <row r="10" spans="1:5" x14ac:dyDescent="0.25">
      <c r="A10" s="57" t="s">
        <v>21</v>
      </c>
      <c r="B10" s="57" t="s">
        <v>20</v>
      </c>
      <c r="C10" s="21">
        <f>IFERROR(VLOOKUP(B10,[4]SCOPUS!$C$7:$M$33,10,0),0)</f>
        <v>144</v>
      </c>
      <c r="D10" s="58">
        <f t="shared" si="0"/>
        <v>2.41773002014775E-2</v>
      </c>
      <c r="E10" s="59">
        <f t="shared" si="1"/>
        <v>46308.502081934181</v>
      </c>
    </row>
    <row r="11" spans="1:5" x14ac:dyDescent="0.25">
      <c r="A11" s="57" t="s">
        <v>22</v>
      </c>
      <c r="B11" s="57" t="s">
        <v>19</v>
      </c>
      <c r="C11" s="21">
        <f>IFERROR(VLOOKUP(B11,[4]SCOPUS!$C$7:$M$33,10,0),0)</f>
        <v>138</v>
      </c>
      <c r="D11" s="58">
        <f t="shared" si="0"/>
        <v>2.3169912693082606E-2</v>
      </c>
      <c r="E11" s="59">
        <f t="shared" si="1"/>
        <v>44378.98116185359</v>
      </c>
    </row>
    <row r="12" spans="1:5" x14ac:dyDescent="0.25">
      <c r="C12" s="46">
        <f>SUM(C3:C11)</f>
        <v>5956</v>
      </c>
      <c r="D12" s="67">
        <f>SUM(D3:D11)</f>
        <v>1</v>
      </c>
      <c r="E12" s="68">
        <f>SUM(E3:E11)</f>
        <v>1915371.0999999996</v>
      </c>
    </row>
    <row r="15" spans="1:5" x14ac:dyDescent="0.25">
      <c r="A15" t="s">
        <v>94</v>
      </c>
      <c r="B15" s="7">
        <f>'Montos BD 2019'!B28/6</f>
        <v>1915371.0999999999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2:K15"/>
  <sheetViews>
    <sheetView workbookViewId="0">
      <selection activeCell="E17" sqref="E17"/>
    </sheetView>
  </sheetViews>
  <sheetFormatPr baseColWidth="10" defaultRowHeight="15" x14ac:dyDescent="0.25"/>
  <cols>
    <col min="1" max="1" width="44.7109375" bestFit="1" customWidth="1"/>
  </cols>
  <sheetData>
    <row r="2" spans="1:11" ht="51" x14ac:dyDescent="0.25">
      <c r="A2" s="65" t="s">
        <v>9</v>
      </c>
      <c r="B2" s="66" t="s">
        <v>1</v>
      </c>
      <c r="C2" s="61" t="s">
        <v>101</v>
      </c>
      <c r="D2" s="61" t="s">
        <v>102</v>
      </c>
      <c r="E2" s="61" t="s">
        <v>103</v>
      </c>
      <c r="F2" s="61" t="s">
        <v>104</v>
      </c>
      <c r="G2" s="61" t="s">
        <v>105</v>
      </c>
      <c r="H2" s="61" t="s">
        <v>106</v>
      </c>
      <c r="I2" s="61" t="s">
        <v>107</v>
      </c>
      <c r="J2" s="61" t="s">
        <v>109</v>
      </c>
      <c r="K2" s="61" t="s">
        <v>108</v>
      </c>
    </row>
    <row r="3" spans="1:11" x14ac:dyDescent="0.25">
      <c r="A3" s="57" t="s">
        <v>10</v>
      </c>
      <c r="B3" s="57" t="s">
        <v>2</v>
      </c>
      <c r="C3" s="62">
        <f>IFERROR(VLOOKUP(B3,'[3]Acreditación Investigación'!$D$17:$F$23,3,0),0)</f>
        <v>1</v>
      </c>
      <c r="D3" s="62">
        <f>IFERROR(VLOOKUP(B3,'[3]Acreditación Investigación'!$D$43:$J$48,7,0),0)</f>
        <v>1</v>
      </c>
      <c r="E3" s="62">
        <f>IFERROR(VLOOKUP(B3,'[3]Acreditación Investigación'!$D$79:$E$87,2,0),0)</f>
        <v>7</v>
      </c>
      <c r="F3" s="62">
        <f>C3*100</f>
        <v>100</v>
      </c>
      <c r="G3" s="62">
        <f>D3*100</f>
        <v>100</v>
      </c>
      <c r="H3" s="62">
        <f>E3/7*100</f>
        <v>100</v>
      </c>
      <c r="I3" s="62">
        <f>F3+G3+H3</f>
        <v>300</v>
      </c>
      <c r="J3" s="63">
        <f t="shared" ref="J3:J11" si="0">I3/$I$12</f>
        <v>0.14788732394366197</v>
      </c>
      <c r="K3" s="64">
        <f t="shared" ref="K3:K11" si="1">J3*$B$15</f>
        <v>283259.10633802816</v>
      </c>
    </row>
    <row r="4" spans="1:11" x14ac:dyDescent="0.25">
      <c r="A4" s="57" t="s">
        <v>11</v>
      </c>
      <c r="B4" s="57" t="s">
        <v>3</v>
      </c>
      <c r="C4" s="62">
        <f>IFERROR(VLOOKUP(B4,'[3]Acreditación Investigación'!$D$17:$F$23,3,0),0)</f>
        <v>1</v>
      </c>
      <c r="D4" s="62">
        <f>IFERROR(VLOOKUP(B4,'[3]Acreditación Investigación'!$D$43:$J$48,7,0),0)</f>
        <v>1</v>
      </c>
      <c r="E4" s="62">
        <f>IFERROR(VLOOKUP(B4,'[3]Acreditación Investigación'!$D$79:$E$87,2,0),0)</f>
        <v>7</v>
      </c>
      <c r="F4" s="62">
        <f t="shared" ref="F4:F11" si="2">C4*100</f>
        <v>100</v>
      </c>
      <c r="G4" s="62">
        <f t="shared" ref="G4:G11" si="3">D4*100</f>
        <v>100</v>
      </c>
      <c r="H4" s="62">
        <f t="shared" ref="H4:H11" si="4">E4/7*100</f>
        <v>100</v>
      </c>
      <c r="I4" s="62">
        <f t="shared" ref="I4:I11" si="5">F4+G4+H4</f>
        <v>300</v>
      </c>
      <c r="J4" s="63">
        <f t="shared" si="0"/>
        <v>0.14788732394366197</v>
      </c>
      <c r="K4" s="64">
        <f t="shared" si="1"/>
        <v>283259.10633802816</v>
      </c>
    </row>
    <row r="5" spans="1:11" x14ac:dyDescent="0.25">
      <c r="A5" s="57" t="s">
        <v>12</v>
      </c>
      <c r="B5" s="57" t="s">
        <v>4</v>
      </c>
      <c r="C5" s="62">
        <f>IFERROR(VLOOKUP(B5,'[3]Acreditación Investigación'!$D$17:$F$23,3,0),0)</f>
        <v>1</v>
      </c>
      <c r="D5" s="62">
        <f>IFERROR(VLOOKUP(B5,'[3]Acreditación Investigación'!$D$43:$J$48,7,0),0)</f>
        <v>1</v>
      </c>
      <c r="E5" s="62">
        <f>IFERROR(VLOOKUP(B5,'[3]Acreditación Investigación'!$D$79:$E$87,2,0),0)</f>
        <v>6</v>
      </c>
      <c r="F5" s="62">
        <f t="shared" si="2"/>
        <v>100</v>
      </c>
      <c r="G5" s="62">
        <f t="shared" si="3"/>
        <v>100</v>
      </c>
      <c r="H5" s="62">
        <f t="shared" si="4"/>
        <v>85.714285714285708</v>
      </c>
      <c r="I5" s="62">
        <f t="shared" si="5"/>
        <v>285.71428571428572</v>
      </c>
      <c r="J5" s="63">
        <f t="shared" si="0"/>
        <v>0.14084507042253522</v>
      </c>
      <c r="K5" s="64">
        <f t="shared" si="1"/>
        <v>269770.57746478874</v>
      </c>
    </row>
    <row r="6" spans="1:11" x14ac:dyDescent="0.25">
      <c r="A6" s="57" t="s">
        <v>13</v>
      </c>
      <c r="B6" s="57" t="s">
        <v>5</v>
      </c>
      <c r="C6" s="62">
        <f>IFERROR(VLOOKUP(B6,'[3]Acreditación Investigación'!$D$17:$F$23,3,0),0)</f>
        <v>1</v>
      </c>
      <c r="D6" s="62">
        <f>IFERROR(VLOOKUP(B6,'[3]Acreditación Investigación'!$D$43:$J$48,7,0),0)</f>
        <v>1</v>
      </c>
      <c r="E6" s="62">
        <f>IFERROR(VLOOKUP(B6,'[3]Acreditación Investigación'!$D$79:$E$87,2,0),0)</f>
        <v>6</v>
      </c>
      <c r="F6" s="62">
        <f t="shared" si="2"/>
        <v>100</v>
      </c>
      <c r="G6" s="62">
        <f t="shared" si="3"/>
        <v>100</v>
      </c>
      <c r="H6" s="62">
        <f t="shared" si="4"/>
        <v>85.714285714285708</v>
      </c>
      <c r="I6" s="62">
        <f t="shared" si="5"/>
        <v>285.71428571428572</v>
      </c>
      <c r="J6" s="63">
        <f t="shared" si="0"/>
        <v>0.14084507042253522</v>
      </c>
      <c r="K6" s="64">
        <f t="shared" si="1"/>
        <v>269770.57746478874</v>
      </c>
    </row>
    <row r="7" spans="1:11" x14ac:dyDescent="0.25">
      <c r="A7" s="57" t="s">
        <v>15</v>
      </c>
      <c r="B7" s="57" t="s">
        <v>7</v>
      </c>
      <c r="C7" s="62">
        <f>IFERROR(VLOOKUP(B7,'[3]Acreditación Investigación'!$D$17:$F$23,3,0),0)</f>
        <v>1</v>
      </c>
      <c r="D7" s="62">
        <f>IFERROR(VLOOKUP(B7,'[3]Acreditación Investigación'!$D$43:$J$48,7,0),0)</f>
        <v>1</v>
      </c>
      <c r="E7" s="62">
        <f>IFERROR(VLOOKUP(B7,'[3]Acreditación Investigación'!$D$79:$E$87,2,0),0)</f>
        <v>6</v>
      </c>
      <c r="F7" s="62">
        <f t="shared" si="2"/>
        <v>100</v>
      </c>
      <c r="G7" s="62">
        <f t="shared" si="3"/>
        <v>100</v>
      </c>
      <c r="H7" s="62">
        <f t="shared" si="4"/>
        <v>85.714285714285708</v>
      </c>
      <c r="I7" s="62">
        <f t="shared" si="5"/>
        <v>285.71428571428572</v>
      </c>
      <c r="J7" s="63">
        <f t="shared" si="0"/>
        <v>0.14084507042253522</v>
      </c>
      <c r="K7" s="64">
        <f t="shared" si="1"/>
        <v>269770.57746478874</v>
      </c>
    </row>
    <row r="8" spans="1:11" x14ac:dyDescent="0.25">
      <c r="A8" s="57" t="s">
        <v>14</v>
      </c>
      <c r="B8" s="57" t="s">
        <v>6</v>
      </c>
      <c r="C8" s="62">
        <f>IFERROR(VLOOKUP(B8,'[3]Acreditación Investigación'!$D$17:$F$23,3,0),0)</f>
        <v>1</v>
      </c>
      <c r="D8" s="62">
        <f>IFERROR(VLOOKUP(B8,'[3]Acreditación Investigación'!$D$43:$J$48,7,0),0)</f>
        <v>1</v>
      </c>
      <c r="E8" s="62">
        <f>IFERROR(VLOOKUP(B8,'[3]Acreditación Investigación'!$D$79:$E$87,2,0),0)</f>
        <v>6</v>
      </c>
      <c r="F8" s="62">
        <f t="shared" si="2"/>
        <v>100</v>
      </c>
      <c r="G8" s="62">
        <f t="shared" si="3"/>
        <v>100</v>
      </c>
      <c r="H8" s="62">
        <f t="shared" si="4"/>
        <v>85.714285714285708</v>
      </c>
      <c r="I8" s="62">
        <f t="shared" si="5"/>
        <v>285.71428571428572</v>
      </c>
      <c r="J8" s="63">
        <f t="shared" si="0"/>
        <v>0.14084507042253522</v>
      </c>
      <c r="K8" s="64">
        <f t="shared" si="1"/>
        <v>269770.57746478874</v>
      </c>
    </row>
    <row r="9" spans="1:11" x14ac:dyDescent="0.25">
      <c r="A9" s="57" t="s">
        <v>16</v>
      </c>
      <c r="B9" s="57" t="s">
        <v>8</v>
      </c>
      <c r="C9" s="62">
        <f>IFERROR(VLOOKUP(B9,'[3]Acreditación Investigación'!$D$17:$F$23,3,0),0)</f>
        <v>1</v>
      </c>
      <c r="D9" s="62">
        <f>IFERROR(VLOOKUP(B9,'[3]Acreditación Investigación'!$D$43:$J$48,7,0),0)</f>
        <v>0</v>
      </c>
      <c r="E9" s="62">
        <f>IFERROR(VLOOKUP(B9,'[3]Acreditación Investigación'!$D$79:$E$87,2,0),0)</f>
        <v>4</v>
      </c>
      <c r="F9" s="62">
        <f t="shared" si="2"/>
        <v>100</v>
      </c>
      <c r="G9" s="62">
        <f t="shared" si="3"/>
        <v>0</v>
      </c>
      <c r="H9" s="62">
        <f t="shared" si="4"/>
        <v>57.142857142857139</v>
      </c>
      <c r="I9" s="62">
        <f t="shared" si="5"/>
        <v>157.14285714285714</v>
      </c>
      <c r="J9" s="63">
        <f t="shared" si="0"/>
        <v>7.746478873239436E-2</v>
      </c>
      <c r="K9" s="64">
        <f t="shared" si="1"/>
        <v>148373.81760563378</v>
      </c>
    </row>
    <row r="10" spans="1:11" x14ac:dyDescent="0.25">
      <c r="A10" s="57" t="s">
        <v>21</v>
      </c>
      <c r="B10" s="57" t="s">
        <v>20</v>
      </c>
      <c r="C10" s="62">
        <f>IFERROR(VLOOKUP(B10,'[3]Acreditación Investigación'!$D$17:$F$23,3,0),0)</f>
        <v>0</v>
      </c>
      <c r="D10" s="62">
        <f>IFERROR(VLOOKUP(B10,'[3]Acreditación Investigación'!$D$43:$J$48,7,0),0)</f>
        <v>0</v>
      </c>
      <c r="E10" s="62">
        <f>IFERROR(VLOOKUP(B10,'[3]Acreditación Investigación'!$D$79:$E$87,2,0),0)</f>
        <v>4</v>
      </c>
      <c r="F10" s="62">
        <f t="shared" si="2"/>
        <v>0</v>
      </c>
      <c r="G10" s="62">
        <f t="shared" si="3"/>
        <v>0</v>
      </c>
      <c r="H10" s="62">
        <f t="shared" si="4"/>
        <v>57.142857142857139</v>
      </c>
      <c r="I10" s="62">
        <f t="shared" si="5"/>
        <v>57.142857142857139</v>
      </c>
      <c r="J10" s="63">
        <f t="shared" si="0"/>
        <v>2.8169014084507039E-2</v>
      </c>
      <c r="K10" s="64">
        <f t="shared" si="1"/>
        <v>53954.115492957739</v>
      </c>
    </row>
    <row r="11" spans="1:11" x14ac:dyDescent="0.25">
      <c r="A11" s="57" t="s">
        <v>22</v>
      </c>
      <c r="B11" s="57" t="s">
        <v>19</v>
      </c>
      <c r="C11" s="62">
        <f>IFERROR(VLOOKUP(B11,'[3]Acreditación Investigación'!$D$17:$F$23,3,0),0)</f>
        <v>0</v>
      </c>
      <c r="D11" s="62">
        <f>IFERROR(VLOOKUP(B11,'[3]Acreditación Investigación'!$D$43:$J$48,7,0),0)</f>
        <v>0</v>
      </c>
      <c r="E11" s="62">
        <f>IFERROR(VLOOKUP(B11,'[3]Acreditación Investigación'!$D$79:$E$87,2,0),0)</f>
        <v>5</v>
      </c>
      <c r="F11" s="62">
        <f t="shared" si="2"/>
        <v>0</v>
      </c>
      <c r="G11" s="62">
        <f t="shared" si="3"/>
        <v>0</v>
      </c>
      <c r="H11" s="62">
        <f t="shared" si="4"/>
        <v>71.428571428571431</v>
      </c>
      <c r="I11" s="62">
        <f t="shared" si="5"/>
        <v>71.428571428571431</v>
      </c>
      <c r="J11" s="63">
        <f t="shared" si="0"/>
        <v>3.5211267605633804E-2</v>
      </c>
      <c r="K11" s="64">
        <f t="shared" si="1"/>
        <v>67442.644366197186</v>
      </c>
    </row>
    <row r="12" spans="1:11" x14ac:dyDescent="0.25">
      <c r="C12" s="69">
        <f t="shared" ref="C12:K12" si="6">SUM(C3:C11)</f>
        <v>7</v>
      </c>
      <c r="D12" s="69">
        <f t="shared" si="6"/>
        <v>6</v>
      </c>
      <c r="E12" s="69">
        <f t="shared" si="6"/>
        <v>51</v>
      </c>
      <c r="F12" s="69">
        <f t="shared" si="6"/>
        <v>700</v>
      </c>
      <c r="G12" s="69">
        <f t="shared" si="6"/>
        <v>600</v>
      </c>
      <c r="H12" s="69">
        <f t="shared" si="6"/>
        <v>728.57142857142856</v>
      </c>
      <c r="I12" s="69">
        <f t="shared" si="6"/>
        <v>2028.5714285714287</v>
      </c>
      <c r="J12" s="69">
        <f t="shared" si="6"/>
        <v>1</v>
      </c>
      <c r="K12" s="69">
        <f t="shared" si="6"/>
        <v>1915371.0999999999</v>
      </c>
    </row>
    <row r="15" spans="1:11" x14ac:dyDescent="0.25">
      <c r="A15" t="s">
        <v>110</v>
      </c>
      <c r="B15" s="7">
        <f>'Montos BD 2019'!B28/6</f>
        <v>1915371.0999999999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4559A-3A8B-4F61-8795-8F172962E6FA}">
  <sheetPr>
    <tabColor theme="6" tint="-0.249977111117893"/>
  </sheetPr>
  <dimension ref="A2:E15"/>
  <sheetViews>
    <sheetView workbookViewId="0">
      <selection activeCell="F14" sqref="F14"/>
    </sheetView>
  </sheetViews>
  <sheetFormatPr baseColWidth="10" defaultRowHeight="15" x14ac:dyDescent="0.25"/>
  <cols>
    <col min="1" max="1" width="50" bestFit="1" customWidth="1"/>
    <col min="5" max="5" width="12.140625" bestFit="1" customWidth="1"/>
  </cols>
  <sheetData>
    <row r="2" spans="1:5" ht="25.5" x14ac:dyDescent="0.25">
      <c r="A2" s="60" t="s">
        <v>9</v>
      </c>
      <c r="B2" s="61" t="s">
        <v>1</v>
      </c>
      <c r="C2" s="61" t="s">
        <v>163</v>
      </c>
      <c r="D2" s="61" t="s">
        <v>109</v>
      </c>
      <c r="E2" s="61" t="s">
        <v>108</v>
      </c>
    </row>
    <row r="3" spans="1:5" x14ac:dyDescent="0.25">
      <c r="A3" s="57" t="s">
        <v>113</v>
      </c>
      <c r="B3" s="57" t="s">
        <v>2</v>
      </c>
      <c r="C3" s="64">
        <f>IFERROR(VLOOKUP(B3,'[5]PAC 2018'!$C$48:$F$59,4,0),0)</f>
        <v>931</v>
      </c>
      <c r="D3" s="63">
        <f t="shared" ref="D3:D11" si="0">C3/$C$12</f>
        <v>0.27874251497005986</v>
      </c>
      <c r="E3" s="70">
        <f t="shared" ref="E3:E11" si="1">D3*$B$15</f>
        <v>533895.35751497</v>
      </c>
    </row>
    <row r="4" spans="1:5" x14ac:dyDescent="0.25">
      <c r="A4" s="57" t="s">
        <v>114</v>
      </c>
      <c r="B4" s="57" t="s">
        <v>3</v>
      </c>
      <c r="C4" s="64">
        <f>IFERROR(VLOOKUP(B4,'[5]PAC 2018'!$C$48:$F$59,4,0),0)</f>
        <v>721</v>
      </c>
      <c r="D4" s="63">
        <f t="shared" si="0"/>
        <v>0.21586826347305388</v>
      </c>
      <c r="E4" s="70">
        <f t="shared" si="1"/>
        <v>413467.833263473</v>
      </c>
    </row>
    <row r="5" spans="1:5" x14ac:dyDescent="0.25">
      <c r="A5" s="57" t="s">
        <v>115</v>
      </c>
      <c r="B5" s="57" t="s">
        <v>4</v>
      </c>
      <c r="C5" s="64">
        <f>IFERROR(VLOOKUP(B5,'[5]PAC 2018'!$C$48:$F$59,4,0),0)</f>
        <v>401</v>
      </c>
      <c r="D5" s="63">
        <f t="shared" si="0"/>
        <v>0.12005988023952095</v>
      </c>
      <c r="E5" s="70">
        <f t="shared" si="1"/>
        <v>229959.22488023949</v>
      </c>
    </row>
    <row r="6" spans="1:5" x14ac:dyDescent="0.25">
      <c r="A6" s="57" t="s">
        <v>13</v>
      </c>
      <c r="B6" s="57" t="s">
        <v>5</v>
      </c>
      <c r="C6" s="64">
        <f>IFERROR(VLOOKUP(B6,'[5]PAC 2018'!$C$48:$F$59,4,0),0)</f>
        <v>395</v>
      </c>
      <c r="D6" s="63">
        <f t="shared" si="0"/>
        <v>0.11826347305389222</v>
      </c>
      <c r="E6" s="70">
        <f t="shared" si="1"/>
        <v>226518.43847305389</v>
      </c>
    </row>
    <row r="7" spans="1:5" x14ac:dyDescent="0.25">
      <c r="A7" s="57" t="s">
        <v>116</v>
      </c>
      <c r="B7" s="57" t="s">
        <v>7</v>
      </c>
      <c r="C7" s="64">
        <f>IFERROR(VLOOKUP(B7,'[5]PAC 2018'!$C$48:$F$59,4,0),0)</f>
        <v>213</v>
      </c>
      <c r="D7" s="63">
        <f t="shared" si="0"/>
        <v>6.3772455089820365E-2</v>
      </c>
      <c r="E7" s="70">
        <f t="shared" si="1"/>
        <v>122147.91745508982</v>
      </c>
    </row>
    <row r="8" spans="1:5" x14ac:dyDescent="0.25">
      <c r="A8" s="57" t="s">
        <v>117</v>
      </c>
      <c r="B8" s="57" t="s">
        <v>6</v>
      </c>
      <c r="C8" s="64">
        <f>IFERROR(VLOOKUP(B8,'[5]PAC 2018'!$C$48:$F$59,4,0),0)</f>
        <v>248</v>
      </c>
      <c r="D8" s="63">
        <f t="shared" si="0"/>
        <v>7.4251497005988029E-2</v>
      </c>
      <c r="E8" s="70">
        <f t="shared" si="1"/>
        <v>142219.171497006</v>
      </c>
    </row>
    <row r="9" spans="1:5" x14ac:dyDescent="0.25">
      <c r="A9" s="57" t="s">
        <v>118</v>
      </c>
      <c r="B9" s="57" t="s">
        <v>8</v>
      </c>
      <c r="C9" s="64">
        <f>IFERROR(VLOOKUP(B9,'[5]PAC 2018'!$C$48:$F$59,4,0),0)</f>
        <v>154</v>
      </c>
      <c r="D9" s="63">
        <f t="shared" si="0"/>
        <v>4.6107784431137722E-2</v>
      </c>
      <c r="E9" s="70">
        <f t="shared" si="1"/>
        <v>88313.517784431126</v>
      </c>
    </row>
    <row r="10" spans="1:5" x14ac:dyDescent="0.25">
      <c r="A10" s="57" t="s">
        <v>119</v>
      </c>
      <c r="B10" s="57" t="s">
        <v>20</v>
      </c>
      <c r="C10" s="64">
        <f>IFERROR(VLOOKUP(B10,'[5]PAC 2018'!$C$48:$F$59,4,0),0)</f>
        <v>137</v>
      </c>
      <c r="D10" s="63">
        <f t="shared" si="0"/>
        <v>4.1017964071856289E-2</v>
      </c>
      <c r="E10" s="70">
        <f t="shared" si="1"/>
        <v>78564.622964071852</v>
      </c>
    </row>
    <row r="11" spans="1:5" x14ac:dyDescent="0.25">
      <c r="A11" s="57" t="s">
        <v>120</v>
      </c>
      <c r="B11" s="57" t="s">
        <v>19</v>
      </c>
      <c r="C11" s="64">
        <f>IFERROR(VLOOKUP(B11,'[5]PAC 2018'!$C$48:$F$59,4,0),0)</f>
        <v>140</v>
      </c>
      <c r="D11" s="63">
        <f t="shared" si="0"/>
        <v>4.1916167664670656E-2</v>
      </c>
      <c r="E11" s="70">
        <f t="shared" si="1"/>
        <v>80285.016167664653</v>
      </c>
    </row>
    <row r="12" spans="1:5" x14ac:dyDescent="0.25">
      <c r="C12" s="71">
        <f>SUM(C3:C11)</f>
        <v>3340</v>
      </c>
      <c r="D12" s="72">
        <f>SUM(D3:D11)</f>
        <v>0.99999999999999989</v>
      </c>
      <c r="E12" s="73">
        <f>SUM(E3:E11)</f>
        <v>1915371.0999999999</v>
      </c>
    </row>
    <row r="15" spans="1:5" x14ac:dyDescent="0.25">
      <c r="A15" t="s">
        <v>111</v>
      </c>
      <c r="B15" s="7">
        <f>'Montos BD 2019'!B28/6</f>
        <v>1915371.0999999999</v>
      </c>
    </row>
  </sheetData>
  <autoFilter ref="A2:C11" xr:uid="{8ABAA2A2-4EA5-4CA7-A3F1-190DB176F36F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BB12F-9721-4CA1-B8BD-0B9F5ECF5FC5}">
  <sheetPr>
    <tabColor theme="6" tint="-0.249977111117893"/>
  </sheetPr>
  <dimension ref="A2:E15"/>
  <sheetViews>
    <sheetView workbookViewId="0">
      <selection activeCell="C10" sqref="C10"/>
    </sheetView>
  </sheetViews>
  <sheetFormatPr baseColWidth="10" defaultRowHeight="15" x14ac:dyDescent="0.25"/>
  <cols>
    <col min="1" max="1" width="50" bestFit="1" customWidth="1"/>
    <col min="5" max="5" width="13.140625" bestFit="1" customWidth="1"/>
  </cols>
  <sheetData>
    <row r="2" spans="1:5" ht="38.25" x14ac:dyDescent="0.25">
      <c r="A2" s="60" t="s">
        <v>9</v>
      </c>
      <c r="B2" s="61" t="s">
        <v>1</v>
      </c>
      <c r="C2" s="61" t="s">
        <v>112</v>
      </c>
      <c r="D2" s="61" t="s">
        <v>109</v>
      </c>
      <c r="E2" s="61" t="s">
        <v>108</v>
      </c>
    </row>
    <row r="3" spans="1:5" x14ac:dyDescent="0.25">
      <c r="A3" s="57" t="s">
        <v>10</v>
      </c>
      <c r="B3" s="74" t="s">
        <v>2</v>
      </c>
      <c r="C3" s="62">
        <f>IFERROR(VLOOKUP(B3,Categorías!$B$4:$Y$12,24,0),0)</f>
        <v>34</v>
      </c>
      <c r="D3" s="63">
        <f t="shared" ref="D3:D11" si="0">C3/$C$12</f>
        <v>0.37777777777777777</v>
      </c>
      <c r="E3" s="70">
        <f t="shared" ref="E3:E11" si="1">D3*$B$15</f>
        <v>723584.63777777774</v>
      </c>
    </row>
    <row r="4" spans="1:5" x14ac:dyDescent="0.25">
      <c r="A4" s="57" t="s">
        <v>11</v>
      </c>
      <c r="B4" s="74" t="s">
        <v>3</v>
      </c>
      <c r="C4" s="62">
        <f>IFERROR(VLOOKUP(B4,Categorías!$B$4:$Y$12,24,0),0)</f>
        <v>23</v>
      </c>
      <c r="D4" s="63">
        <f t="shared" si="0"/>
        <v>0.25555555555555554</v>
      </c>
      <c r="E4" s="70">
        <f t="shared" si="1"/>
        <v>489483.72555555549</v>
      </c>
    </row>
    <row r="5" spans="1:5" x14ac:dyDescent="0.25">
      <c r="A5" s="57" t="s">
        <v>12</v>
      </c>
      <c r="B5" s="74" t="s">
        <v>4</v>
      </c>
      <c r="C5" s="62">
        <f>IFERROR(VLOOKUP(B5,Categorías!$B$4:$Y$12,24,0),0)</f>
        <v>12</v>
      </c>
      <c r="D5" s="63">
        <f t="shared" si="0"/>
        <v>0.13333333333333333</v>
      </c>
      <c r="E5" s="70">
        <f t="shared" si="1"/>
        <v>255382.81333333332</v>
      </c>
    </row>
    <row r="6" spans="1:5" x14ac:dyDescent="0.25">
      <c r="A6" s="57" t="s">
        <v>13</v>
      </c>
      <c r="B6" s="74" t="s">
        <v>5</v>
      </c>
      <c r="C6" s="62">
        <f>IFERROR(VLOOKUP(B6,Categorías!$B$4:$Y$12,24,0),0)</f>
        <v>9</v>
      </c>
      <c r="D6" s="63">
        <f t="shared" si="0"/>
        <v>0.1</v>
      </c>
      <c r="E6" s="70">
        <f t="shared" si="1"/>
        <v>191537.11</v>
      </c>
    </row>
    <row r="7" spans="1:5" x14ac:dyDescent="0.25">
      <c r="A7" s="57" t="s">
        <v>15</v>
      </c>
      <c r="B7" s="74" t="s">
        <v>7</v>
      </c>
      <c r="C7" s="62">
        <f>IFERROR(VLOOKUP(B7,Categorías!$B$4:$Y$12,24,0),0)</f>
        <v>5</v>
      </c>
      <c r="D7" s="63">
        <f t="shared" si="0"/>
        <v>5.5555555555555552E-2</v>
      </c>
      <c r="E7" s="70">
        <f t="shared" si="1"/>
        <v>106409.50555555554</v>
      </c>
    </row>
    <row r="8" spans="1:5" x14ac:dyDescent="0.25">
      <c r="A8" s="57" t="s">
        <v>14</v>
      </c>
      <c r="B8" s="74" t="s">
        <v>6</v>
      </c>
      <c r="C8" s="62">
        <f>IFERROR(VLOOKUP(B8,Categorías!$B$4:$Y$12,24,0),0)</f>
        <v>5</v>
      </c>
      <c r="D8" s="63">
        <f t="shared" si="0"/>
        <v>5.5555555555555552E-2</v>
      </c>
      <c r="E8" s="70">
        <f t="shared" si="1"/>
        <v>106409.50555555554</v>
      </c>
    </row>
    <row r="9" spans="1:5" x14ac:dyDescent="0.25">
      <c r="A9" s="57" t="s">
        <v>16</v>
      </c>
      <c r="B9" s="74" t="s">
        <v>8</v>
      </c>
      <c r="C9" s="62">
        <f>IFERROR(VLOOKUP(B9,Categorías!$B$4:$Y$12,24,0),0)</f>
        <v>2</v>
      </c>
      <c r="D9" s="63">
        <f t="shared" si="0"/>
        <v>2.2222222222222223E-2</v>
      </c>
      <c r="E9" s="70">
        <f t="shared" si="1"/>
        <v>42563.802222222221</v>
      </c>
    </row>
    <row r="10" spans="1:5" x14ac:dyDescent="0.25">
      <c r="A10" s="57" t="s">
        <v>21</v>
      </c>
      <c r="B10" s="74" t="s">
        <v>20</v>
      </c>
      <c r="C10" s="62">
        <f>IFERROR(VLOOKUP(B10,Categorías!$B$4:$Y$12,24,0),0)</f>
        <v>0</v>
      </c>
      <c r="D10" s="63">
        <f t="shared" si="0"/>
        <v>0</v>
      </c>
      <c r="E10" s="70">
        <f t="shared" si="1"/>
        <v>0</v>
      </c>
    </row>
    <row r="11" spans="1:5" x14ac:dyDescent="0.25">
      <c r="A11" s="57" t="s">
        <v>22</v>
      </c>
      <c r="B11" s="74" t="s">
        <v>19</v>
      </c>
      <c r="C11" s="62">
        <f>IFERROR(VLOOKUP(B11,Categorías!$B$4:$Y$12,24,0),0)</f>
        <v>0</v>
      </c>
      <c r="D11" s="63">
        <f t="shared" si="0"/>
        <v>0</v>
      </c>
      <c r="E11" s="70">
        <f t="shared" si="1"/>
        <v>0</v>
      </c>
    </row>
    <row r="12" spans="1:5" x14ac:dyDescent="0.25">
      <c r="C12" s="75">
        <f>SUM(C3:C11)</f>
        <v>90</v>
      </c>
      <c r="D12" s="76">
        <f>SUM(D3:D11)</f>
        <v>1</v>
      </c>
      <c r="E12" s="73">
        <f>SUM(E3:E11)</f>
        <v>1915371.0999999999</v>
      </c>
    </row>
    <row r="15" spans="1:5" x14ac:dyDescent="0.25">
      <c r="A15" t="s">
        <v>123</v>
      </c>
      <c r="B15" s="7">
        <f>'Montos BD 2019'!B28/6</f>
        <v>1915371.0999999999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EE5E-24A6-4BFE-AB11-397F663DB8B0}">
  <sheetPr>
    <tabColor theme="6" tint="-0.249977111117893"/>
  </sheetPr>
  <dimension ref="A2:E15"/>
  <sheetViews>
    <sheetView workbookViewId="0">
      <selection activeCell="C3" sqref="C3"/>
    </sheetView>
  </sheetViews>
  <sheetFormatPr baseColWidth="10" defaultRowHeight="15" x14ac:dyDescent="0.25"/>
  <cols>
    <col min="1" max="1" width="50" bestFit="1" customWidth="1"/>
    <col min="5" max="5" width="12" bestFit="1" customWidth="1"/>
  </cols>
  <sheetData>
    <row r="2" spans="1:5" ht="25.5" x14ac:dyDescent="0.25">
      <c r="A2" s="60" t="s">
        <v>9</v>
      </c>
      <c r="B2" s="61" t="s">
        <v>1</v>
      </c>
      <c r="C2" s="61" t="s">
        <v>189</v>
      </c>
      <c r="D2" s="61" t="s">
        <v>109</v>
      </c>
      <c r="E2" s="61" t="s">
        <v>108</v>
      </c>
    </row>
    <row r="3" spans="1:5" x14ac:dyDescent="0.25">
      <c r="A3" s="57" t="s">
        <v>113</v>
      </c>
      <c r="B3" s="74" t="s">
        <v>2</v>
      </c>
      <c r="C3" s="64">
        <f>IFERROR(VLOOKUP(B3,'[5]PAC 2018'!$C$48:$Y$59,23,0),0)</f>
        <v>1572</v>
      </c>
      <c r="D3" s="63">
        <f t="shared" ref="D3:D11" si="0">C3/$C$12</f>
        <v>0.26862611073137388</v>
      </c>
      <c r="E3" s="70">
        <f t="shared" ref="E3:E11" si="1">D3*$B$15</f>
        <v>514518.68920027337</v>
      </c>
    </row>
    <row r="4" spans="1:5" x14ac:dyDescent="0.25">
      <c r="A4" s="57" t="s">
        <v>114</v>
      </c>
      <c r="B4" s="74" t="s">
        <v>3</v>
      </c>
      <c r="C4" s="64">
        <f>IFERROR(VLOOKUP(B4,'[5]PAC 2018'!$C$48:$Y$59,23,0),0)</f>
        <v>1154</v>
      </c>
      <c r="D4" s="63">
        <f t="shared" si="0"/>
        <v>0.19719753930280245</v>
      </c>
      <c r="E4" s="70">
        <f t="shared" si="1"/>
        <v>377706.46777170192</v>
      </c>
    </row>
    <row r="5" spans="1:5" x14ac:dyDescent="0.25">
      <c r="A5" s="57" t="s">
        <v>115</v>
      </c>
      <c r="B5" s="74" t="s">
        <v>4</v>
      </c>
      <c r="C5" s="64">
        <f>IFERROR(VLOOKUP(B5,'[5]PAC 2018'!$C$48:$Y$59,23,0),0)</f>
        <v>522</v>
      </c>
      <c r="D5" s="63">
        <f t="shared" si="0"/>
        <v>8.9200273410799724E-2</v>
      </c>
      <c r="E5" s="70">
        <f t="shared" si="1"/>
        <v>170851.62580314421</v>
      </c>
    </row>
    <row r="6" spans="1:5" x14ac:dyDescent="0.25">
      <c r="A6" s="57" t="s">
        <v>13</v>
      </c>
      <c r="B6" s="74" t="s">
        <v>5</v>
      </c>
      <c r="C6" s="64">
        <f>IFERROR(VLOOKUP(B6,'[5]PAC 2018'!$C$48:$Y$59,23,0),0)</f>
        <v>748</v>
      </c>
      <c r="D6" s="63">
        <f t="shared" si="0"/>
        <v>0.12781954887218044</v>
      </c>
      <c r="E6" s="70">
        <f t="shared" si="1"/>
        <v>244821.869924812</v>
      </c>
    </row>
    <row r="7" spans="1:5" x14ac:dyDescent="0.25">
      <c r="A7" s="57" t="s">
        <v>116</v>
      </c>
      <c r="B7" s="74" t="s">
        <v>7</v>
      </c>
      <c r="C7" s="64">
        <f>IFERROR(VLOOKUP(B7,'[5]PAC 2018'!$C$48:$Y$59,23,0),0)</f>
        <v>450</v>
      </c>
      <c r="D7" s="63">
        <f t="shared" si="0"/>
        <v>7.6896787423103213E-2</v>
      </c>
      <c r="E7" s="70">
        <f t="shared" si="1"/>
        <v>147285.88431305534</v>
      </c>
    </row>
    <row r="8" spans="1:5" x14ac:dyDescent="0.25">
      <c r="A8" s="57" t="s">
        <v>117</v>
      </c>
      <c r="B8" s="74" t="s">
        <v>6</v>
      </c>
      <c r="C8" s="64">
        <f>IFERROR(VLOOKUP(B8,'[5]PAC 2018'!$C$48:$Y$59,23,0),0)</f>
        <v>476</v>
      </c>
      <c r="D8" s="63">
        <f t="shared" si="0"/>
        <v>8.1339712918660281E-2</v>
      </c>
      <c r="E8" s="70">
        <f t="shared" si="1"/>
        <v>155795.73540669854</v>
      </c>
    </row>
    <row r="9" spans="1:5" x14ac:dyDescent="0.25">
      <c r="A9" s="57" t="s">
        <v>118</v>
      </c>
      <c r="B9" s="74" t="s">
        <v>8</v>
      </c>
      <c r="C9" s="64">
        <f>IFERROR(VLOOKUP(B9,'[5]PAC 2018'!$C$48:$Y$59,23,0),0)</f>
        <v>335</v>
      </c>
      <c r="D9" s="63">
        <f t="shared" si="0"/>
        <v>5.7245386192754613E-2</v>
      </c>
      <c r="E9" s="70">
        <f t="shared" si="1"/>
        <v>109646.15832194121</v>
      </c>
    </row>
    <row r="10" spans="1:5" x14ac:dyDescent="0.25">
      <c r="A10" s="57" t="s">
        <v>119</v>
      </c>
      <c r="B10" s="74" t="s">
        <v>20</v>
      </c>
      <c r="C10" s="64">
        <f>IFERROR(VLOOKUP(B10,'[5]PAC 2018'!$C$48:$Y$59,23,0),0)</f>
        <v>300</v>
      </c>
      <c r="D10" s="63">
        <f t="shared" si="0"/>
        <v>5.1264524948735478E-2</v>
      </c>
      <c r="E10" s="70">
        <f t="shared" si="1"/>
        <v>98190.589542036905</v>
      </c>
    </row>
    <row r="11" spans="1:5" x14ac:dyDescent="0.25">
      <c r="A11" s="57" t="s">
        <v>120</v>
      </c>
      <c r="B11" s="74" t="s">
        <v>19</v>
      </c>
      <c r="C11" s="64">
        <f>IFERROR(VLOOKUP(B11,'[5]PAC 2018'!$C$48:$Y$59,23,0),0)</f>
        <v>295</v>
      </c>
      <c r="D11" s="63">
        <f t="shared" si="0"/>
        <v>5.0410116199589884E-2</v>
      </c>
      <c r="E11" s="70">
        <f t="shared" si="1"/>
        <v>96554.079716336288</v>
      </c>
    </row>
    <row r="12" spans="1:5" x14ac:dyDescent="0.25">
      <c r="C12" s="71">
        <f>SUM(C3:C11)</f>
        <v>5852</v>
      </c>
      <c r="D12" s="76">
        <f>SUM(D3:D11)</f>
        <v>1</v>
      </c>
      <c r="E12" s="71">
        <f>SUM(E3:E11)</f>
        <v>1915371.0999999999</v>
      </c>
    </row>
    <row r="15" spans="1:5" x14ac:dyDescent="0.25">
      <c r="A15" t="s">
        <v>122</v>
      </c>
      <c r="B15" s="7">
        <f>'Montos BD 2019'!B28/6</f>
        <v>1915371.0999999999</v>
      </c>
    </row>
  </sheetData>
  <autoFilter ref="A2:C11" xr:uid="{F104A81B-AC08-48F4-A852-4A21590014B4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DC5B1-E8B6-4875-B61D-F7AD45B4FE41}">
  <sheetPr>
    <tabColor theme="6" tint="-0.249977111117893"/>
  </sheetPr>
  <dimension ref="A2:E15"/>
  <sheetViews>
    <sheetView workbookViewId="0">
      <selection activeCell="C3" sqref="C3"/>
    </sheetView>
  </sheetViews>
  <sheetFormatPr baseColWidth="10" defaultRowHeight="15" x14ac:dyDescent="0.25"/>
  <cols>
    <col min="1" max="1" width="50" bestFit="1" customWidth="1"/>
  </cols>
  <sheetData>
    <row r="2" spans="1:5" ht="51" x14ac:dyDescent="0.25">
      <c r="A2" s="60" t="s">
        <v>9</v>
      </c>
      <c r="B2" s="61" t="s">
        <v>1</v>
      </c>
      <c r="C2" s="61" t="s">
        <v>190</v>
      </c>
      <c r="D2" s="61" t="s">
        <v>109</v>
      </c>
      <c r="E2" s="61" t="s">
        <v>108</v>
      </c>
    </row>
    <row r="3" spans="1:5" x14ac:dyDescent="0.25">
      <c r="A3" s="57" t="s">
        <v>113</v>
      </c>
      <c r="B3" s="74" t="s">
        <v>2</v>
      </c>
      <c r="C3" s="64">
        <f>IFERROR(VLOOKUP(B3,'[9]Matrícula total'!$C$26:$D$35,2,0),0)</f>
        <v>26461</v>
      </c>
      <c r="D3" s="63">
        <f t="shared" ref="D3:D11" si="0">C3/$C$12</f>
        <v>0.18953377599186311</v>
      </c>
      <c r="E3" s="64">
        <f t="shared" ref="E3:E11" si="1">D3*$B$15</f>
        <v>363027.51700868842</v>
      </c>
    </row>
    <row r="4" spans="1:5" x14ac:dyDescent="0.25">
      <c r="A4" s="57" t="s">
        <v>115</v>
      </c>
      <c r="B4" s="74" t="s">
        <v>4</v>
      </c>
      <c r="C4" s="64">
        <f>IFERROR(VLOOKUP(B4,'[9]Matrícula total'!$C$26:$D$35,2,0),0)</f>
        <v>15253</v>
      </c>
      <c r="D4" s="63">
        <f t="shared" si="0"/>
        <v>0.1092535688448618</v>
      </c>
      <c r="E4" s="64">
        <f t="shared" si="1"/>
        <v>209261.12833730865</v>
      </c>
    </row>
    <row r="5" spans="1:5" x14ac:dyDescent="0.25">
      <c r="A5" s="57" t="s">
        <v>13</v>
      </c>
      <c r="B5" s="74" t="s">
        <v>5</v>
      </c>
      <c r="C5" s="64">
        <f>IFERROR(VLOOKUP(B5,'[9]Matrícula total'!$C$26:$D$35,2,0),0)</f>
        <v>15313</v>
      </c>
      <c r="D5" s="63">
        <f t="shared" si="0"/>
        <v>0.10968333440774725</v>
      </c>
      <c r="E5" s="64">
        <f t="shared" si="1"/>
        <v>210084.28887623467</v>
      </c>
    </row>
    <row r="6" spans="1:5" x14ac:dyDescent="0.25">
      <c r="A6" s="57" t="s">
        <v>119</v>
      </c>
      <c r="B6" s="74" t="s">
        <v>20</v>
      </c>
      <c r="C6" s="64">
        <f>IFERROR(VLOOKUP(B6,'[9]Matrícula total'!$C$26:$D$35,2,0),0)</f>
        <v>12274</v>
      </c>
      <c r="D6" s="63">
        <f t="shared" si="0"/>
        <v>8.79157086475994E-2</v>
      </c>
      <c r="E6" s="64">
        <f t="shared" si="1"/>
        <v>168391.20757963197</v>
      </c>
    </row>
    <row r="7" spans="1:5" x14ac:dyDescent="0.25">
      <c r="A7" s="57" t="s">
        <v>118</v>
      </c>
      <c r="B7" s="74" t="s">
        <v>8</v>
      </c>
      <c r="C7" s="64">
        <f>IFERROR(VLOOKUP(B7,'[9]Matrícula total'!$C$26:$D$35,2,0),0)</f>
        <v>10907</v>
      </c>
      <c r="D7" s="63">
        <f t="shared" si="0"/>
        <v>7.8124216573192656E-2</v>
      </c>
      <c r="E7" s="64">
        <f t="shared" si="1"/>
        <v>149636.86663443423</v>
      </c>
    </row>
    <row r="8" spans="1:5" x14ac:dyDescent="0.25">
      <c r="A8" s="57" t="s">
        <v>120</v>
      </c>
      <c r="B8" s="74" t="s">
        <v>19</v>
      </c>
      <c r="C8" s="64">
        <f>IFERROR(VLOOKUP(B8,'[9]Matrícula total'!$C$26:$D$35,2,0),0)</f>
        <v>8152</v>
      </c>
      <c r="D8" s="63">
        <f t="shared" si="0"/>
        <v>5.8390814477369261E-2</v>
      </c>
      <c r="E8" s="64">
        <f t="shared" si="1"/>
        <v>111840.07855541469</v>
      </c>
    </row>
    <row r="9" spans="1:5" x14ac:dyDescent="0.25">
      <c r="A9" s="57" t="s">
        <v>116</v>
      </c>
      <c r="B9" s="74" t="s">
        <v>7</v>
      </c>
      <c r="C9" s="64">
        <f>IFERROR(VLOOKUP(B9,'[9]Matrícula total'!$C$26:$D$35,2,0),0)</f>
        <v>10820</v>
      </c>
      <c r="D9" s="63">
        <f t="shared" si="0"/>
        <v>7.7501056507008753E-2</v>
      </c>
      <c r="E9" s="64">
        <f t="shared" si="1"/>
        <v>148443.2838529915</v>
      </c>
    </row>
    <row r="10" spans="1:5" x14ac:dyDescent="0.25">
      <c r="A10" s="57" t="s">
        <v>114</v>
      </c>
      <c r="B10" s="74" t="s">
        <v>3</v>
      </c>
      <c r="C10" s="64">
        <f>IFERROR(VLOOKUP(B10,'[9]Matrícula total'!$C$26:$D$35,2,0),0)</f>
        <v>24986</v>
      </c>
      <c r="D10" s="63">
        <f t="shared" si="0"/>
        <v>0.17896870590426256</v>
      </c>
      <c r="E10" s="64">
        <f t="shared" si="1"/>
        <v>342791.48709342384</v>
      </c>
    </row>
    <row r="11" spans="1:5" x14ac:dyDescent="0.25">
      <c r="A11" s="57" t="s">
        <v>117</v>
      </c>
      <c r="B11" s="74" t="s">
        <v>6</v>
      </c>
      <c r="C11" s="64">
        <f>IFERROR(VLOOKUP(B11,'[9]Matrícula total'!$C$26:$D$35,2,0),0)</f>
        <v>15445</v>
      </c>
      <c r="D11" s="63">
        <f t="shared" si="0"/>
        <v>0.11062881864609522</v>
      </c>
      <c r="E11" s="64">
        <f t="shared" si="1"/>
        <v>211895.24206187189</v>
      </c>
    </row>
    <row r="12" spans="1:5" x14ac:dyDescent="0.25">
      <c r="C12" s="71">
        <f>SUM(C3:C11)</f>
        <v>139611</v>
      </c>
      <c r="D12" s="71">
        <f>SUM(D3:D11)</f>
        <v>1.0000000000000002</v>
      </c>
      <c r="E12" s="71">
        <f>SUM(E3:E11)</f>
        <v>1915371.0999999999</v>
      </c>
    </row>
    <row r="15" spans="1:5" x14ac:dyDescent="0.25">
      <c r="A15" t="s">
        <v>121</v>
      </c>
      <c r="B15" s="7">
        <f>'Montos BD 2019'!B28/6</f>
        <v>1915371.0999999999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</vt:i4>
      </vt:variant>
    </vt:vector>
  </HeadingPairs>
  <TitlesOfParts>
    <vt:vector size="13" baseType="lpstr">
      <vt:lpstr>Montos BD 2019</vt:lpstr>
      <vt:lpstr>Montos BD 2019 Anticipo y Saldo</vt:lpstr>
      <vt:lpstr>Categorías</vt:lpstr>
      <vt:lpstr>Valores</vt:lpstr>
      <vt:lpstr>Indicadores</vt:lpstr>
      <vt:lpstr>Publicaciones BD</vt:lpstr>
      <vt:lpstr>Acreditación BD</vt:lpstr>
      <vt:lpstr>Doctorado JC BD</vt:lpstr>
      <vt:lpstr>Programas Doct. Acreditados BD</vt:lpstr>
      <vt:lpstr>Académicos JC BD</vt:lpstr>
      <vt:lpstr>Matrícula Regular Pre BD</vt:lpstr>
      <vt:lpstr>'Montos BD 2019'!Títulos_a_imprimir</vt:lpstr>
      <vt:lpstr>'Montos BD 2019 Anticipo y Saldo'!Títulos_a_imprimir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Torres Huerta</dc:creator>
  <cp:lastModifiedBy>Roxana Acuña Molina</cp:lastModifiedBy>
  <cp:lastPrinted>2019-06-13T19:52:08Z</cp:lastPrinted>
  <dcterms:created xsi:type="dcterms:W3CDTF">2016-05-30T15:19:10Z</dcterms:created>
  <dcterms:modified xsi:type="dcterms:W3CDTF">2019-06-19T16:37:37Z</dcterms:modified>
</cp:coreProperties>
</file>