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CD Basal/BD 2021/Respaldos BD 2021/"/>
    </mc:Choice>
  </mc:AlternateContent>
  <xr:revisionPtr revIDLastSave="18" documentId="8_{65134563-F6E0-47E9-BADF-D7E9E9B52FF3}" xr6:coauthVersionLast="47" xr6:coauthVersionMax="47" xr10:uidLastSave="{5CE688A6-0D6C-4A40-A0C6-E0547DAFE2C6}"/>
  <bookViews>
    <workbookView xWindow="-120" yWindow="-120" windowWidth="20730" windowHeight="11160" tabRatio="889" xr2:uid="{00000000-000D-0000-FFFF-FFFF00000000}"/>
  </bookViews>
  <sheets>
    <sheet name="Montos BD 2021" sheetId="4" r:id="rId1"/>
    <sheet name="Montos Anticipo BD 2021" sheetId="13" r:id="rId2"/>
    <sheet name="Categorías" sheetId="1" r:id="rId3"/>
    <sheet name="Valores" sheetId="2" r:id="rId4"/>
    <sheet name="Indicadores" sheetId="3" r:id="rId5"/>
    <sheet name="Publicaciones BD" sheetId="5" r:id="rId6"/>
    <sheet name="Acreditación BD" sheetId="6" r:id="rId7"/>
    <sheet name="Doctorado JC BD" sheetId="7" r:id="rId8"/>
    <sheet name="Programas Doct. Acreditados BD" sheetId="8" r:id="rId9"/>
    <sheet name="Académicos JC BD" sheetId="9" r:id="rId10"/>
    <sheet name="Matrícula Regular Pre BD" sheetId="10" r:id="rId11"/>
  </sheets>
  <definedNames>
    <definedName name="_xlnm._FilterDatabase" localSheetId="9" hidden="1">'Académicos JC BD'!$A$2:$C$11</definedName>
    <definedName name="_xlnm._FilterDatabase" localSheetId="2" hidden="1">Categorías!$A$4:$Y$14</definedName>
    <definedName name="_xlnm._FilterDatabase" localSheetId="7" hidden="1">'Doctorado JC BD'!$A$2:$C$11</definedName>
    <definedName name="_xlnm._FilterDatabase" localSheetId="4" hidden="1">Indicadores!$A$1:$AI$3</definedName>
    <definedName name="_xlnm._FilterDatabase" localSheetId="1" hidden="1">'Montos Anticipo BD 2021'!$A$5:$C$20</definedName>
    <definedName name="_xlnm._FilterDatabase" localSheetId="0" hidden="1">'Montos BD 2021'!$A$7:$P$23</definedName>
    <definedName name="_xlnm._FilterDatabase" localSheetId="3" hidden="1">Valores!$A$1:$Y$17</definedName>
    <definedName name="_xlnm.Print_Titles" localSheetId="1">'Montos Anticipo BD 2021'!$A:$A</definedName>
    <definedName name="_xlnm.Print_Titles" localSheetId="0">'Montos BD 2021'!$A:$A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3" l="1"/>
  <c r="M11" i="13"/>
  <c r="M12" i="13"/>
  <c r="M13" i="13"/>
  <c r="M14" i="13"/>
  <c r="M15" i="13"/>
  <c r="M16" i="13"/>
  <c r="M17" i="13"/>
  <c r="M18" i="13"/>
  <c r="M19" i="13"/>
  <c r="B30" i="4"/>
  <c r="Y22" i="4"/>
  <c r="D27" i="4"/>
  <c r="P16" i="4"/>
  <c r="B25" i="13"/>
  <c r="B26" i="13" s="1"/>
  <c r="E24" i="13"/>
  <c r="F24" i="13" s="1"/>
  <c r="C24" i="13"/>
  <c r="E23" i="13"/>
  <c r="E25" i="13" s="1"/>
  <c r="C23" i="13"/>
  <c r="F19" i="13"/>
  <c r="G18" i="13" s="1"/>
  <c r="H18" i="13" s="1"/>
  <c r="I18" i="13" s="1"/>
  <c r="E19" i="13"/>
  <c r="D19" i="13"/>
  <c r="G10" i="13" l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 s="1"/>
  <c r="I16" i="13" s="1"/>
  <c r="G17" i="13"/>
  <c r="H17" i="13" s="1"/>
  <c r="I17" i="13" s="1"/>
  <c r="F23" i="13"/>
  <c r="F25" i="13" s="1"/>
  <c r="H10" i="13" l="1"/>
  <c r="G19" i="13"/>
  <c r="H19" i="13" l="1"/>
  <c r="I10" i="13"/>
  <c r="I19" i="13" l="1"/>
  <c r="W22" i="4" l="1"/>
  <c r="Z22" i="4"/>
  <c r="V22" i="4" l="1"/>
  <c r="U22" i="4"/>
  <c r="S5" i="1" l="1"/>
  <c r="U7" i="1"/>
  <c r="U11" i="1"/>
  <c r="W12" i="1"/>
  <c r="W6" i="1"/>
  <c r="W7" i="1"/>
  <c r="W11" i="1"/>
  <c r="W13" i="1"/>
  <c r="W9" i="1"/>
  <c r="W8" i="1"/>
  <c r="W10" i="1"/>
  <c r="W5" i="1"/>
  <c r="U5" i="1" l="1"/>
  <c r="U10" i="1"/>
  <c r="J7" i="1"/>
  <c r="J11" i="1"/>
  <c r="J12" i="1"/>
  <c r="J6" i="1"/>
  <c r="U12" i="1"/>
  <c r="U13" i="1"/>
  <c r="U9" i="1"/>
  <c r="V5" i="1"/>
  <c r="J8" i="1"/>
  <c r="U8" i="1"/>
  <c r="J10" i="1"/>
  <c r="U6" i="1"/>
  <c r="I14" i="1"/>
  <c r="J13" i="1"/>
  <c r="J9" i="1"/>
  <c r="J5" i="1" l="1"/>
  <c r="T5" i="1" s="1"/>
  <c r="N22" i="4" l="1"/>
  <c r="E14" i="1" l="1"/>
  <c r="F14" i="1"/>
  <c r="G14" i="1"/>
  <c r="H14" i="1"/>
  <c r="D14" i="1"/>
  <c r="U13" i="2" l="1"/>
  <c r="V13" i="2"/>
  <c r="F13" i="4" l="1"/>
  <c r="F14" i="4"/>
  <c r="F17" i="4"/>
  <c r="F15" i="4"/>
  <c r="F16" i="4"/>
  <c r="F18" i="4"/>
  <c r="F19" i="4"/>
  <c r="F20" i="4"/>
  <c r="F21" i="4"/>
  <c r="E22" i="4"/>
  <c r="F22" i="4" l="1"/>
  <c r="E27" i="4" s="1"/>
  <c r="S10" i="1" l="1"/>
  <c r="S6" i="1"/>
  <c r="S13" i="1"/>
  <c r="S9" i="1"/>
  <c r="S12" i="1"/>
  <c r="S8" i="1"/>
  <c r="S11" i="1"/>
  <c r="S7" i="1"/>
  <c r="J14" i="1" l="1"/>
  <c r="V11" i="1"/>
  <c r="V12" i="1"/>
  <c r="V10" i="1"/>
  <c r="V7" i="1"/>
  <c r="T12" i="1"/>
  <c r="V8" i="1"/>
  <c r="V9" i="1"/>
  <c r="T13" i="1"/>
  <c r="T10" i="1"/>
  <c r="V6" i="1"/>
  <c r="T9" i="1"/>
  <c r="V13" i="1"/>
  <c r="T6" i="1"/>
  <c r="T8" i="1"/>
  <c r="T7" i="1"/>
  <c r="T11" i="1"/>
  <c r="T14" i="1" l="1"/>
  <c r="H11" i="6" l="1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H4" i="6"/>
  <c r="G4" i="6"/>
  <c r="F4" i="6"/>
  <c r="G3" i="6"/>
  <c r="F3" i="6"/>
  <c r="C12" i="5"/>
  <c r="D11" i="5" s="1"/>
  <c r="U77" i="3"/>
  <c r="T77" i="3"/>
  <c r="S77" i="3"/>
  <c r="R77" i="3"/>
  <c r="Q77" i="3"/>
  <c r="U76" i="3"/>
  <c r="T76" i="3"/>
  <c r="S76" i="3"/>
  <c r="R76" i="3"/>
  <c r="Q76" i="3"/>
  <c r="U75" i="3"/>
  <c r="T75" i="3"/>
  <c r="S75" i="3"/>
  <c r="R75" i="3"/>
  <c r="Q75" i="3"/>
  <c r="U74" i="3"/>
  <c r="T74" i="3"/>
  <c r="S74" i="3"/>
  <c r="R74" i="3"/>
  <c r="Q74" i="3"/>
  <c r="U73" i="3"/>
  <c r="T73" i="3"/>
  <c r="S73" i="3"/>
  <c r="R73" i="3"/>
  <c r="Q73" i="3"/>
  <c r="U63" i="3"/>
  <c r="T63" i="3"/>
  <c r="S63" i="3"/>
  <c r="R63" i="3"/>
  <c r="Q63" i="3"/>
  <c r="U62" i="3"/>
  <c r="T62" i="3"/>
  <c r="S62" i="3"/>
  <c r="R62" i="3"/>
  <c r="Q62" i="3"/>
  <c r="U61" i="3"/>
  <c r="T61" i="3"/>
  <c r="S61" i="3"/>
  <c r="R61" i="3"/>
  <c r="Q61" i="3"/>
  <c r="U60" i="3"/>
  <c r="T60" i="3"/>
  <c r="S60" i="3"/>
  <c r="R60" i="3"/>
  <c r="Q60" i="3"/>
  <c r="U59" i="3"/>
  <c r="T59" i="3"/>
  <c r="S59" i="3"/>
  <c r="R59" i="3"/>
  <c r="Q59" i="3"/>
  <c r="U58" i="3"/>
  <c r="T58" i="3"/>
  <c r="S58" i="3"/>
  <c r="R58" i="3"/>
  <c r="Q58" i="3"/>
  <c r="U57" i="3"/>
  <c r="T57" i="3"/>
  <c r="S57" i="3"/>
  <c r="R57" i="3"/>
  <c r="Q57" i="3"/>
  <c r="U56" i="3"/>
  <c r="T56" i="3"/>
  <c r="S56" i="3"/>
  <c r="R56" i="3"/>
  <c r="Q56" i="3"/>
  <c r="U55" i="3"/>
  <c r="T55" i="3"/>
  <c r="S55" i="3"/>
  <c r="R55" i="3"/>
  <c r="Q55" i="3"/>
  <c r="U54" i="3"/>
  <c r="T54" i="3"/>
  <c r="S54" i="3"/>
  <c r="R54" i="3"/>
  <c r="Q54" i="3"/>
  <c r="U53" i="3"/>
  <c r="T53" i="3"/>
  <c r="S53" i="3"/>
  <c r="R53" i="3"/>
  <c r="Q53" i="3"/>
  <c r="U52" i="3"/>
  <c r="T52" i="3"/>
  <c r="S52" i="3"/>
  <c r="R52" i="3"/>
  <c r="Q52" i="3"/>
  <c r="U51" i="3"/>
  <c r="T51" i="3"/>
  <c r="S51" i="3"/>
  <c r="R51" i="3"/>
  <c r="Q51" i="3"/>
  <c r="U50" i="3"/>
  <c r="T50" i="3"/>
  <c r="S50" i="3"/>
  <c r="R50" i="3"/>
  <c r="Q50" i="3"/>
  <c r="U49" i="3"/>
  <c r="T49" i="3"/>
  <c r="S49" i="3"/>
  <c r="R49" i="3"/>
  <c r="Q49" i="3"/>
  <c r="U48" i="3"/>
  <c r="T48" i="3"/>
  <c r="S48" i="3"/>
  <c r="R48" i="3"/>
  <c r="Q48" i="3"/>
  <c r="C12" i="2"/>
  <c r="C12" i="3" s="1"/>
  <c r="B12" i="2"/>
  <c r="A12" i="2"/>
  <c r="A12" i="3" s="1"/>
  <c r="C11" i="2"/>
  <c r="C11" i="3" s="1"/>
  <c r="B11" i="2"/>
  <c r="A11" i="2"/>
  <c r="A11" i="3" s="1"/>
  <c r="C10" i="2"/>
  <c r="C10" i="3" s="1"/>
  <c r="B10" i="2"/>
  <c r="A10" i="2"/>
  <c r="A10" i="3" s="1"/>
  <c r="C9" i="2"/>
  <c r="C9" i="3" s="1"/>
  <c r="B9" i="2"/>
  <c r="A9" i="2"/>
  <c r="A9" i="3" s="1"/>
  <c r="C8" i="2"/>
  <c r="C8" i="3" s="1"/>
  <c r="B8" i="2"/>
  <c r="A8" i="2"/>
  <c r="A8" i="3" s="1"/>
  <c r="C7" i="2"/>
  <c r="C7" i="3" s="1"/>
  <c r="B7" i="2"/>
  <c r="A7" i="2"/>
  <c r="A7" i="3" s="1"/>
  <c r="C6" i="2"/>
  <c r="C6" i="3" s="1"/>
  <c r="B6" i="2"/>
  <c r="A6" i="2"/>
  <c r="A6" i="3" s="1"/>
  <c r="C5" i="2"/>
  <c r="C5" i="3" s="1"/>
  <c r="B5" i="2"/>
  <c r="A5" i="2"/>
  <c r="A5" i="3" s="1"/>
  <c r="C4" i="2"/>
  <c r="C4" i="3" s="1"/>
  <c r="B4" i="2"/>
  <c r="A4" i="2"/>
  <c r="A4" i="3" s="1"/>
  <c r="S14" i="1"/>
  <c r="P14" i="1"/>
  <c r="X13" i="1"/>
  <c r="D17" i="4" s="1"/>
  <c r="X12" i="1"/>
  <c r="D14" i="4" s="1"/>
  <c r="X11" i="1"/>
  <c r="D18" i="4" s="1"/>
  <c r="X10" i="1"/>
  <c r="D20" i="4" s="1"/>
  <c r="X9" i="1"/>
  <c r="D19" i="4" s="1"/>
  <c r="X8" i="1"/>
  <c r="D21" i="4" s="1"/>
  <c r="X7" i="1"/>
  <c r="D16" i="4" s="1"/>
  <c r="X6" i="1"/>
  <c r="D15" i="4" s="1"/>
  <c r="X5" i="1"/>
  <c r="D13" i="4" s="1"/>
  <c r="D4" i="5" l="1"/>
  <c r="D8" i="5"/>
  <c r="D5" i="5"/>
  <c r="D9" i="5"/>
  <c r="D6" i="5"/>
  <c r="D10" i="5"/>
  <c r="D3" i="5"/>
  <c r="D7" i="5"/>
  <c r="B9" i="3"/>
  <c r="B11" i="3"/>
  <c r="B5" i="3"/>
  <c r="B12" i="3"/>
  <c r="B7" i="3"/>
  <c r="K14" i="1"/>
  <c r="I4" i="6"/>
  <c r="I10" i="6"/>
  <c r="D12" i="6"/>
  <c r="B15" i="10"/>
  <c r="B15" i="8"/>
  <c r="B15" i="5"/>
  <c r="B15" i="7"/>
  <c r="B15" i="9"/>
  <c r="B15" i="6"/>
  <c r="B4" i="3"/>
  <c r="B8" i="3"/>
  <c r="Q14" i="1"/>
  <c r="B6" i="3"/>
  <c r="B10" i="3"/>
  <c r="I6" i="6"/>
  <c r="I8" i="6"/>
  <c r="N14" i="1"/>
  <c r="I7" i="6"/>
  <c r="M14" i="1"/>
  <c r="W14" i="1"/>
  <c r="V14" i="1"/>
  <c r="U14" i="1"/>
  <c r="H3" i="6"/>
  <c r="E12" i="6"/>
  <c r="I9" i="6"/>
  <c r="I11" i="6"/>
  <c r="C12" i="10"/>
  <c r="D8" i="10" s="1"/>
  <c r="R14" i="1"/>
  <c r="I5" i="6"/>
  <c r="F12" i="6"/>
  <c r="C12" i="9"/>
  <c r="D7" i="9" s="1"/>
  <c r="C12" i="6"/>
  <c r="G12" i="6"/>
  <c r="C12" i="7"/>
  <c r="D6" i="7" s="1"/>
  <c r="L6" i="3" l="1"/>
  <c r="N4" i="3"/>
  <c r="J8" i="3"/>
  <c r="J6" i="3"/>
  <c r="G4" i="3"/>
  <c r="M5" i="3"/>
  <c r="N9" i="3"/>
  <c r="J10" i="3"/>
  <c r="G7" i="3"/>
  <c r="J4" i="3"/>
  <c r="N8" i="3"/>
  <c r="I7" i="3"/>
  <c r="N10" i="3"/>
  <c r="M6" i="3"/>
  <c r="N5" i="3"/>
  <c r="O7" i="3"/>
  <c r="K4" i="3"/>
  <c r="F12" i="3"/>
  <c r="G12" i="3"/>
  <c r="G8" i="3"/>
  <c r="F10" i="3"/>
  <c r="I12" i="3"/>
  <c r="W13" i="2"/>
  <c r="D12" i="5"/>
  <c r="K7" i="3"/>
  <c r="L12" i="3"/>
  <c r="P8" i="3"/>
  <c r="I11" i="3"/>
  <c r="L11" i="3"/>
  <c r="L5" i="3"/>
  <c r="M10" i="3"/>
  <c r="P11" i="3"/>
  <c r="M9" i="3"/>
  <c r="M7" i="3"/>
  <c r="P9" i="3"/>
  <c r="F5" i="3"/>
  <c r="G11" i="3"/>
  <c r="F9" i="3"/>
  <c r="N7" i="3"/>
  <c r="K10" i="3"/>
  <c r="N6" i="3"/>
  <c r="K5" i="3"/>
  <c r="M12" i="3"/>
  <c r="P10" i="3"/>
  <c r="F11" i="3"/>
  <c r="F7" i="3"/>
  <c r="K9" i="3"/>
  <c r="P5" i="3"/>
  <c r="L9" i="3"/>
  <c r="P12" i="3"/>
  <c r="K11" i="3"/>
  <c r="L7" i="3"/>
  <c r="K6" i="3"/>
  <c r="H10" i="3"/>
  <c r="L10" i="3"/>
  <c r="K8" i="3"/>
  <c r="R13" i="2"/>
  <c r="M11" i="3"/>
  <c r="P7" i="3"/>
  <c r="Y13" i="2"/>
  <c r="P6" i="3"/>
  <c r="M4" i="3"/>
  <c r="L13" i="2"/>
  <c r="H8" i="3"/>
  <c r="P4" i="3"/>
  <c r="I8" i="3"/>
  <c r="N11" i="3"/>
  <c r="M8" i="3"/>
  <c r="F6" i="3"/>
  <c r="X13" i="2"/>
  <c r="K12" i="3"/>
  <c r="I5" i="3"/>
  <c r="N12" i="3"/>
  <c r="H9" i="3"/>
  <c r="H5" i="3"/>
  <c r="D10" i="10"/>
  <c r="E10" i="10" s="1"/>
  <c r="J11" i="3"/>
  <c r="J13" i="2"/>
  <c r="J5" i="3"/>
  <c r="J7" i="3"/>
  <c r="F13" i="2"/>
  <c r="D3" i="9"/>
  <c r="E3" i="9" s="1"/>
  <c r="G9" i="3"/>
  <c r="H11" i="3"/>
  <c r="E8" i="10"/>
  <c r="E7" i="9"/>
  <c r="E6" i="7"/>
  <c r="D6" i="10"/>
  <c r="E6" i="10" s="1"/>
  <c r="D7" i="10"/>
  <c r="E7" i="10" s="1"/>
  <c r="G13" i="2"/>
  <c r="H13" i="2"/>
  <c r="O14" i="1"/>
  <c r="H7" i="3"/>
  <c r="H6" i="3"/>
  <c r="O13" i="2"/>
  <c r="H4" i="3"/>
  <c r="J12" i="3"/>
  <c r="S13" i="2"/>
  <c r="G6" i="3"/>
  <c r="D4" i="9"/>
  <c r="E4" i="9" s="1"/>
  <c r="D11" i="10"/>
  <c r="E11" i="10" s="1"/>
  <c r="D11" i="9"/>
  <c r="E11" i="9" s="1"/>
  <c r="G5" i="3"/>
  <c r="G10" i="3"/>
  <c r="F4" i="3"/>
  <c r="E13" i="2"/>
  <c r="I10" i="3"/>
  <c r="E11" i="5"/>
  <c r="E9" i="5"/>
  <c r="E7" i="5"/>
  <c r="E5" i="5"/>
  <c r="E3" i="5"/>
  <c r="E10" i="5"/>
  <c r="E8" i="5"/>
  <c r="E6" i="5"/>
  <c r="E4" i="5"/>
  <c r="H12" i="3"/>
  <c r="D7" i="7"/>
  <c r="E7" i="7" s="1"/>
  <c r="P13" i="2"/>
  <c r="D3" i="7"/>
  <c r="E3" i="7" s="1"/>
  <c r="D3" i="10"/>
  <c r="E3" i="10" s="1"/>
  <c r="I4" i="3"/>
  <c r="L14" i="1"/>
  <c r="K13" i="2"/>
  <c r="I9" i="3"/>
  <c r="J9" i="3"/>
  <c r="I13" i="2"/>
  <c r="D8" i="9"/>
  <c r="E8" i="9" s="1"/>
  <c r="I6" i="3"/>
  <c r="D4" i="10"/>
  <c r="E4" i="10" s="1"/>
  <c r="N13" i="2"/>
  <c r="M13" i="2"/>
  <c r="F8" i="3"/>
  <c r="L4" i="3"/>
  <c r="L8" i="3"/>
  <c r="Q13" i="2"/>
  <c r="D9" i="7"/>
  <c r="E9" i="7" s="1"/>
  <c r="D5" i="7"/>
  <c r="E5" i="7" s="1"/>
  <c r="D4" i="7"/>
  <c r="E4" i="7" s="1"/>
  <c r="D8" i="7"/>
  <c r="E8" i="7" s="1"/>
  <c r="D11" i="7"/>
  <c r="E11" i="7" s="1"/>
  <c r="D9" i="10"/>
  <c r="E9" i="10" s="1"/>
  <c r="D5" i="10"/>
  <c r="E5" i="10" s="1"/>
  <c r="D10" i="7"/>
  <c r="E10" i="7" s="1"/>
  <c r="D10" i="9"/>
  <c r="E10" i="9" s="1"/>
  <c r="D6" i="9"/>
  <c r="E6" i="9" s="1"/>
  <c r="D5" i="9"/>
  <c r="E5" i="9" s="1"/>
  <c r="D9" i="9"/>
  <c r="E9" i="9" s="1"/>
  <c r="H12" i="6"/>
  <c r="I3" i="6"/>
  <c r="G13" i="3" l="1"/>
  <c r="L13" i="3"/>
  <c r="I13" i="3"/>
  <c r="N13" i="3"/>
  <c r="M13" i="3"/>
  <c r="H13" i="3"/>
  <c r="P13" i="3"/>
  <c r="K13" i="3"/>
  <c r="J13" i="3"/>
  <c r="F13" i="3"/>
  <c r="I17" i="4"/>
  <c r="G14" i="4"/>
  <c r="K14" i="4"/>
  <c r="K15" i="4"/>
  <c r="L16" i="4"/>
  <c r="I14" i="4"/>
  <c r="G16" i="4"/>
  <c r="G15" i="4"/>
  <c r="I16" i="4"/>
  <c r="L14" i="4"/>
  <c r="I21" i="4"/>
  <c r="I13" i="4"/>
  <c r="G13" i="4"/>
  <c r="L21" i="4"/>
  <c r="I15" i="4"/>
  <c r="G17" i="4"/>
  <c r="G18" i="4"/>
  <c r="K20" i="4"/>
  <c r="K18" i="4"/>
  <c r="K13" i="4"/>
  <c r="K19" i="4"/>
  <c r="K17" i="4"/>
  <c r="G20" i="4"/>
  <c r="K16" i="4"/>
  <c r="L18" i="4"/>
  <c r="L15" i="4"/>
  <c r="I18" i="4"/>
  <c r="K21" i="4"/>
  <c r="I20" i="4"/>
  <c r="I19" i="4"/>
  <c r="L13" i="4"/>
  <c r="G21" i="4"/>
  <c r="G19" i="4"/>
  <c r="L17" i="4"/>
  <c r="L19" i="4"/>
  <c r="L20" i="4"/>
  <c r="D6" i="2"/>
  <c r="D6" i="3" s="1"/>
  <c r="Y8" i="1"/>
  <c r="Y11" i="1"/>
  <c r="E12" i="5"/>
  <c r="Y9" i="1"/>
  <c r="D8" i="2"/>
  <c r="D8" i="3" s="1"/>
  <c r="D12" i="10"/>
  <c r="E12" i="9"/>
  <c r="E12" i="10"/>
  <c r="D12" i="7"/>
  <c r="Y12" i="1"/>
  <c r="D11" i="2"/>
  <c r="D11" i="3" s="1"/>
  <c r="D12" i="9"/>
  <c r="I12" i="6"/>
  <c r="J3" i="6" s="1"/>
  <c r="E12" i="7"/>
  <c r="K22" i="4" l="1"/>
  <c r="I22" i="4"/>
  <c r="L22" i="4"/>
  <c r="G22" i="4"/>
  <c r="Y7" i="1"/>
  <c r="D10" i="2"/>
  <c r="D10" i="3" s="1"/>
  <c r="D7" i="2"/>
  <c r="D7" i="3" s="1"/>
  <c r="D9" i="2"/>
  <c r="D9" i="3" s="1"/>
  <c r="Y10" i="1"/>
  <c r="E11" i="3"/>
  <c r="D5" i="2"/>
  <c r="D5" i="3" s="1"/>
  <c r="Y6" i="1"/>
  <c r="K3" i="6"/>
  <c r="J10" i="6"/>
  <c r="K10" i="6" s="1"/>
  <c r="J7" i="6"/>
  <c r="K7" i="6" s="1"/>
  <c r="J4" i="6"/>
  <c r="K4" i="6" s="1"/>
  <c r="J8" i="6"/>
  <c r="K8" i="6" s="1"/>
  <c r="J6" i="6"/>
  <c r="K6" i="6" s="1"/>
  <c r="J11" i="6"/>
  <c r="K11" i="6" s="1"/>
  <c r="J5" i="6"/>
  <c r="K5" i="6" s="1"/>
  <c r="J9" i="6"/>
  <c r="K9" i="6" s="1"/>
  <c r="Y13" i="1"/>
  <c r="D12" i="2"/>
  <c r="D12" i="3" s="1"/>
  <c r="Y5" i="1"/>
  <c r="D4" i="2"/>
  <c r="D4" i="3" s="1"/>
  <c r="E8" i="3"/>
  <c r="C12" i="8"/>
  <c r="D4" i="8" s="1"/>
  <c r="E4" i="8" s="1"/>
  <c r="E6" i="3"/>
  <c r="B18" i="1" l="1"/>
  <c r="H14" i="4"/>
  <c r="H16" i="4"/>
  <c r="H21" i="4"/>
  <c r="H15" i="4"/>
  <c r="H19" i="4"/>
  <c r="H17" i="4"/>
  <c r="H13" i="4"/>
  <c r="J14" i="4"/>
  <c r="H20" i="4"/>
  <c r="H18" i="4"/>
  <c r="E10" i="3"/>
  <c r="E7" i="3"/>
  <c r="D11" i="8"/>
  <c r="E11" i="8" s="1"/>
  <c r="D8" i="8"/>
  <c r="E8" i="8" s="1"/>
  <c r="D3" i="8"/>
  <c r="E3" i="8" s="1"/>
  <c r="E4" i="3"/>
  <c r="D7" i="8"/>
  <c r="E7" i="8" s="1"/>
  <c r="D5" i="8"/>
  <c r="E5" i="8" s="1"/>
  <c r="D9" i="8"/>
  <c r="E9" i="8" s="1"/>
  <c r="D10" i="8"/>
  <c r="E10" i="8" s="1"/>
  <c r="D6" i="8"/>
  <c r="E6" i="8" s="1"/>
  <c r="B20" i="1"/>
  <c r="B19" i="1"/>
  <c r="E5" i="3"/>
  <c r="J12" i="6"/>
  <c r="E12" i="3"/>
  <c r="K12" i="6"/>
  <c r="E9" i="3"/>
  <c r="M14" i="4" l="1"/>
  <c r="O14" i="4" s="1"/>
  <c r="C18" i="1"/>
  <c r="J21" i="4"/>
  <c r="M21" i="4" s="1"/>
  <c r="O21" i="4" s="1"/>
  <c r="J19" i="4"/>
  <c r="M19" i="4" s="1"/>
  <c r="O19" i="4" s="1"/>
  <c r="J13" i="4"/>
  <c r="M13" i="4" s="1"/>
  <c r="O13" i="4" s="1"/>
  <c r="H22" i="4"/>
  <c r="J15" i="4"/>
  <c r="M15" i="4" s="1"/>
  <c r="O15" i="4" s="1"/>
  <c r="J17" i="4"/>
  <c r="M17" i="4" s="1"/>
  <c r="O17" i="4" s="1"/>
  <c r="J16" i="4"/>
  <c r="M16" i="4" s="1"/>
  <c r="O16" i="4" s="1"/>
  <c r="J18" i="4"/>
  <c r="M18" i="4" s="1"/>
  <c r="O18" i="4" s="1"/>
  <c r="J20" i="4"/>
  <c r="M20" i="4" s="1"/>
  <c r="O20" i="4" s="1"/>
  <c r="AA10" i="3" a="1"/>
  <c r="AA10" i="3" s="1"/>
  <c r="AA7" i="3" a="1"/>
  <c r="AA7" i="3" s="1"/>
  <c r="AA11" i="3" a="1"/>
  <c r="AA11" i="3" s="1"/>
  <c r="Y6" i="3" a="1"/>
  <c r="Y6" i="3" s="1"/>
  <c r="AA8" i="3" a="1"/>
  <c r="AA8" i="3" s="1"/>
  <c r="D12" i="8"/>
  <c r="X11" i="3" a="1"/>
  <c r="X11" i="3" s="1"/>
  <c r="X6" i="3" a="1"/>
  <c r="X6" i="3" s="1"/>
  <c r="W7" i="3" a="1"/>
  <c r="W7" i="3" s="1"/>
  <c r="V7" i="3" a="1"/>
  <c r="V7" i="3" s="1"/>
  <c r="U8" i="3" a="1"/>
  <c r="U8" i="3" s="1"/>
  <c r="U68" i="3" s="1"/>
  <c r="X8" i="3" a="1"/>
  <c r="X8" i="3" s="1"/>
  <c r="T6" i="3" a="1"/>
  <c r="T6" i="3" s="1"/>
  <c r="T66" i="3" s="1"/>
  <c r="V5" i="3" a="1"/>
  <c r="V5" i="3" s="1"/>
  <c r="T5" i="3" a="1"/>
  <c r="T5" i="3" s="1"/>
  <c r="T65" i="3" s="1"/>
  <c r="W5" i="3" a="1"/>
  <c r="W5" i="3" s="1"/>
  <c r="AA5" i="3" a="1"/>
  <c r="AA5" i="3" s="1"/>
  <c r="Y5" i="3" a="1"/>
  <c r="Y5" i="3" s="1"/>
  <c r="X5" i="3" a="1"/>
  <c r="X5" i="3" s="1"/>
  <c r="S5" i="3" a="1"/>
  <c r="S5" i="3" s="1"/>
  <c r="S65" i="3" s="1"/>
  <c r="Q5" i="3" a="1"/>
  <c r="Q5" i="3" s="1"/>
  <c r="Q65" i="3" s="1"/>
  <c r="R5" i="3" a="1"/>
  <c r="R5" i="3" s="1"/>
  <c r="R65" i="3" s="1"/>
  <c r="U5" i="3" a="1"/>
  <c r="U5" i="3" s="1"/>
  <c r="U65" i="3" s="1"/>
  <c r="U10" i="3" a="1"/>
  <c r="U10" i="3" s="1"/>
  <c r="U70" i="3" s="1"/>
  <c r="X10" i="3" a="1"/>
  <c r="X10" i="3" s="1"/>
  <c r="U7" i="3" a="1"/>
  <c r="U7" i="3" s="1"/>
  <c r="U67" i="3" s="1"/>
  <c r="X7" i="3" a="1"/>
  <c r="X7" i="3" s="1"/>
  <c r="U11" i="3" a="1"/>
  <c r="U11" i="3" s="1"/>
  <c r="U71" i="3" s="1"/>
  <c r="S11" i="3" a="1"/>
  <c r="S11" i="3" s="1"/>
  <c r="S71" i="3" s="1"/>
  <c r="V11" i="3" a="1"/>
  <c r="V11" i="3" s="1"/>
  <c r="S8" i="3" a="1"/>
  <c r="S8" i="3" s="1"/>
  <c r="S68" i="3" s="1"/>
  <c r="W8" i="3" a="1"/>
  <c r="W8" i="3" s="1"/>
  <c r="AA6" i="3" a="1"/>
  <c r="AA6" i="3" s="1"/>
  <c r="R6" i="3" a="1"/>
  <c r="R6" i="3" s="1"/>
  <c r="R66" i="3" s="1"/>
  <c r="S10" i="3" a="1"/>
  <c r="S10" i="3" s="1"/>
  <c r="S70" i="3" s="1"/>
  <c r="T10" i="3" a="1"/>
  <c r="T10" i="3" s="1"/>
  <c r="T70" i="3" s="1"/>
  <c r="T9" i="3" a="1"/>
  <c r="T9" i="3" s="1"/>
  <c r="T69" i="3" s="1"/>
  <c r="W9" i="3" a="1"/>
  <c r="W9" i="3" s="1"/>
  <c r="AA9" i="3" a="1"/>
  <c r="AA9" i="3" s="1"/>
  <c r="Y9" i="3" a="1"/>
  <c r="Y9" i="3" s="1"/>
  <c r="Q9" i="3" a="1"/>
  <c r="Q9" i="3" s="1"/>
  <c r="Q69" i="3" s="1"/>
  <c r="U9" i="3" a="1"/>
  <c r="U9" i="3" s="1"/>
  <c r="U69" i="3" s="1"/>
  <c r="X9" i="3" a="1"/>
  <c r="X9" i="3" s="1"/>
  <c r="V9" i="3" a="1"/>
  <c r="V9" i="3" s="1"/>
  <c r="S9" i="3" a="1"/>
  <c r="S9" i="3" s="1"/>
  <c r="S69" i="3" s="1"/>
  <c r="R9" i="3" a="1"/>
  <c r="R9" i="3" s="1"/>
  <c r="R69" i="3" s="1"/>
  <c r="S7" i="3" a="1"/>
  <c r="S7" i="3" s="1"/>
  <c r="S67" i="3" s="1"/>
  <c r="R7" i="3" a="1"/>
  <c r="R7" i="3" s="1"/>
  <c r="R67" i="3" s="1"/>
  <c r="Q12" i="3" a="1"/>
  <c r="Q12" i="3" s="1"/>
  <c r="Q72" i="3" s="1"/>
  <c r="R12" i="3" a="1"/>
  <c r="R12" i="3" s="1"/>
  <c r="R72" i="3" s="1"/>
  <c r="Y12" i="3" a="1"/>
  <c r="Y12" i="3" s="1"/>
  <c r="W12" i="3" a="1"/>
  <c r="W12" i="3" s="1"/>
  <c r="V12" i="3" a="1"/>
  <c r="V12" i="3" s="1"/>
  <c r="S12" i="3" a="1"/>
  <c r="S12" i="3" s="1"/>
  <c r="S72" i="3" s="1"/>
  <c r="X12" i="3" a="1"/>
  <c r="X12" i="3" s="1"/>
  <c r="T12" i="3" a="1"/>
  <c r="T12" i="3" s="1"/>
  <c r="T72" i="3" s="1"/>
  <c r="AA12" i="3" a="1"/>
  <c r="AA12" i="3" s="1"/>
  <c r="U12" i="3" a="1"/>
  <c r="U12" i="3" s="1"/>
  <c r="U72" i="3" s="1"/>
  <c r="R11" i="3" a="1"/>
  <c r="R11" i="3" s="1"/>
  <c r="R71" i="3" s="1"/>
  <c r="T11" i="3" a="1"/>
  <c r="T11" i="3" s="1"/>
  <c r="T71" i="3" s="1"/>
  <c r="Q11" i="3" a="1"/>
  <c r="Q11" i="3" s="1"/>
  <c r="R8" i="3" a="1"/>
  <c r="R8" i="3" s="1"/>
  <c r="R68" i="3" s="1"/>
  <c r="Q8" i="3" a="1"/>
  <c r="Q8" i="3" s="1"/>
  <c r="Q68" i="3" s="1"/>
  <c r="Q6" i="3" a="1"/>
  <c r="Q6" i="3" s="1"/>
  <c r="Q66" i="3" s="1"/>
  <c r="U6" i="3" a="1"/>
  <c r="U6" i="3" s="1"/>
  <c r="U66" i="3" s="1"/>
  <c r="W6" i="3" a="1"/>
  <c r="W6" i="3" s="1"/>
  <c r="R10" i="3" a="1"/>
  <c r="R10" i="3" s="1"/>
  <c r="R70" i="3" s="1"/>
  <c r="V10" i="3" a="1"/>
  <c r="V10" i="3" s="1"/>
  <c r="Y10" i="3" a="1"/>
  <c r="Y10" i="3" s="1"/>
  <c r="C20" i="1"/>
  <c r="C19" i="1"/>
  <c r="B21" i="1"/>
  <c r="Y4" i="3" a="1"/>
  <c r="Y4" i="3" s="1"/>
  <c r="U4" i="3" a="1"/>
  <c r="U4" i="3" s="1"/>
  <c r="U64" i="3" s="1"/>
  <c r="S4" i="3" a="1"/>
  <c r="S4" i="3" s="1"/>
  <c r="S64" i="3" s="1"/>
  <c r="Q4" i="3" a="1"/>
  <c r="Q4" i="3" s="1"/>
  <c r="Q64" i="3" s="1"/>
  <c r="W4" i="3" a="1"/>
  <c r="W4" i="3" s="1"/>
  <c r="X4" i="3" a="1"/>
  <c r="X4" i="3" s="1"/>
  <c r="AA4" i="3" a="1"/>
  <c r="AA4" i="3" s="1"/>
  <c r="T4" i="3" a="1"/>
  <c r="T4" i="3" s="1"/>
  <c r="T64" i="3" s="1"/>
  <c r="R4" i="3" a="1"/>
  <c r="R4" i="3" s="1"/>
  <c r="R64" i="3" s="1"/>
  <c r="V4" i="3" a="1"/>
  <c r="V4" i="3" s="1"/>
  <c r="W10" i="3" a="1"/>
  <c r="W10" i="3" s="1"/>
  <c r="T7" i="3" a="1"/>
  <c r="T7" i="3" s="1"/>
  <c r="T67" i="3" s="1"/>
  <c r="Y7" i="3" a="1"/>
  <c r="Y7" i="3" s="1"/>
  <c r="Z7" i="3" a="1"/>
  <c r="Z7" i="3" s="1"/>
  <c r="Q7" i="3" a="1"/>
  <c r="Q7" i="3" s="1"/>
  <c r="Q67" i="3" s="1"/>
  <c r="E12" i="8"/>
  <c r="Y11" i="3" a="1"/>
  <c r="Y11" i="3" s="1"/>
  <c r="W11" i="3" a="1"/>
  <c r="W11" i="3" s="1"/>
  <c r="T8" i="3" a="1"/>
  <c r="T8" i="3" s="1"/>
  <c r="T68" i="3" s="1"/>
  <c r="V8" i="3" a="1"/>
  <c r="V8" i="3" s="1"/>
  <c r="Y8" i="3" a="1"/>
  <c r="Y8" i="3" s="1"/>
  <c r="V6" i="3" a="1"/>
  <c r="V6" i="3" s="1"/>
  <c r="S6" i="3" a="1"/>
  <c r="S6" i="3" s="1"/>
  <c r="S66" i="3" s="1"/>
  <c r="Q10" i="3" a="1"/>
  <c r="Q10" i="3" s="1"/>
  <c r="J22" i="4" l="1"/>
  <c r="M22" i="4"/>
  <c r="F27" i="4" s="1"/>
  <c r="H27" i="4" s="1"/>
  <c r="AB7" i="3"/>
  <c r="Q70" i="3"/>
  <c r="Q71" i="3"/>
  <c r="I27" i="4" l="1"/>
  <c r="O22" i="4"/>
  <c r="B24" i="1" l="1"/>
  <c r="B28" i="1" l="1"/>
  <c r="B27" i="1"/>
  <c r="B26" i="1"/>
  <c r="B29" i="1" l="1"/>
  <c r="C26" i="1"/>
  <c r="C27" i="1"/>
  <c r="C28" i="1"/>
  <c r="AE8" i="3" l="1"/>
  <c r="AE12" i="3"/>
  <c r="AE9" i="3"/>
  <c r="AE10" i="3"/>
  <c r="AE7" i="3"/>
  <c r="AE5" i="3"/>
  <c r="AE4" i="3"/>
  <c r="AE6" i="3"/>
  <c r="AE11" i="3"/>
  <c r="C29" i="1"/>
  <c r="O5" i="3" l="1"/>
  <c r="O6" i="3"/>
  <c r="O8" i="3"/>
  <c r="O9" i="3"/>
  <c r="O10" i="3"/>
  <c r="O11" i="3"/>
  <c r="O12" i="3"/>
  <c r="O4" i="3" l="1"/>
  <c r="T13" i="2"/>
  <c r="O13" i="3" l="1"/>
  <c r="Z8" i="3" s="1" a="1"/>
  <c r="Z8" i="3" s="1"/>
  <c r="AB8" i="3" s="1"/>
  <c r="Z4" i="3" a="1"/>
  <c r="Z4" i="3" s="1"/>
  <c r="AB4" i="3" s="1"/>
  <c r="Z6" i="3" l="1" a="1"/>
  <c r="Z6" i="3" s="1"/>
  <c r="AB6" i="3" s="1"/>
  <c r="Z9" i="3" a="1"/>
  <c r="Z9" i="3" s="1"/>
  <c r="AB9" i="3" s="1"/>
  <c r="Z12" i="3" a="1"/>
  <c r="Z12" i="3" s="1"/>
  <c r="AB12" i="3" s="1"/>
  <c r="Z11" i="3" a="1"/>
  <c r="Z11" i="3" s="1"/>
  <c r="AB11" i="3" s="1"/>
  <c r="Z10" i="3" a="1"/>
  <c r="Z10" i="3" s="1"/>
  <c r="AB10" i="3" s="1"/>
  <c r="Z5" i="3" a="1"/>
  <c r="Z5" i="3" s="1"/>
  <c r="AB5" i="3" s="1"/>
  <c r="AC4" i="3" l="1" a="1"/>
  <c r="AC4" i="3" s="1"/>
  <c r="AD4" i="3" s="1"/>
  <c r="AF4" i="3" s="1"/>
  <c r="AG4" i="3" s="1"/>
  <c r="AC5" i="3" a="1"/>
  <c r="AC5" i="3" s="1"/>
  <c r="AD5" i="3" s="1"/>
  <c r="AF5" i="3" s="1"/>
  <c r="AG5" i="3" s="1"/>
  <c r="AH5" i="3" s="1"/>
  <c r="P15" i="4" s="1"/>
  <c r="Q15" i="4" s="1"/>
  <c r="R15" i="4" s="1"/>
  <c r="AC12" i="3" a="1"/>
  <c r="AC12" i="3" s="1"/>
  <c r="AD12" i="3" s="1"/>
  <c r="AF12" i="3" s="1"/>
  <c r="AG12" i="3" s="1"/>
  <c r="AC9" i="3" a="1"/>
  <c r="AC9" i="3" s="1"/>
  <c r="AD9" i="3" s="1"/>
  <c r="AF9" i="3" s="1"/>
  <c r="AG9" i="3" s="1"/>
  <c r="AC8" i="3" a="1"/>
  <c r="AC8" i="3" s="1"/>
  <c r="AD8" i="3" s="1"/>
  <c r="AF8" i="3" s="1"/>
  <c r="AG8" i="3" s="1"/>
  <c r="AC11" i="3" a="1"/>
  <c r="AC11" i="3" s="1"/>
  <c r="AD11" i="3" s="1"/>
  <c r="AF11" i="3" s="1"/>
  <c r="AG11" i="3" s="1"/>
  <c r="AC7" i="3" a="1"/>
  <c r="AC7" i="3" s="1"/>
  <c r="AD7" i="3" s="1"/>
  <c r="AF7" i="3" s="1"/>
  <c r="AG7" i="3" s="1"/>
  <c r="AC10" i="3" a="1"/>
  <c r="AC10" i="3" s="1"/>
  <c r="AD10" i="3" s="1"/>
  <c r="AF10" i="3" s="1"/>
  <c r="AG10" i="3" s="1"/>
  <c r="AC6" i="3" a="1"/>
  <c r="AC6" i="3" s="1"/>
  <c r="AD6" i="3" s="1"/>
  <c r="AF6" i="3" s="1"/>
  <c r="X15" i="4" l="1"/>
  <c r="AH11" i="3"/>
  <c r="P14" i="4" s="1"/>
  <c r="Q14" i="4" s="1"/>
  <c r="R14" i="4" s="1"/>
  <c r="AH4" i="3"/>
  <c r="P13" i="4" s="1"/>
  <c r="AG13" i="3"/>
  <c r="AI8" i="3" s="1" a="1"/>
  <c r="AI8" i="3" s="1"/>
  <c r="Q16" i="4"/>
  <c r="R16" i="4" s="1"/>
  <c r="AH8" i="3"/>
  <c r="P19" i="4" s="1"/>
  <c r="Q19" i="4" s="1"/>
  <c r="R19" i="4" s="1"/>
  <c r="AF13" i="3"/>
  <c r="AH10" i="3"/>
  <c r="P18" i="4" s="1"/>
  <c r="Q18" i="4" s="1"/>
  <c r="R18" i="4" s="1"/>
  <c r="AH9" i="3"/>
  <c r="P20" i="4" s="1"/>
  <c r="Q20" i="4" s="1"/>
  <c r="R20" i="4" s="1"/>
  <c r="AH7" i="3"/>
  <c r="P21" i="4" s="1"/>
  <c r="Q21" i="4" s="1"/>
  <c r="R21" i="4" s="1"/>
  <c r="AH12" i="3"/>
  <c r="P17" i="4" s="1"/>
  <c r="Q17" i="4" s="1"/>
  <c r="R17" i="4" s="1"/>
  <c r="AI12" i="3" a="1"/>
  <c r="AI12" i="3" s="1"/>
  <c r="X18" i="4" l="1"/>
  <c r="X17" i="4"/>
  <c r="X21" i="4"/>
  <c r="X19" i="4"/>
  <c r="X14" i="4"/>
  <c r="X20" i="4"/>
  <c r="X16" i="4"/>
  <c r="AI5" i="3" a="1"/>
  <c r="AI5" i="3" s="1"/>
  <c r="AI7" i="3" a="1"/>
  <c r="AI7" i="3" s="1"/>
  <c r="AI4" i="3" a="1"/>
  <c r="AI4" i="3" s="1"/>
  <c r="AH13" i="3"/>
  <c r="AI10" i="3" a="1"/>
  <c r="AI10" i="3" s="1"/>
  <c r="Q13" i="4"/>
  <c r="P22" i="4"/>
  <c r="AI6" i="3" a="1"/>
  <c r="AI6" i="3" s="1"/>
  <c r="AI11" i="3" a="1"/>
  <c r="AI11" i="3" s="1"/>
  <c r="AI9" i="3" a="1"/>
  <c r="AI9" i="3" s="1"/>
  <c r="Q22" i="4" l="1"/>
  <c r="R13" i="4"/>
  <c r="X13" i="4" s="1"/>
  <c r="AI13" i="3"/>
  <c r="R22" i="4" l="1"/>
  <c r="R23" i="4" l="1"/>
  <c r="X22" i="4"/>
  <c r="S18" i="4"/>
  <c r="S15" i="4"/>
  <c r="S19" i="4"/>
  <c r="S20" i="4"/>
  <c r="S14" i="4"/>
  <c r="S21" i="4"/>
  <c r="S16" i="4"/>
  <c r="S17" i="4"/>
  <c r="S13" i="4"/>
  <c r="S22" i="4" l="1"/>
</calcChain>
</file>

<file path=xl/sharedStrings.xml><?xml version="1.0" encoding="utf-8"?>
<sst xmlns="http://schemas.openxmlformats.org/spreadsheetml/2006/main" count="475" uniqueCount="207">
  <si>
    <t>Cod</t>
  </si>
  <si>
    <t>PUC</t>
  </si>
  <si>
    <t>UCO</t>
  </si>
  <si>
    <t>UCV</t>
  </si>
  <si>
    <t>AUS</t>
  </si>
  <si>
    <t>FSM</t>
  </si>
  <si>
    <t>UCN</t>
  </si>
  <si>
    <t>UCT</t>
  </si>
  <si>
    <t>Institución</t>
  </si>
  <si>
    <t>PONTIFICIA UNIVERSIDAD CATÓLICA DE CHILE</t>
  </si>
  <si>
    <t>UNIVERSIDAD DE CONCEPCIÓN</t>
  </si>
  <si>
    <t>PONTIFICIA UNIVERSIDAD CATÓLICA DE VALPARAÍSO</t>
  </si>
  <si>
    <t>UNIVERSIDAD AUSTRAL DE CHILE</t>
  </si>
  <si>
    <t>UNIVERSIDAD TÉCNICA FEDERICO SANTA MARÍA</t>
  </si>
  <si>
    <t>UNIVERSIDAD CATÓLICA DEL NORTE</t>
  </si>
  <si>
    <t>UNIVERSIDAD CATÓLICA DE TEMUCO</t>
  </si>
  <si>
    <t>Tipo IES</t>
  </si>
  <si>
    <t>CRUCH-PRIVADA</t>
  </si>
  <si>
    <t>UCM</t>
  </si>
  <si>
    <t>USC</t>
  </si>
  <si>
    <t>UNIVERSIDAD CATÓLICA DE LA SANTÍSIMA CONCEPCIÓN</t>
  </si>
  <si>
    <t>UNIVERSIDAD CATÓLICA DEL MAULE</t>
  </si>
  <si>
    <t>Total Conjunto</t>
  </si>
  <si>
    <t>Total Conjunto &gt;=5 años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</si>
  <si>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</si>
  <si>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</si>
  <si>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</si>
  <si>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</si>
  <si>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</si>
  <si>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</si>
  <si>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</si>
  <si>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</si>
  <si>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</si>
  <si>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</si>
  <si>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</si>
  <si>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</si>
  <si>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</si>
  <si>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</si>
  <si>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</si>
  <si>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</si>
  <si>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</si>
  <si>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</si>
  <si>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</si>
  <si>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</si>
  <si>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</si>
  <si>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</si>
  <si>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</si>
  <si>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</si>
  <si>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</si>
  <si>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</si>
  <si>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</si>
  <si>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</si>
  <si>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CRUCH-PRIVADACategoría I</t>
  </si>
  <si>
    <t>CRUCH-PRIVADACategoría II</t>
  </si>
  <si>
    <t>CRUCH-PRIVADACategoría III</t>
  </si>
  <si>
    <t>Factor</t>
  </si>
  <si>
    <t>Concatenar</t>
  </si>
  <si>
    <t>N° IES</t>
  </si>
  <si>
    <t>Montos</t>
  </si>
  <si>
    <t>M$</t>
  </si>
  <si>
    <t>Monto Categ</t>
  </si>
  <si>
    <t>AFI 2016</t>
  </si>
  <si>
    <t>Total Elemento Mixto</t>
  </si>
  <si>
    <t>BD-Universidades CRUCH-PRIVADAS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</si>
  <si>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</si>
  <si>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</si>
  <si>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</si>
  <si>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</si>
  <si>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</si>
  <si>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</si>
  <si>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</si>
  <si>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</si>
  <si>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</si>
  <si>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% por IES</t>
  </si>
  <si>
    <t>Reajuste AFI</t>
  </si>
  <si>
    <t>Tipos IES</t>
  </si>
  <si>
    <t>AFI 2016 Reajustado 3,0%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</si>
  <si>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</si>
  <si>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</si>
  <si>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</si>
  <si>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</si>
  <si>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</si>
  <si>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</si>
  <si>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</si>
  <si>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</si>
  <si>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</si>
  <si>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</si>
  <si>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</si>
  <si>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</si>
  <si>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</si>
  <si>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</si>
  <si>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</si>
  <si>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Monto Acreditaciones</t>
  </si>
  <si>
    <t>Monto Académicos JC Doctorado</t>
  </si>
  <si>
    <t>PONTIFICIA UNIVERSIDAD CATOLICA DE CHILE</t>
  </si>
  <si>
    <t>UNIVERSIDAD DE CONCEPCION</t>
  </si>
  <si>
    <t>PONTIFICIA UNIVERSIDAD CATOLICA DE VALPARAISO</t>
  </si>
  <si>
    <t>UNIVERSIDAD CATOLICA DEL NORTE</t>
  </si>
  <si>
    <t>UNIVERSIDAD TECNICA FEDERICO SANTA MARIA</t>
  </si>
  <si>
    <t>UNIVERSIDAD CATOLICA DE TEMUCO</t>
  </si>
  <si>
    <t>UNIVERSIDAD CATOLICA DE LA SANTISIMA CONCEPCION</t>
  </si>
  <si>
    <t>UNIVERSIDAD CATOLICA DEL MAULE</t>
  </si>
  <si>
    <t>Monto Matrícula Regula Pregrado</t>
  </si>
  <si>
    <t>Monto Académicos JC</t>
  </si>
  <si>
    <t>Monto Programas Doct. Acreditados</t>
  </si>
  <si>
    <t>Total</t>
  </si>
  <si>
    <t>Total Complejidad Institucional</t>
  </si>
  <si>
    <t>Detalle del cálculo</t>
  </si>
  <si>
    <t>Código DFI</t>
  </si>
  <si>
    <t>Doctorado Conjunto Años Acreditación</t>
  </si>
  <si>
    <t>Total individual</t>
  </si>
  <si>
    <t>Total General</t>
  </si>
  <si>
    <t>TOTAL MAT PhD 2013</t>
  </si>
  <si>
    <t>Categoría I</t>
  </si>
  <si>
    <t>Categoría II</t>
  </si>
  <si>
    <t>Transferencias Corrientes</t>
  </si>
  <si>
    <t>Transferencias de Capital</t>
  </si>
  <si>
    <t>Complejidad Institucional BD 30%</t>
  </si>
  <si>
    <t>Doctorado Individual Años Acreditación</t>
  </si>
  <si>
    <t>a) ELEMENTO MIXTO</t>
  </si>
  <si>
    <t>b) Total Elemento Desempeño</t>
  </si>
  <si>
    <t>1. AFI 2016</t>
  </si>
  <si>
    <t>3. Complejidad Institucional</t>
  </si>
  <si>
    <t>a) Elemento Mixto</t>
  </si>
  <si>
    <t>b) Elemento Desempeño</t>
  </si>
  <si>
    <t>1. AFI 2016 Reajustado</t>
  </si>
  <si>
    <t>TOTAL MAT PhD 2014</t>
  </si>
  <si>
    <t>Solicitud_ pat_nac_2018</t>
  </si>
  <si>
    <t>4. U. Tutoras CFT Estatales</t>
  </si>
  <si>
    <t>N° Scopus 2019</t>
  </si>
  <si>
    <t>Acreditación Investigación 2020</t>
  </si>
  <si>
    <t>Acreditación Todas las Áreas 2020</t>
  </si>
  <si>
    <t>Años Acreditación Institucional 2020</t>
  </si>
  <si>
    <t>N° Doc JC 2020</t>
  </si>
  <si>
    <t>N° Publicaciones 2019</t>
  </si>
  <si>
    <t>N° Acad. JC 2020</t>
  </si>
  <si>
    <t>N° Matrícula Regular Pregrado 2020</t>
  </si>
  <si>
    <t>N° Doctorados Acreditados 2020</t>
  </si>
  <si>
    <t>JC_2019</t>
  </si>
  <si>
    <t>MAT_2019</t>
  </si>
  <si>
    <t>JCE Doctor 2019</t>
  </si>
  <si>
    <t>JCE 2019</t>
  </si>
  <si>
    <t>JCE Magister 2019</t>
  </si>
  <si>
    <t>JCE Esp. Med._Odont. 2019</t>
  </si>
  <si>
    <t>Q1_Q2_Q3_MAT_1año_2019</t>
  </si>
  <si>
    <t>MAT_1año_2019(g)</t>
  </si>
  <si>
    <t>MAT_2018_Ret_1er_enMAT_2019</t>
  </si>
  <si>
    <t>MAT_2016_Ret_4to_enMAT_2019</t>
  </si>
  <si>
    <t>MAT_1año_2016(i)</t>
  </si>
  <si>
    <t>Grad_PhD_2015 al_2019</t>
  </si>
  <si>
    <t>TOTAL MAT PhD 2015</t>
  </si>
  <si>
    <t>Solicitud_ pat_nac_2019</t>
  </si>
  <si>
    <t>Publicaciones  (citables)
2019</t>
  </si>
  <si>
    <t>Citas 2015_2019</t>
  </si>
  <si>
    <t>Publicaciones 2015-2019 (citables)</t>
  </si>
  <si>
    <t>Total Asignación BD 2021
M$
Sin decimales</t>
  </si>
  <si>
    <t>2. Complejidad Institucional</t>
  </si>
  <si>
    <t>3. U. Tutoras CFT Estatales</t>
  </si>
  <si>
    <t>b) (N° JCE Doc 2019/JCE 2019)</t>
  </si>
  <si>
    <t>c) ((N° JCE Doc 2019+N° JCE Mg 2019+N° JCE Esp Med 2019)/JCE 2019)</t>
  </si>
  <si>
    <t>d) N° Public. Scopus 2019/JCE 2019</t>
  </si>
  <si>
    <t>e) N° Public. Scopus 2019/N° JCE Doc 2019</t>
  </si>
  <si>
    <t>f) (N° Citas 2015-2019)/(N° Public. Scopus 2015-2019)</t>
  </si>
  <si>
    <t>g) (N° Est 1er año Q1, Q2, Q3 2019/Mat 1er nivel 2019)</t>
  </si>
  <si>
    <t>h) (Mat 1er nivel 2018 Retenida 2019/Mat 1er nivel 2018)</t>
  </si>
  <si>
    <t>i) (Mat Ret 4° Año 2019/Mat 1er año 2016)</t>
  </si>
  <si>
    <t>j) Mat Graduados 2019 Doctorados/Mat 1er año 2015 Doctorados</t>
  </si>
  <si>
    <t>k) (N° Patentes solicitadas PCT 2018 +2019)*1000/(JCE 2019))</t>
  </si>
  <si>
    <t>a) (N° Ac. JC 2019/Mat Total 2019)*100</t>
  </si>
  <si>
    <t>Reglamento año 2021</t>
  </si>
  <si>
    <t>MAT_2018 primer año</t>
  </si>
  <si>
    <t>CÁLCULO BASAL POR DESEMPEÑO 2021, Santiago, mayo 2021</t>
  </si>
  <si>
    <t>Indicadores y Montos por IES, BD, Santiago, mayo 2021</t>
  </si>
  <si>
    <t>Total Asignación 2021
 M$</t>
  </si>
  <si>
    <t>Miles de pesos</t>
  </si>
  <si>
    <t>Distribución Recursos Basal por Desempeño 2021</t>
  </si>
  <si>
    <t>Anticipo Basal por Desempeño</t>
  </si>
  <si>
    <t>Miles de Pesos</t>
  </si>
  <si>
    <t>Unidad de Análisis e Información, DFI, SUBESUP</t>
  </si>
  <si>
    <t>Santiago, 15 de enero 2021</t>
  </si>
  <si>
    <t>DEC 31-2020 Distribuye anticipo BD</t>
  </si>
  <si>
    <t>DEC 139-2020 Distribuye saldo BD</t>
  </si>
  <si>
    <t>BD 2020</t>
  </si>
  <si>
    <t>Anticipo BD 2021</t>
  </si>
  <si>
    <t>Anticipo BD 
2020
M$</t>
  </si>
  <si>
    <t>Saldo BD
2020
M$</t>
  </si>
  <si>
    <t xml:space="preserve">Total Asignación BD
M$ </t>
  </si>
  <si>
    <t>% IES</t>
  </si>
  <si>
    <t>Monto M$ Anticipo 2021</t>
  </si>
  <si>
    <t>Monto Anticipo 2021 (sin decimales)
M$</t>
  </si>
  <si>
    <t xml:space="preserve">Montos Anticipo 2021 
Transferencias Corrientes
M$ </t>
  </si>
  <si>
    <t xml:space="preserve">Montos Anticipo 2021 
Transferencias de Capital
M$ </t>
  </si>
  <si>
    <t>Monto M$ Ley de Presupuestos 2021</t>
  </si>
  <si>
    <t>1er semestre</t>
  </si>
  <si>
    <t>Saldo</t>
  </si>
  <si>
    <t>Recursos Totales Basal por Desempeño</t>
  </si>
  <si>
    <t>Monto anticipo 40% BD</t>
  </si>
  <si>
    <t>Saldo BD 2021</t>
  </si>
  <si>
    <t>TOTAL</t>
  </si>
  <si>
    <t>BASAL POR DESEMPEÑO</t>
  </si>
  <si>
    <t xml:space="preserve">Montos Saldo 2021 
Transferencias Corrientes
M$ </t>
  </si>
  <si>
    <t xml:space="preserve">Montos Saldo 2021 
Transferencias de Capital
M$ </t>
  </si>
  <si>
    <t>Monto Anticipo 2021 
M$</t>
  </si>
  <si>
    <t>Monto Saldo 2021 
M$</t>
  </si>
  <si>
    <t>Santiago, mayo de 2020</t>
  </si>
  <si>
    <t>Presupuesto 2021</t>
  </si>
  <si>
    <t>07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</si>
</sst>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0"/>
    <numFmt numFmtId="168" formatCode="_-* #,##0.0000_-;\-* #,##0.0000_-;_-* &quot;-&quot;??_-;_-@_-"/>
    <numFmt numFmtId="169" formatCode="_-* #,##0.0000_-;\-* #,##0.0000_-;_-* &quot;-&quot;????_-;_-@_-"/>
    <numFmt numFmtId="170" formatCode="_-* #,##0.00\ _€_-;\-* #,##0.00\ _€_-;_-* &quot;-&quot;??\ _€_-;_-@_-"/>
    <numFmt numFmtId="171" formatCode="_-* #,##0.000_-;\-* #,##0.000_-;_-* &quot;-&quot;??_-;_-@_-"/>
    <numFmt numFmtId="172" formatCode="_-* #,##0.0_-;\-* #,##0.0_-;_-* &quot;-&quot;??_-;_-@_-"/>
    <numFmt numFmtId="173" formatCode="#,##0.0"/>
    <numFmt numFmtId="174" formatCode="_ * #,##0.0_ ;_ * \-#,##0.0_ ;_ * &quot;-&quot;?_ ;_ @_ "/>
    <numFmt numFmtId="175" formatCode="0.00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2" fillId="6" borderId="0" xfId="0" applyNumberFormat="1" applyFont="1" applyFill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0" fontId="2" fillId="6" borderId="0" xfId="4" applyNumberFormat="1" applyFont="1" applyFill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9" borderId="3" xfId="0" applyFont="1" applyFill="1" applyBorder="1"/>
    <xf numFmtId="0" fontId="1" fillId="9" borderId="0" xfId="0" applyFont="1" applyFill="1"/>
    <xf numFmtId="0" fontId="2" fillId="9" borderId="0" xfId="0" applyFont="1" applyFill="1"/>
    <xf numFmtId="0" fontId="2" fillId="2" borderId="0" xfId="0" applyFont="1" applyFill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165" fontId="2" fillId="11" borderId="0" xfId="0" applyNumberFormat="1" applyFont="1" applyFill="1" applyAlignment="1">
      <alignment horizontal="center" wrapText="1"/>
    </xf>
    <xf numFmtId="165" fontId="2" fillId="11" borderId="5" xfId="0" applyNumberFormat="1" applyFont="1" applyFill="1" applyBorder="1" applyAlignment="1">
      <alignment horizontal="center" wrapText="1"/>
    </xf>
    <xf numFmtId="165" fontId="2" fillId="12" borderId="0" xfId="0" applyNumberFormat="1" applyFont="1" applyFill="1" applyAlignment="1">
      <alignment horizontal="center" wrapText="1"/>
    </xf>
    <xf numFmtId="166" fontId="2" fillId="12" borderId="0" xfId="3" applyNumberFormat="1" applyFont="1" applyFill="1" applyAlignment="1">
      <alignment horizont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167" fontId="2" fillId="12" borderId="0" xfId="0" applyNumberFormat="1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1" fontId="0" fillId="0" borderId="0" xfId="0" applyNumberFormat="1" applyFill="1"/>
    <xf numFmtId="165" fontId="0" fillId="0" borderId="0" xfId="0" applyNumberFormat="1"/>
    <xf numFmtId="0" fontId="6" fillId="0" borderId="0" xfId="0" applyFont="1" applyFill="1" applyBorder="1" applyAlignment="1">
      <alignment horizontal="center"/>
    </xf>
    <xf numFmtId="166" fontId="6" fillId="0" borderId="0" xfId="3" applyNumberFormat="1" applyFont="1" applyFill="1" applyBorder="1"/>
    <xf numFmtId="166" fontId="1" fillId="7" borderId="1" xfId="3" applyNumberFormat="1" applyFont="1" applyFill="1" applyBorder="1"/>
    <xf numFmtId="0" fontId="1" fillId="0" borderId="1" xfId="0" applyFont="1" applyFill="1" applyBorder="1"/>
    <xf numFmtId="166" fontId="1" fillId="0" borderId="1" xfId="3" applyNumberFormat="1" applyFont="1" applyFill="1" applyBorder="1"/>
    <xf numFmtId="166" fontId="2" fillId="15" borderId="1" xfId="3" applyNumberFormat="1" applyFont="1" applyFill="1" applyBorder="1" applyAlignment="1">
      <alignment horizontal="center"/>
    </xf>
    <xf numFmtId="0" fontId="1" fillId="11" borderId="0" xfId="0" applyFont="1" applyFill="1"/>
    <xf numFmtId="0" fontId="2" fillId="11" borderId="0" xfId="0" applyFont="1" applyFill="1"/>
    <xf numFmtId="168" fontId="0" fillId="0" borderId="0" xfId="0" applyNumberFormat="1"/>
    <xf numFmtId="169" fontId="0" fillId="0" borderId="0" xfId="0" applyNumberFormat="1"/>
    <xf numFmtId="0" fontId="1" fillId="0" borderId="1" xfId="0" applyFont="1" applyBorder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0" fontId="1" fillId="7" borderId="1" xfId="4" applyNumberFormat="1" applyFont="1" applyFill="1" applyBorder="1"/>
    <xf numFmtId="166" fontId="1" fillId="7" borderId="1" xfId="0" applyNumberFormat="1" applyFont="1" applyFill="1" applyBorder="1"/>
    <xf numFmtId="166" fontId="7" fillId="7" borderId="1" xfId="3" applyNumberFormat="1" applyFont="1" applyFill="1" applyBorder="1"/>
    <xf numFmtId="166" fontId="7" fillId="0" borderId="1" xfId="0" applyNumberFormat="1" applyFont="1" applyBorder="1"/>
    <xf numFmtId="166" fontId="7" fillId="5" borderId="1" xfId="3" applyNumberFormat="1" applyFont="1" applyFill="1" applyBorder="1"/>
    <xf numFmtId="10" fontId="7" fillId="5" borderId="2" xfId="4" applyNumberFormat="1" applyFont="1" applyFill="1" applyBorder="1"/>
    <xf numFmtId="166" fontId="7" fillId="5" borderId="1" xfId="4" applyNumberFormat="1" applyFont="1" applyFill="1" applyBorder="1"/>
    <xf numFmtId="0" fontId="1" fillId="0" borderId="2" xfId="0" applyFont="1" applyBorder="1"/>
    <xf numFmtId="0" fontId="7" fillId="5" borderId="1" xfId="0" applyFont="1" applyFill="1" applyBorder="1"/>
    <xf numFmtId="10" fontId="7" fillId="5" borderId="1" xfId="4" applyNumberFormat="1" applyFont="1" applyFill="1" applyBorder="1"/>
    <xf numFmtId="164" fontId="1" fillId="0" borderId="0" xfId="3" applyNumberFormat="1" applyFont="1"/>
    <xf numFmtId="164" fontId="6" fillId="0" borderId="0" xfId="3" applyNumberFormat="1" applyFont="1"/>
    <xf numFmtId="166" fontId="2" fillId="12" borderId="1" xfId="3" applyNumberFormat="1" applyFont="1" applyFill="1" applyBorder="1" applyAlignment="1">
      <alignment horizontal="center" wrapText="1"/>
    </xf>
    <xf numFmtId="166" fontId="0" fillId="0" borderId="0" xfId="0" applyNumberFormat="1"/>
    <xf numFmtId="172" fontId="1" fillId="0" borderId="0" xfId="3" applyNumberFormat="1" applyFont="1"/>
    <xf numFmtId="172" fontId="2" fillId="12" borderId="0" xfId="3" applyNumberFormat="1" applyFont="1" applyFill="1" applyAlignment="1">
      <alignment horizontal="center" wrapText="1"/>
    </xf>
    <xf numFmtId="164" fontId="2" fillId="12" borderId="0" xfId="3" applyNumberFormat="1" applyFont="1" applyFill="1" applyAlignment="1">
      <alignment horizontal="center" wrapText="1"/>
    </xf>
    <xf numFmtId="164" fontId="2" fillId="12" borderId="1" xfId="3" applyNumberFormat="1" applyFont="1" applyFill="1" applyBorder="1" applyAlignment="1">
      <alignment horizontal="center" wrapText="1"/>
    </xf>
    <xf numFmtId="172" fontId="2" fillId="12" borderId="1" xfId="3" applyNumberFormat="1" applyFont="1" applyFill="1" applyBorder="1" applyAlignment="1">
      <alignment horizontal="center" wrapText="1"/>
    </xf>
    <xf numFmtId="0" fontId="8" fillId="0" borderId="0" xfId="0" applyFont="1"/>
    <xf numFmtId="0" fontId="2" fillId="0" borderId="1" xfId="0" applyFont="1" applyBorder="1"/>
    <xf numFmtId="0" fontId="2" fillId="0" borderId="7" xfId="0" applyFont="1" applyBorder="1"/>
    <xf numFmtId="166" fontId="6" fillId="7" borderId="9" xfId="3" applyNumberFormat="1" applyFont="1" applyFill="1" applyBorder="1"/>
    <xf numFmtId="166" fontId="6" fillId="3" borderId="9" xfId="3" applyNumberFormat="1" applyFont="1" applyFill="1" applyBorder="1"/>
    <xf numFmtId="0" fontId="9" fillId="0" borderId="0" xfId="0" applyFont="1" applyAlignment="1">
      <alignment horizontal="center"/>
    </xf>
    <xf numFmtId="166" fontId="1" fillId="3" borderId="1" xfId="3" applyNumberFormat="1" applyFont="1" applyFill="1" applyBorder="1"/>
    <xf numFmtId="0" fontId="1" fillId="0" borderId="14" xfId="0" applyFont="1" applyBorder="1"/>
    <xf numFmtId="0" fontId="1" fillId="0" borderId="17" xfId="0" applyFont="1" applyBorder="1"/>
    <xf numFmtId="0" fontId="2" fillId="0" borderId="6" xfId="0" applyFont="1" applyBorder="1"/>
    <xf numFmtId="166" fontId="1" fillId="7" borderId="6" xfId="3" applyNumberFormat="1" applyFont="1" applyFill="1" applyBorder="1"/>
    <xf numFmtId="166" fontId="1" fillId="3" borderId="6" xfId="3" applyNumberFormat="1" applyFont="1" applyFill="1" applyBorder="1"/>
    <xf numFmtId="0" fontId="6" fillId="7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166" fontId="1" fillId="7" borderId="7" xfId="3" applyNumberFormat="1" applyFont="1" applyFill="1" applyBorder="1"/>
    <xf numFmtId="166" fontId="1" fillId="3" borderId="7" xfId="3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1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9" fontId="2" fillId="12" borderId="1" xfId="4" applyFont="1" applyFill="1" applyBorder="1" applyAlignment="1">
      <alignment horizontal="center" wrapText="1"/>
    </xf>
    <xf numFmtId="172" fontId="6" fillId="7" borderId="6" xfId="3" applyNumberFormat="1" applyFont="1" applyFill="1" applyBorder="1"/>
    <xf numFmtId="172" fontId="6" fillId="7" borderId="1" xfId="3" applyNumberFormat="1" applyFont="1" applyFill="1" applyBorder="1"/>
    <xf numFmtId="172" fontId="6" fillId="7" borderId="7" xfId="3" applyNumberFormat="1" applyFont="1" applyFill="1" applyBorder="1"/>
    <xf numFmtId="172" fontId="6" fillId="10" borderId="6" xfId="3" applyNumberFormat="1" applyFont="1" applyFill="1" applyBorder="1"/>
    <xf numFmtId="172" fontId="6" fillId="10" borderId="1" xfId="3" applyNumberFormat="1" applyFont="1" applyFill="1" applyBorder="1"/>
    <xf numFmtId="172" fontId="6" fillId="10" borderId="7" xfId="3" applyNumberFormat="1" applyFont="1" applyFill="1" applyBorder="1"/>
    <xf numFmtId="172" fontId="6" fillId="10" borderId="9" xfId="3" applyNumberFormat="1" applyFont="1" applyFill="1" applyBorder="1"/>
    <xf numFmtId="172" fontId="6" fillId="8" borderId="6" xfId="3" applyNumberFormat="1" applyFont="1" applyFill="1" applyBorder="1"/>
    <xf numFmtId="172" fontId="6" fillId="8" borderId="9" xfId="3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6" fillId="4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3" borderId="1" xfId="0" applyFont="1" applyFill="1" applyBorder="1"/>
    <xf numFmtId="0" fontId="1" fillId="7" borderId="1" xfId="0" applyFont="1" applyFill="1" applyBorder="1"/>
    <xf numFmtId="0" fontId="6" fillId="7" borderId="1" xfId="0" applyFont="1" applyFill="1" applyBorder="1"/>
    <xf numFmtId="41" fontId="6" fillId="7" borderId="1" xfId="8" applyFont="1" applyFill="1" applyBorder="1"/>
    <xf numFmtId="0" fontId="4" fillId="16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wrapText="1"/>
    </xf>
    <xf numFmtId="0" fontId="4" fillId="16" borderId="1" xfId="1" applyNumberFormat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left" vertical="top" wrapText="1"/>
    </xf>
    <xf numFmtId="0" fontId="4" fillId="16" borderId="1" xfId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16" borderId="1" xfId="0" applyFont="1" applyFill="1" applyBorder="1" applyAlignment="1">
      <alignment horizontal="left" vertical="top" wrapText="1"/>
    </xf>
    <xf numFmtId="0" fontId="4" fillId="16" borderId="1" xfId="1" applyFont="1" applyFill="1" applyBorder="1" applyAlignment="1">
      <alignment horizontal="center" vertical="top" wrapText="1"/>
    </xf>
    <xf numFmtId="0" fontId="7" fillId="0" borderId="1" xfId="0" applyFont="1" applyFill="1" applyBorder="1"/>
    <xf numFmtId="10" fontId="7" fillId="0" borderId="1" xfId="4" applyNumberFormat="1" applyFont="1" applyFill="1" applyBorder="1"/>
    <xf numFmtId="166" fontId="7" fillId="0" borderId="1" xfId="3" applyNumberFormat="1" applyFont="1" applyFill="1" applyBorder="1"/>
    <xf numFmtId="172" fontId="6" fillId="17" borderId="6" xfId="3" applyNumberFormat="1" applyFont="1" applyFill="1" applyBorder="1"/>
    <xf numFmtId="172" fontId="6" fillId="17" borderId="26" xfId="3" applyNumberFormat="1" applyFont="1" applyFill="1" applyBorder="1"/>
    <xf numFmtId="166" fontId="6" fillId="17" borderId="9" xfId="3" applyNumberFormat="1" applyFont="1" applyFill="1" applyBorder="1"/>
    <xf numFmtId="0" fontId="6" fillId="17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Fill="1"/>
    <xf numFmtId="173" fontId="6" fillId="0" borderId="1" xfId="0" applyNumberFormat="1" applyFont="1" applyBorder="1"/>
    <xf numFmtId="166" fontId="10" fillId="3" borderId="6" xfId="3" applyNumberFormat="1" applyFont="1" applyFill="1" applyBorder="1"/>
    <xf numFmtId="172" fontId="2" fillId="15" borderId="1" xfId="3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2" fillId="18" borderId="1" xfId="3" applyNumberFormat="1" applyFont="1" applyFill="1" applyBorder="1" applyAlignment="1">
      <alignment horizontal="center"/>
    </xf>
    <xf numFmtId="172" fontId="2" fillId="18" borderId="1" xfId="3" applyNumberFormat="1" applyFont="1" applyFill="1" applyBorder="1" applyAlignment="1">
      <alignment horizontal="center"/>
    </xf>
    <xf numFmtId="166" fontId="2" fillId="18" borderId="1" xfId="3" applyNumberFormat="1" applyFont="1" applyFill="1" applyBorder="1" applyAlignment="1">
      <alignment horizontal="center" vertical="center"/>
    </xf>
    <xf numFmtId="166" fontId="2" fillId="18" borderId="1" xfId="3" applyNumberFormat="1" applyFont="1" applyFill="1" applyBorder="1"/>
    <xf numFmtId="0" fontId="12" fillId="0" borderId="0" xfId="0" applyFont="1" applyAlignment="1">
      <alignment horizontal="center"/>
    </xf>
    <xf numFmtId="166" fontId="1" fillId="18" borderId="1" xfId="3" applyNumberFormat="1" applyFont="1" applyFill="1" applyBorder="1"/>
    <xf numFmtId="0" fontId="7" fillId="18" borderId="1" xfId="0" applyFont="1" applyFill="1" applyBorder="1"/>
    <xf numFmtId="166" fontId="7" fillId="18" borderId="1" xfId="3" applyNumberFormat="1" applyFont="1" applyFill="1" applyBorder="1"/>
    <xf numFmtId="166" fontId="0" fillId="0" borderId="0" xfId="0" applyNumberFormat="1" applyFill="1"/>
    <xf numFmtId="0" fontId="13" fillId="0" borderId="0" xfId="0" applyFont="1"/>
    <xf numFmtId="9" fontId="13" fillId="0" borderId="0" xfId="0" applyNumberFormat="1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172" fontId="1" fillId="0" borderId="1" xfId="3" applyNumberFormat="1" applyFont="1" applyBorder="1"/>
    <xf numFmtId="172" fontId="6" fillId="0" borderId="1" xfId="3" applyNumberFormat="1" applyFont="1" applyFill="1" applyBorder="1"/>
    <xf numFmtId="10" fontId="6" fillId="0" borderId="1" xfId="4" applyNumberFormat="1" applyFont="1" applyFill="1" applyBorder="1" applyAlignment="1">
      <alignment horizontal="center" wrapText="1"/>
    </xf>
    <xf numFmtId="3" fontId="6" fillId="19" borderId="1" xfId="3" applyNumberFormat="1" applyFont="1" applyFill="1" applyBorder="1"/>
    <xf numFmtId="3" fontId="1" fillId="0" borderId="1" xfId="3" applyNumberFormat="1" applyFont="1" applyFill="1" applyBorder="1"/>
    <xf numFmtId="0" fontId="1" fillId="7" borderId="1" xfId="0" applyFont="1" applyFill="1" applyBorder="1" applyAlignment="1">
      <alignment horizontal="center"/>
    </xf>
    <xf numFmtId="174" fontId="0" fillId="0" borderId="0" xfId="0" applyNumberFormat="1"/>
    <xf numFmtId="172" fontId="6" fillId="0" borderId="1" xfId="0" applyNumberFormat="1" applyFont="1" applyBorder="1" applyAlignment="1">
      <alignment horizontal="left"/>
    </xf>
    <xf numFmtId="9" fontId="6" fillId="0" borderId="1" xfId="4" applyFont="1" applyFill="1" applyBorder="1" applyAlignment="1">
      <alignment horizontal="center"/>
    </xf>
    <xf numFmtId="3" fontId="6" fillId="19" borderId="1" xfId="0" applyNumberFormat="1" applyFont="1" applyFill="1" applyBorder="1"/>
    <xf numFmtId="3" fontId="0" fillId="0" borderId="1" xfId="0" applyNumberFormat="1" applyBorder="1"/>
    <xf numFmtId="0" fontId="0" fillId="7" borderId="1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10" fontId="0" fillId="0" borderId="0" xfId="4" applyNumberFormat="1" applyFont="1"/>
    <xf numFmtId="172" fontId="0" fillId="0" borderId="1" xfId="0" applyNumberFormat="1" applyBorder="1"/>
    <xf numFmtId="174" fontId="0" fillId="0" borderId="1" xfId="0" applyNumberFormat="1" applyBorder="1"/>
    <xf numFmtId="0" fontId="15" fillId="0" borderId="1" xfId="0" applyFont="1" applyBorder="1"/>
    <xf numFmtId="166" fontId="15" fillId="0" borderId="1" xfId="3" applyNumberFormat="1" applyFont="1" applyBorder="1"/>
    <xf numFmtId="0" fontId="15" fillId="19" borderId="1" xfId="0" applyFont="1" applyFill="1" applyBorder="1"/>
    <xf numFmtId="166" fontId="15" fillId="19" borderId="1" xfId="3" applyNumberFormat="1" applyFont="1" applyFill="1" applyBorder="1"/>
    <xf numFmtId="173" fontId="6" fillId="19" borderId="1" xfId="3" applyNumberFormat="1" applyFont="1" applyFill="1" applyBorder="1"/>
    <xf numFmtId="3" fontId="1" fillId="7" borderId="1" xfId="3" applyNumberFormat="1" applyFont="1" applyFill="1" applyBorder="1"/>
    <xf numFmtId="173" fontId="7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" fillId="18" borderId="1" xfId="0" applyFont="1" applyFill="1" applyBorder="1"/>
    <xf numFmtId="41" fontId="1" fillId="18" borderId="1" xfId="8" applyFont="1" applyFill="1" applyBorder="1"/>
    <xf numFmtId="172" fontId="17" fillId="12" borderId="0" xfId="3" applyNumberFormat="1" applyFont="1" applyFill="1" applyAlignment="1">
      <alignment horizontal="center" wrapText="1"/>
    </xf>
    <xf numFmtId="166" fontId="17" fillId="12" borderId="0" xfId="3" applyNumberFormat="1" applyFont="1" applyFill="1" applyAlignment="1">
      <alignment horizontal="center" wrapText="1"/>
    </xf>
    <xf numFmtId="172" fontId="1" fillId="0" borderId="6" xfId="3" applyNumberFormat="1" applyFont="1" applyBorder="1"/>
    <xf numFmtId="171" fontId="5" fillId="0" borderId="14" xfId="0" applyNumberFormat="1" applyFont="1" applyBorder="1"/>
    <xf numFmtId="172" fontId="6" fillId="20" borderId="6" xfId="3" applyNumberFormat="1" applyFont="1" applyFill="1" applyBorder="1"/>
    <xf numFmtId="10" fontId="6" fillId="20" borderId="18" xfId="4" applyNumberFormat="1" applyFont="1" applyFill="1" applyBorder="1" applyAlignment="1">
      <alignment horizontal="center" wrapText="1"/>
    </xf>
    <xf numFmtId="172" fontId="6" fillId="20" borderId="9" xfId="3" applyNumberFormat="1" applyFont="1" applyFill="1" applyBorder="1"/>
    <xf numFmtId="9" fontId="6" fillId="20" borderId="10" xfId="4" applyFont="1" applyFill="1" applyBorder="1" applyAlignment="1">
      <alignment horizontal="center"/>
    </xf>
    <xf numFmtId="3" fontId="0" fillId="0" borderId="0" xfId="0" applyNumberFormat="1"/>
    <xf numFmtId="0" fontId="18" fillId="0" borderId="0" xfId="0" applyFont="1"/>
    <xf numFmtId="3" fontId="18" fillId="0" borderId="0" xfId="0" applyNumberFormat="1" applyFont="1"/>
    <xf numFmtId="175" fontId="18" fillId="0" borderId="0" xfId="4" applyNumberFormat="1" applyFont="1"/>
    <xf numFmtId="4" fontId="0" fillId="0" borderId="0" xfId="0" applyNumberFormat="1"/>
    <xf numFmtId="3" fontId="1" fillId="22" borderId="15" xfId="0" applyNumberFormat="1" applyFont="1" applyFill="1" applyBorder="1"/>
    <xf numFmtId="0" fontId="6" fillId="21" borderId="2" xfId="0" applyFont="1" applyFill="1" applyBorder="1" applyAlignment="1">
      <alignment horizontal="center" vertical="center" wrapText="1"/>
    </xf>
    <xf numFmtId="173" fontId="6" fillId="21" borderId="2" xfId="0" applyNumberFormat="1" applyFont="1" applyFill="1" applyBorder="1"/>
    <xf numFmtId="0" fontId="6" fillId="22" borderId="11" xfId="0" applyFont="1" applyFill="1" applyBorder="1" applyAlignment="1">
      <alignment horizontal="center" vertical="center" wrapText="1"/>
    </xf>
    <xf numFmtId="0" fontId="6" fillId="22" borderId="13" xfId="0" applyFont="1" applyFill="1" applyBorder="1" applyAlignment="1">
      <alignment horizontal="center" vertical="center" wrapText="1"/>
    </xf>
    <xf numFmtId="3" fontId="1" fillId="22" borderId="14" xfId="0" applyNumberFormat="1" applyFont="1" applyFill="1" applyBorder="1"/>
    <xf numFmtId="171" fontId="5" fillId="0" borderId="21" xfId="0" applyNumberFormat="1" applyFont="1" applyBorder="1"/>
    <xf numFmtId="173" fontId="6" fillId="19" borderId="7" xfId="3" applyNumberFormat="1" applyFont="1" applyFill="1" applyBorder="1"/>
    <xf numFmtId="3" fontId="1" fillId="7" borderId="7" xfId="3" applyNumberFormat="1" applyFont="1" applyFill="1" applyBorder="1"/>
    <xf numFmtId="173" fontId="6" fillId="21" borderId="31" xfId="0" applyNumberFormat="1" applyFont="1" applyFill="1" applyBorder="1"/>
    <xf numFmtId="3" fontId="1" fillId="22" borderId="21" xfId="0" applyNumberFormat="1" applyFont="1" applyFill="1" applyBorder="1"/>
    <xf numFmtId="3" fontId="1" fillId="22" borderId="32" xfId="0" applyNumberFormat="1" applyFont="1" applyFill="1" applyBorder="1"/>
    <xf numFmtId="171" fontId="5" fillId="0" borderId="8" xfId="0" applyNumberFormat="1" applyFont="1" applyBorder="1"/>
    <xf numFmtId="173" fontId="6" fillId="19" borderId="9" xfId="0" applyNumberFormat="1" applyFont="1" applyFill="1" applyBorder="1"/>
    <xf numFmtId="3" fontId="1" fillId="7" borderId="9" xfId="0" applyNumberFormat="1" applyFont="1" applyFill="1" applyBorder="1"/>
    <xf numFmtId="173" fontId="6" fillId="21" borderId="33" xfId="0" applyNumberFormat="1" applyFont="1" applyFill="1" applyBorder="1"/>
    <xf numFmtId="3" fontId="1" fillId="22" borderId="8" xfId="0" applyNumberFormat="1" applyFont="1" applyFill="1" applyBorder="1"/>
    <xf numFmtId="3" fontId="1" fillId="22" borderId="10" xfId="0" applyNumberFormat="1" applyFont="1" applyFill="1" applyBorder="1"/>
    <xf numFmtId="0" fontId="6" fillId="10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16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20" borderId="25" xfId="0" applyFont="1" applyFill="1" applyBorder="1" applyAlignment="1">
      <alignment horizontal="center" vertical="center" wrapText="1"/>
    </xf>
    <xf numFmtId="0" fontId="6" fillId="20" borderId="26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20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 vertical="center" wrapText="1"/>
    </xf>
    <xf numFmtId="0" fontId="14" fillId="19" borderId="23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4" fillId="21" borderId="3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7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19" fillId="0" borderId="0" xfId="0" applyFont="1"/>
  </cellXfs>
  <cellStyles count="9">
    <cellStyle name="Millares" xfId="3" builtinId="3"/>
    <cellStyle name="Millares [0]" xfId="8" builtinId="6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FFFF99"/>
      <color rgb="FFE9F5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1016489</xdr:colOff>
      <xdr:row>0</xdr:row>
      <xdr:rowOff>1058129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EEA93015-CCDE-4971-A9EB-90ECA72E62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3314" cy="10549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158746</xdr:colOff>
      <xdr:row>0</xdr:row>
      <xdr:rowOff>169333</xdr:rowOff>
    </xdr:from>
    <xdr:to>
      <xdr:col>25</xdr:col>
      <xdr:colOff>647794</xdr:colOff>
      <xdr:row>0</xdr:row>
      <xdr:rowOff>592068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35D680-06BD-4383-9028-62E1747B4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17663" y="169333"/>
          <a:ext cx="1430964" cy="422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1016489</xdr:colOff>
      <xdr:row>0</xdr:row>
      <xdr:rowOff>1058129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F1119D78-93E7-44CE-A60D-B9120B6DF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489" cy="10581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480218</xdr:colOff>
      <xdr:row>0</xdr:row>
      <xdr:rowOff>138642</xdr:rowOff>
    </xdr:from>
    <xdr:to>
      <xdr:col>11</xdr:col>
      <xdr:colOff>215998</xdr:colOff>
      <xdr:row>0</xdr:row>
      <xdr:rowOff>561377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8FAB01-971E-42F3-A78F-1B7183CE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4868" y="138642"/>
          <a:ext cx="1431230" cy="42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"/>
  <sheetViews>
    <sheetView tabSelected="1" zoomScale="90" zoomScaleNormal="90" workbookViewId="0">
      <selection activeCell="D3" sqref="D3"/>
    </sheetView>
  </sheetViews>
  <sheetFormatPr baseColWidth="10" defaultRowHeight="15" x14ac:dyDescent="0.25"/>
  <cols>
    <col min="1" max="1" width="48" customWidth="1"/>
    <col min="2" max="2" width="12.140625" customWidth="1"/>
    <col min="3" max="3" width="14.42578125" bestFit="1" customWidth="1"/>
    <col min="4" max="4" width="11" bestFit="1" customWidth="1"/>
    <col min="5" max="5" width="13.85546875" customWidth="1"/>
    <col min="6" max="6" width="14.42578125" customWidth="1"/>
    <col min="7" max="8" width="14.85546875" customWidth="1"/>
    <col min="9" max="10" width="13.5703125" customWidth="1"/>
    <col min="11" max="14" width="10.7109375" customWidth="1"/>
    <col min="15" max="15" width="12.5703125" customWidth="1"/>
    <col min="16" max="16" width="14.5703125" customWidth="1"/>
    <col min="17" max="17" width="12.140625" customWidth="1"/>
    <col min="18" max="18" width="13.42578125" customWidth="1"/>
    <col min="19" max="19" width="15.28515625" customWidth="1"/>
    <col min="20" max="20" width="8" bestFit="1" customWidth="1"/>
    <col min="21" max="21" width="11.140625" customWidth="1"/>
    <col min="22" max="22" width="13.5703125" customWidth="1"/>
    <col min="23" max="23" width="13.85546875" customWidth="1"/>
    <col min="24" max="24" width="11.140625" customWidth="1"/>
    <col min="25" max="25" width="14.140625" bestFit="1" customWidth="1"/>
    <col min="26" max="26" width="13.42578125" bestFit="1" customWidth="1"/>
  </cols>
  <sheetData>
    <row r="1" spans="1:27" ht="92.25" customHeight="1" x14ac:dyDescent="0.25"/>
    <row r="2" spans="1:27" ht="19.5" x14ac:dyDescent="0.3">
      <c r="A2" s="278" t="s">
        <v>175</v>
      </c>
    </row>
    <row r="3" spans="1:27" ht="19.5" x14ac:dyDescent="0.3">
      <c r="A3" s="278" t="s">
        <v>169</v>
      </c>
    </row>
    <row r="4" spans="1:27" ht="19.5" x14ac:dyDescent="0.3">
      <c r="A4" s="278" t="s">
        <v>107</v>
      </c>
    </row>
    <row r="5" spans="1:27" ht="17.25" x14ac:dyDescent="0.3">
      <c r="A5" s="79" t="s">
        <v>174</v>
      </c>
    </row>
    <row r="6" spans="1:27" x14ac:dyDescent="0.25">
      <c r="A6" s="276" t="s">
        <v>178</v>
      </c>
    </row>
    <row r="7" spans="1:27" x14ac:dyDescent="0.25">
      <c r="A7" s="277" t="s">
        <v>206</v>
      </c>
      <c r="B7" s="16"/>
    </row>
    <row r="8" spans="1:27" x14ac:dyDescent="0.25">
      <c r="A8" s="139"/>
      <c r="B8" s="16"/>
    </row>
    <row r="9" spans="1:27" ht="15.75" thickBot="1" x14ac:dyDescent="0.3">
      <c r="B9" s="144">
        <v>1</v>
      </c>
      <c r="C9" s="144">
        <v>2</v>
      </c>
      <c r="D9" s="144">
        <v>3</v>
      </c>
      <c r="E9" s="144">
        <v>4</v>
      </c>
      <c r="F9" s="144">
        <v>5</v>
      </c>
      <c r="G9" s="144">
        <v>6</v>
      </c>
      <c r="H9" s="144">
        <v>7</v>
      </c>
      <c r="I9" s="144">
        <v>8</v>
      </c>
      <c r="J9" s="144">
        <v>9</v>
      </c>
      <c r="K9" s="144">
        <v>10</v>
      </c>
      <c r="L9" s="144">
        <v>11</v>
      </c>
      <c r="M9" s="144">
        <v>12</v>
      </c>
      <c r="N9" s="144">
        <v>13</v>
      </c>
      <c r="O9" s="144">
        <v>14</v>
      </c>
      <c r="P9" s="144">
        <v>15</v>
      </c>
      <c r="Q9" s="144">
        <v>16</v>
      </c>
      <c r="R9" s="144">
        <v>17</v>
      </c>
    </row>
    <row r="10" spans="1:27" ht="17.25" customHeight="1" x14ac:dyDescent="0.25">
      <c r="A10" s="263" t="s">
        <v>8</v>
      </c>
      <c r="B10" s="266" t="s">
        <v>0</v>
      </c>
      <c r="C10" s="266" t="s">
        <v>16</v>
      </c>
      <c r="D10" s="269" t="s">
        <v>25</v>
      </c>
      <c r="E10" s="245" t="s">
        <v>119</v>
      </c>
      <c r="F10" s="246"/>
      <c r="G10" s="246"/>
      <c r="H10" s="246"/>
      <c r="I10" s="246"/>
      <c r="J10" s="246"/>
      <c r="K10" s="246"/>
      <c r="L10" s="246"/>
      <c r="M10" s="246"/>
      <c r="N10" s="247"/>
      <c r="O10" s="237" t="s">
        <v>62</v>
      </c>
      <c r="P10" s="226" t="s">
        <v>120</v>
      </c>
      <c r="Q10" s="229" t="s">
        <v>173</v>
      </c>
      <c r="R10" s="240" t="s">
        <v>155</v>
      </c>
      <c r="S10" s="223" t="s">
        <v>73</v>
      </c>
      <c r="T10" s="258" t="s">
        <v>199</v>
      </c>
      <c r="U10" s="259"/>
      <c r="V10" s="259"/>
      <c r="W10" s="259"/>
      <c r="X10" s="259"/>
      <c r="Y10" s="259"/>
      <c r="Z10" s="260"/>
    </row>
    <row r="11" spans="1:27" ht="15" customHeight="1" thickBot="1" x14ac:dyDescent="0.3">
      <c r="A11" s="264"/>
      <c r="B11" s="267"/>
      <c r="C11" s="267"/>
      <c r="D11" s="270"/>
      <c r="E11" s="232" t="s">
        <v>121</v>
      </c>
      <c r="F11" s="233"/>
      <c r="G11" s="234" t="s">
        <v>156</v>
      </c>
      <c r="H11" s="235"/>
      <c r="I11" s="235"/>
      <c r="J11" s="235"/>
      <c r="K11" s="235"/>
      <c r="L11" s="235"/>
      <c r="M11" s="236"/>
      <c r="N11" s="243" t="s">
        <v>157</v>
      </c>
      <c r="O11" s="238"/>
      <c r="P11" s="227"/>
      <c r="Q11" s="230"/>
      <c r="R11" s="241"/>
      <c r="S11" s="224"/>
      <c r="T11" s="257" t="s">
        <v>0</v>
      </c>
      <c r="U11" s="251" t="s">
        <v>183</v>
      </c>
      <c r="V11" s="252"/>
      <c r="W11" s="253"/>
      <c r="X11" s="254" t="s">
        <v>197</v>
      </c>
      <c r="Y11" s="255"/>
      <c r="Z11" s="256"/>
    </row>
    <row r="12" spans="1:27" ht="64.5" thickBot="1" x14ac:dyDescent="0.3">
      <c r="A12" s="265"/>
      <c r="B12" s="268"/>
      <c r="C12" s="268"/>
      <c r="D12" s="271"/>
      <c r="E12" s="91" t="s">
        <v>61</v>
      </c>
      <c r="F12" s="91" t="s">
        <v>76</v>
      </c>
      <c r="G12" s="92" t="s">
        <v>80</v>
      </c>
      <c r="H12" s="92" t="s">
        <v>81</v>
      </c>
      <c r="I12" s="92" t="s">
        <v>82</v>
      </c>
      <c r="J12" s="92" t="s">
        <v>83</v>
      </c>
      <c r="K12" s="92" t="s">
        <v>84</v>
      </c>
      <c r="L12" s="92" t="s">
        <v>85</v>
      </c>
      <c r="M12" s="92" t="s">
        <v>106</v>
      </c>
      <c r="N12" s="244"/>
      <c r="O12" s="239"/>
      <c r="P12" s="228"/>
      <c r="Q12" s="231"/>
      <c r="R12" s="242"/>
      <c r="S12" s="225"/>
      <c r="T12" s="257"/>
      <c r="U12" s="158" t="s">
        <v>202</v>
      </c>
      <c r="V12" s="159" t="s">
        <v>190</v>
      </c>
      <c r="W12" s="159" t="s">
        <v>191</v>
      </c>
      <c r="X12" s="204" t="s">
        <v>203</v>
      </c>
      <c r="Y12" s="206" t="s">
        <v>200</v>
      </c>
      <c r="Z12" s="207" t="s">
        <v>201</v>
      </c>
    </row>
    <row r="13" spans="1:27" x14ac:dyDescent="0.25">
      <c r="A13" s="87" t="s">
        <v>9</v>
      </c>
      <c r="B13" s="96" t="s">
        <v>1</v>
      </c>
      <c r="C13" s="88" t="s">
        <v>17</v>
      </c>
      <c r="D13" s="88" t="str">
        <f>VLOOKUP(B13,Categorías!$B$5:$X$13,23,0)</f>
        <v>Categoría I</v>
      </c>
      <c r="E13" s="89">
        <v>2471405</v>
      </c>
      <c r="F13" s="102">
        <f t="shared" ref="F13:F21" si="0">E13*(1+$B$31)</f>
        <v>2545547.15</v>
      </c>
      <c r="G13" s="90">
        <f>IFERROR(VLOOKUP(B13,'Publicaciones BD'!$B$3:$E$11,4,0),0)</f>
        <v>706389.40782861679</v>
      </c>
      <c r="H13" s="90">
        <f>IFERROR(VLOOKUP(B13,'Acreditación BD'!$B$3:$K$11,10,0),0)</f>
        <v>301247.27622377616</v>
      </c>
      <c r="I13" s="90">
        <f>IFERROR(VLOOKUP(B13,'Doctorado JC BD'!$B$3:$E$11,4,0),0)</f>
        <v>554774.94683226349</v>
      </c>
      <c r="J13" s="90">
        <f>IFERROR(VLOOKUP(B13,'Programas Doct. Acreditados BD'!$B$3:$E$11,4,0),0)</f>
        <v>710082.86538461538</v>
      </c>
      <c r="K13" s="90">
        <f>IFERROR(VLOOKUP(B13,'Académicos JC BD'!$B$3:$E$11,4,0),0)</f>
        <v>541176.85461051937</v>
      </c>
      <c r="L13" s="90">
        <f>IFERROR(VLOOKUP(B13,'Matrícula Regular Pre BD'!$B$3:$E$11,4,0),0)</f>
        <v>400418.52224156237</v>
      </c>
      <c r="M13" s="141">
        <f>(G13+H13+I13+J13+K13+L13)</f>
        <v>3214089.8731213538</v>
      </c>
      <c r="N13" s="134">
        <v>0</v>
      </c>
      <c r="O13" s="109">
        <f>F13+M13+N13</f>
        <v>5759637.0231213532</v>
      </c>
      <c r="P13" s="105">
        <f>IFERROR(VLOOKUP(B13,Indicadores!$B$4:$AH$12,33,0),0)</f>
        <v>3447609</v>
      </c>
      <c r="Q13" s="194">
        <f t="shared" ref="Q13:Q21" si="1">O13+P13</f>
        <v>9207246.0231213532</v>
      </c>
      <c r="R13" s="194">
        <f t="shared" ref="R13:R21" si="2">ROUND(Q13,0)</f>
        <v>9207246</v>
      </c>
      <c r="S13" s="195">
        <f t="shared" ref="S13:S21" si="3">R13/$R$22</f>
        <v>0.22441913266406691</v>
      </c>
      <c r="T13" s="193" t="s">
        <v>1</v>
      </c>
      <c r="U13" s="184">
        <v>3649998</v>
      </c>
      <c r="V13" s="185">
        <v>2883680</v>
      </c>
      <c r="W13" s="185">
        <v>766318</v>
      </c>
      <c r="X13" s="205">
        <f>+R13-U13</f>
        <v>5557248</v>
      </c>
      <c r="Y13" s="208">
        <v>4390502</v>
      </c>
      <c r="Z13" s="203">
        <v>1166746</v>
      </c>
      <c r="AA13" s="167"/>
    </row>
    <row r="14" spans="1:27" x14ac:dyDescent="0.25">
      <c r="A14" s="86" t="s">
        <v>10</v>
      </c>
      <c r="B14" s="97" t="s">
        <v>2</v>
      </c>
      <c r="C14" s="80" t="s">
        <v>17</v>
      </c>
      <c r="D14" s="88" t="str">
        <f>VLOOKUP(B14,Categorías!$B$5:$X$13,23,0)</f>
        <v>Categoría I</v>
      </c>
      <c r="E14" s="43">
        <v>834829</v>
      </c>
      <c r="F14" s="103">
        <f t="shared" si="0"/>
        <v>859873.87</v>
      </c>
      <c r="G14" s="85">
        <f>IFERROR(VLOOKUP(B14,'Publicaciones BD'!$B$3:$E$11,4,0),0)</f>
        <v>370827.31202062947</v>
      </c>
      <c r="H14" s="85">
        <f>IFERROR(VLOOKUP(B14,'Acreditación BD'!$B$3:$K$11,10,0),0)</f>
        <v>301247.27622377616</v>
      </c>
      <c r="I14" s="85">
        <f>IFERROR(VLOOKUP(B14,'Doctorado JC BD'!$B$3:$E$11,4,0),0)</f>
        <v>436262.65168852918</v>
      </c>
      <c r="J14" s="85">
        <f>IFERROR(VLOOKUP(B14,'Programas Doct. Acreditados BD'!$B$3:$E$11,4,0),0)</f>
        <v>552286.67307692301</v>
      </c>
      <c r="K14" s="85">
        <f>IFERROR(VLOOKUP(B14,'Académicos JC BD'!$B$3:$E$11,4,0),0)</f>
        <v>392993.41303262318</v>
      </c>
      <c r="L14" s="85">
        <f>IFERROR(VLOOKUP(B14,'Matrícula Regular Pre BD'!$B$3:$E$11,4,0),0)</f>
        <v>356647.51834702078</v>
      </c>
      <c r="M14" s="141">
        <f t="shared" ref="M14:M20" si="4">(G14+H14+I14+J14+K14+L14)</f>
        <v>2410264.844389502</v>
      </c>
      <c r="N14" s="134">
        <v>0</v>
      </c>
      <c r="O14" s="109">
        <f t="shared" ref="O14:O21" si="5">F14+M14+N14</f>
        <v>3270138.7143895021</v>
      </c>
      <c r="P14" s="106">
        <f>IFERROR(VLOOKUP(B14,Indicadores!$B$4:$AH$12,33,0),0)</f>
        <v>3259752</v>
      </c>
      <c r="Q14" s="194">
        <f t="shared" si="1"/>
        <v>6529890.7143895021</v>
      </c>
      <c r="R14" s="194">
        <f t="shared" si="2"/>
        <v>6529891</v>
      </c>
      <c r="S14" s="195">
        <f t="shared" si="3"/>
        <v>0.15916078212865134</v>
      </c>
      <c r="T14" s="193" t="s">
        <v>2</v>
      </c>
      <c r="U14" s="184">
        <v>2636216</v>
      </c>
      <c r="V14" s="185">
        <v>2082742</v>
      </c>
      <c r="W14" s="185">
        <v>553474</v>
      </c>
      <c r="X14" s="205">
        <f t="shared" ref="X14:X22" si="6">+R14-U14</f>
        <v>3893675</v>
      </c>
      <c r="Y14" s="208">
        <v>3076197</v>
      </c>
      <c r="Z14" s="203">
        <v>817478</v>
      </c>
      <c r="AA14" s="167"/>
    </row>
    <row r="15" spans="1:27" x14ac:dyDescent="0.25">
      <c r="A15" s="86" t="s">
        <v>11</v>
      </c>
      <c r="B15" s="97" t="s">
        <v>3</v>
      </c>
      <c r="C15" s="80" t="s">
        <v>17</v>
      </c>
      <c r="D15" s="88" t="str">
        <f>VLOOKUP(B15,Categorías!$B$5:$X$13,23,0)</f>
        <v>Categoría I</v>
      </c>
      <c r="E15" s="43">
        <v>534276</v>
      </c>
      <c r="F15" s="103">
        <f t="shared" si="0"/>
        <v>550304.28</v>
      </c>
      <c r="G15" s="85">
        <f>IFERROR(VLOOKUP(B15,'Publicaciones BD'!$B$3:$E$11,4,0),0)</f>
        <v>221357.04945781539</v>
      </c>
      <c r="H15" s="85">
        <f>IFERROR(VLOOKUP(B15,'Acreditación BD'!$B$3:$K$11,10,0),0)</f>
        <v>286902.16783216782</v>
      </c>
      <c r="I15" s="85">
        <f>IFERROR(VLOOKUP(B15,'Doctorado JC BD'!$B$3:$E$11,4,0),0)</f>
        <v>235879.54395757747</v>
      </c>
      <c r="J15" s="85">
        <f>IFERROR(VLOOKUP(B15,'Programas Doct. Acreditados BD'!$B$3:$E$11,4,0),0)</f>
        <v>276143.3365384615</v>
      </c>
      <c r="K15" s="85">
        <f>IFERROR(VLOOKUP(B15,'Académicos JC BD'!$B$3:$E$11,4,0),0)</f>
        <v>181644.21870838883</v>
      </c>
      <c r="L15" s="85">
        <f>IFERROR(VLOOKUP(B15,'Matrícula Regular Pre BD'!$B$3:$E$11,4,0),0)</f>
        <v>228133.09368405488</v>
      </c>
      <c r="M15" s="141">
        <f t="shared" si="4"/>
        <v>1430059.4101784658</v>
      </c>
      <c r="N15" s="134">
        <v>0</v>
      </c>
      <c r="O15" s="109">
        <f t="shared" si="5"/>
        <v>1980363.6901784658</v>
      </c>
      <c r="P15" s="106">
        <f>IFERROR(VLOOKUP(B15,Indicadores!$B$4:$AH$12,33,0),0)</f>
        <v>3036728</v>
      </c>
      <c r="Q15" s="194">
        <f t="shared" si="1"/>
        <v>5017091.690178466</v>
      </c>
      <c r="R15" s="194">
        <f t="shared" si="2"/>
        <v>5017092</v>
      </c>
      <c r="S15" s="195">
        <f t="shared" si="3"/>
        <v>0.12228753691775247</v>
      </c>
      <c r="T15" s="193" t="s">
        <v>3</v>
      </c>
      <c r="U15" s="184">
        <v>2010733</v>
      </c>
      <c r="V15" s="185">
        <v>1588579</v>
      </c>
      <c r="W15" s="185">
        <v>422154</v>
      </c>
      <c r="X15" s="205">
        <f t="shared" si="6"/>
        <v>3006359</v>
      </c>
      <c r="Y15" s="208">
        <v>2375173</v>
      </c>
      <c r="Z15" s="203">
        <v>631186</v>
      </c>
      <c r="AA15" s="167"/>
    </row>
    <row r="16" spans="1:27" x14ac:dyDescent="0.25">
      <c r="A16" s="86" t="s">
        <v>12</v>
      </c>
      <c r="B16" s="97" t="s">
        <v>4</v>
      </c>
      <c r="C16" s="80" t="s">
        <v>17</v>
      </c>
      <c r="D16" s="88" t="str">
        <f>VLOOKUP(B16,Categorías!$B$5:$X$13,23,0)</f>
        <v>Categoría I</v>
      </c>
      <c r="E16" s="43">
        <v>308805</v>
      </c>
      <c r="F16" s="103">
        <f t="shared" si="0"/>
        <v>318069.15000000002</v>
      </c>
      <c r="G16" s="85">
        <f>IFERROR(VLOOKUP(B16,'Publicaciones BD'!$B$3:$E$11,4,0),0)</f>
        <v>203453.17045755091</v>
      </c>
      <c r="H16" s="85">
        <f>IFERROR(VLOOKUP(B16,'Acreditación BD'!$B$3:$K$11,10,0),0)</f>
        <v>286902.16783216782</v>
      </c>
      <c r="I16" s="85">
        <f>IFERROR(VLOOKUP(B16,'Doctorado JC BD'!$B$3:$E$11,4,0),0)</f>
        <v>262788.13271001953</v>
      </c>
      <c r="J16" s="85">
        <f>IFERROR(VLOOKUP(B16,'Programas Doct. Acreditados BD'!$B$3:$E$11,4,0),0)</f>
        <v>197245.2403846154</v>
      </c>
      <c r="K16" s="85">
        <f>IFERROR(VLOOKUP(B16,'Académicos JC BD'!$B$3:$E$11,4,0),0)</f>
        <v>272807.7645639148</v>
      </c>
      <c r="L16" s="85">
        <f>IFERROR(VLOOKUP(B16,'Matrícula Regular Pre BD'!$B$3:$E$11,4,0),0)</f>
        <v>233068.53286334494</v>
      </c>
      <c r="M16" s="141">
        <f t="shared" si="4"/>
        <v>1456265.0088116133</v>
      </c>
      <c r="N16" s="134">
        <v>50000</v>
      </c>
      <c r="O16" s="109">
        <f t="shared" si="5"/>
        <v>1824334.1588116135</v>
      </c>
      <c r="P16" s="106">
        <f>IFERROR(VLOOKUP(B16,Indicadores!$B$4:$AH$12,33,0),0)</f>
        <v>2894679</v>
      </c>
      <c r="Q16" s="194">
        <f t="shared" si="1"/>
        <v>4719013.1588116139</v>
      </c>
      <c r="R16" s="194">
        <f t="shared" si="2"/>
        <v>4719013</v>
      </c>
      <c r="S16" s="195">
        <f t="shared" si="3"/>
        <v>0.11502210373117612</v>
      </c>
      <c r="T16" s="193" t="s">
        <v>4</v>
      </c>
      <c r="U16" s="184">
        <v>1857994</v>
      </c>
      <c r="V16" s="185">
        <v>1467908</v>
      </c>
      <c r="W16" s="185">
        <v>390086</v>
      </c>
      <c r="X16" s="205">
        <f t="shared" si="6"/>
        <v>2861019</v>
      </c>
      <c r="Y16" s="208">
        <v>2260347</v>
      </c>
      <c r="Z16" s="203">
        <v>600672</v>
      </c>
      <c r="AA16" s="167"/>
    </row>
    <row r="17" spans="1:27" x14ac:dyDescent="0.25">
      <c r="A17" s="86" t="s">
        <v>13</v>
      </c>
      <c r="B17" s="97" t="s">
        <v>5</v>
      </c>
      <c r="C17" s="80" t="s">
        <v>17</v>
      </c>
      <c r="D17" s="88" t="str">
        <f>VLOOKUP(B17,Categorías!$B$5:$X$13,23,0)</f>
        <v>Categoría II</v>
      </c>
      <c r="E17" s="43">
        <v>796618</v>
      </c>
      <c r="F17" s="103">
        <f t="shared" si="0"/>
        <v>820516.54</v>
      </c>
      <c r="G17" s="85">
        <f>IFERROR(VLOOKUP(B17,'Publicaciones BD'!$B$3:$E$11,4,0),0)</f>
        <v>192873.60559375829</v>
      </c>
      <c r="H17" s="85">
        <f>IFERROR(VLOOKUP(B17,'Acreditación BD'!$B$3:$K$11,10,0),0)</f>
        <v>286902.16783216782</v>
      </c>
      <c r="I17" s="85">
        <f>IFERROR(VLOOKUP(B17,'Doctorado JC BD'!$B$3:$E$11,4,0),0)</f>
        <v>163741.62517443483</v>
      </c>
      <c r="J17" s="85">
        <f>IFERROR(VLOOKUP(B17,'Programas Doct. Acreditados BD'!$B$3:$E$11,4,0),0)</f>
        <v>98622.620192307702</v>
      </c>
      <c r="K17" s="85">
        <f>IFERROR(VLOOKUP(B17,'Académicos JC BD'!$B$3:$E$11,4,0),0)</f>
        <v>162865.21113515313</v>
      </c>
      <c r="L17" s="85">
        <f>IFERROR(VLOOKUP(B17,'Matrícula Regular Pre BD'!$B$3:$E$11,4,0),0)</f>
        <v>219006.66704525598</v>
      </c>
      <c r="M17" s="141">
        <f t="shared" si="4"/>
        <v>1124011.8969730777</v>
      </c>
      <c r="N17" s="134">
        <v>0</v>
      </c>
      <c r="O17" s="109">
        <f t="shared" si="5"/>
        <v>1944528.4369730777</v>
      </c>
      <c r="P17" s="106">
        <f>IFERROR(VLOOKUP(B17,Indicadores!$B$4:$AH$12,33,0),0)</f>
        <v>2402854</v>
      </c>
      <c r="Q17" s="194">
        <f t="shared" si="1"/>
        <v>4347382.4369730782</v>
      </c>
      <c r="R17" s="194">
        <f t="shared" si="2"/>
        <v>4347382</v>
      </c>
      <c r="S17" s="195">
        <f t="shared" si="3"/>
        <v>0.10596390036709963</v>
      </c>
      <c r="T17" s="193" t="s">
        <v>5</v>
      </c>
      <c r="U17" s="184">
        <v>1669064</v>
      </c>
      <c r="V17" s="185">
        <v>1318644</v>
      </c>
      <c r="W17" s="185">
        <v>350420</v>
      </c>
      <c r="X17" s="205">
        <f t="shared" si="6"/>
        <v>2678318</v>
      </c>
      <c r="Y17" s="208">
        <v>2116004</v>
      </c>
      <c r="Z17" s="203">
        <v>562314</v>
      </c>
      <c r="AA17" s="167"/>
    </row>
    <row r="18" spans="1:27" x14ac:dyDescent="0.25">
      <c r="A18" s="86" t="s">
        <v>14</v>
      </c>
      <c r="B18" s="97" t="s">
        <v>6</v>
      </c>
      <c r="C18" s="80" t="s">
        <v>17</v>
      </c>
      <c r="D18" s="88" t="str">
        <f>VLOOKUP(B18,Categorías!$B$5:$X$13,23,0)</f>
        <v>Categoría II</v>
      </c>
      <c r="E18" s="43">
        <v>189862</v>
      </c>
      <c r="F18" s="103">
        <f t="shared" si="0"/>
        <v>195557.86000000002</v>
      </c>
      <c r="G18" s="85">
        <f>IFERROR(VLOOKUP(B18,'Publicaciones BD'!$B$3:$E$11,4,0),0)</f>
        <v>130481.29998677598</v>
      </c>
      <c r="H18" s="85">
        <f>IFERROR(VLOOKUP(B18,'Acreditación BD'!$B$3:$K$11,10,0),0)</f>
        <v>286902.16783216782</v>
      </c>
      <c r="I18" s="85">
        <f>IFERROR(VLOOKUP(B18,'Doctorado JC BD'!$B$3:$E$11,4,0),0)</f>
        <v>128245.18894780909</v>
      </c>
      <c r="J18" s="85">
        <f>IFERROR(VLOOKUP(B18,'Programas Doct. Acreditados BD'!$B$3:$E$11,4,0),0)</f>
        <v>118347.14423076923</v>
      </c>
      <c r="K18" s="85">
        <f>IFERROR(VLOOKUP(B18,'Académicos JC BD'!$B$3:$E$11,4,0),0)</f>
        <v>144427.64006324901</v>
      </c>
      <c r="L18" s="85">
        <f>IFERROR(VLOOKUP(B18,'Matrícula Regular Pre BD'!$B$3:$E$11,4,0),0)</f>
        <v>145760.88950456324</v>
      </c>
      <c r="M18" s="141">
        <f t="shared" si="4"/>
        <v>954164.3305653343</v>
      </c>
      <c r="N18" s="134">
        <v>0</v>
      </c>
      <c r="O18" s="109">
        <f t="shared" si="5"/>
        <v>1149722.1905653344</v>
      </c>
      <c r="P18" s="106">
        <f>IFERROR(VLOOKUP(B18,Indicadores!$B$4:$AH$12,33,0),0)</f>
        <v>2118446</v>
      </c>
      <c r="Q18" s="194">
        <f t="shared" si="1"/>
        <v>3268168.1905653346</v>
      </c>
      <c r="R18" s="194">
        <f t="shared" si="2"/>
        <v>3268168</v>
      </c>
      <c r="S18" s="195">
        <f t="shared" si="3"/>
        <v>7.9658936880849962E-2</v>
      </c>
      <c r="T18" s="193" t="s">
        <v>6</v>
      </c>
      <c r="U18" s="184">
        <v>1303086</v>
      </c>
      <c r="V18" s="185">
        <v>1029503</v>
      </c>
      <c r="W18" s="185">
        <v>273583</v>
      </c>
      <c r="X18" s="205">
        <f t="shared" si="6"/>
        <v>1965082</v>
      </c>
      <c r="Y18" s="208">
        <v>1552512</v>
      </c>
      <c r="Z18" s="203">
        <v>412570</v>
      </c>
      <c r="AA18" s="167"/>
    </row>
    <row r="19" spans="1:27" x14ac:dyDescent="0.25">
      <c r="A19" s="86" t="s">
        <v>15</v>
      </c>
      <c r="B19" s="97" t="s">
        <v>7</v>
      </c>
      <c r="C19" s="80" t="s">
        <v>17</v>
      </c>
      <c r="D19" s="88" t="str">
        <f>VLOOKUP(B19,Categorías!$B$5:$X$13,23,0)</f>
        <v>Categoría II</v>
      </c>
      <c r="E19" s="43">
        <v>30330</v>
      </c>
      <c r="F19" s="103">
        <f t="shared" si="0"/>
        <v>31239.9</v>
      </c>
      <c r="G19" s="85">
        <f>IFERROR(VLOOKUP(B19,'Publicaciones BD'!$B$3:$E$11,4,0),0)</f>
        <v>69445.348849510716</v>
      </c>
      <c r="H19" s="85">
        <f>IFERROR(VLOOKUP(B19,'Acreditación BD'!$B$3:$K$11,10,0),0)</f>
        <v>172141.30069930071</v>
      </c>
      <c r="I19" s="85">
        <f>IFERROR(VLOOKUP(B19,'Doctorado JC BD'!$B$3:$E$11,4,0),0)</f>
        <v>100764.07703042142</v>
      </c>
      <c r="J19" s="85">
        <f>IFERROR(VLOOKUP(B19,'Programas Doct. Acreditados BD'!$B$3:$E$11,4,0),0)</f>
        <v>39449.048076923078</v>
      </c>
      <c r="K19" s="85">
        <f>IFERROR(VLOOKUP(B19,'Académicos JC BD'!$B$3:$E$11,4,0),0)</f>
        <v>121892.83097536619</v>
      </c>
      <c r="L19" s="85">
        <f>IFERROR(VLOOKUP(B19,'Matrícula Regular Pre BD'!$B$3:$E$11,4,0),0)</f>
        <v>157989.19830911706</v>
      </c>
      <c r="M19" s="141">
        <f t="shared" si="4"/>
        <v>661681.80394063913</v>
      </c>
      <c r="N19" s="134">
        <v>0</v>
      </c>
      <c r="O19" s="109">
        <f t="shared" si="5"/>
        <v>692921.70394063916</v>
      </c>
      <c r="P19" s="106">
        <f>IFERROR(VLOOKUP(B19,Indicadores!$B$4:$AH$12,33,0),0)</f>
        <v>2072832</v>
      </c>
      <c r="Q19" s="194">
        <f t="shared" si="1"/>
        <v>2765753.7039406393</v>
      </c>
      <c r="R19" s="194">
        <f t="shared" si="2"/>
        <v>2765754</v>
      </c>
      <c r="S19" s="195">
        <f t="shared" si="3"/>
        <v>6.7413004262314016E-2</v>
      </c>
      <c r="T19" s="193" t="s">
        <v>7</v>
      </c>
      <c r="U19" s="184">
        <v>1141834</v>
      </c>
      <c r="V19" s="185">
        <v>902106</v>
      </c>
      <c r="W19" s="185">
        <v>239728</v>
      </c>
      <c r="X19" s="205">
        <f t="shared" si="6"/>
        <v>1623920</v>
      </c>
      <c r="Y19" s="208">
        <v>1282978</v>
      </c>
      <c r="Z19" s="203">
        <v>340942</v>
      </c>
      <c r="AA19" s="167"/>
    </row>
    <row r="20" spans="1:27" x14ac:dyDescent="0.25">
      <c r="A20" s="86" t="s">
        <v>21</v>
      </c>
      <c r="B20" s="97" t="s">
        <v>18</v>
      </c>
      <c r="C20" s="80" t="s">
        <v>17</v>
      </c>
      <c r="D20" s="88" t="str">
        <f>VLOOKUP(B20,Categorías!$B$5:$X$13,23,0)</f>
        <v>Categoría II</v>
      </c>
      <c r="E20" s="43">
        <v>95377</v>
      </c>
      <c r="F20" s="103">
        <f t="shared" si="0"/>
        <v>98238.31</v>
      </c>
      <c r="G20" s="85">
        <f>IFERROR(VLOOKUP(B20,'Publicaciones BD'!$B$3:$E$11,4,0),0)</f>
        <v>83280.164440624168</v>
      </c>
      <c r="H20" s="85">
        <f>IFERROR(VLOOKUP(B20,'Acreditación BD'!$B$3:$K$11,10,0),0)</f>
        <v>71725.541958041955</v>
      </c>
      <c r="I20" s="85">
        <f>IFERROR(VLOOKUP(B20,'Doctorado JC BD'!$B$3:$E$11,4,0),0)</f>
        <v>74428.011442924922</v>
      </c>
      <c r="J20" s="85">
        <f>IFERROR(VLOOKUP(B20,'Programas Doct. Acreditados BD'!$B$3:$E$11,4,0),0)</f>
        <v>39449.048076923078</v>
      </c>
      <c r="K20" s="85">
        <f>IFERROR(VLOOKUP(B20,'Académicos JC BD'!$B$3:$E$11,4,0),0)</f>
        <v>118819.90246338217</v>
      </c>
      <c r="L20" s="85">
        <f>IFERROR(VLOOKUP(B20,'Matrícula Regular Pre BD'!$B$3:$E$11,4,0),0)</f>
        <v>136055.44486149008</v>
      </c>
      <c r="M20" s="141">
        <f t="shared" si="4"/>
        <v>523758.11324338638</v>
      </c>
      <c r="N20" s="134">
        <v>0</v>
      </c>
      <c r="O20" s="109">
        <f t="shared" si="5"/>
        <v>621996.42324338644</v>
      </c>
      <c r="P20" s="106">
        <f>IFERROR(VLOOKUP(B20,Indicadores!$B$4:$AH$12,33,0),0)</f>
        <v>2172936</v>
      </c>
      <c r="Q20" s="194">
        <f t="shared" si="1"/>
        <v>2794932.4232433867</v>
      </c>
      <c r="R20" s="194">
        <f t="shared" si="2"/>
        <v>2794932</v>
      </c>
      <c r="S20" s="195">
        <f t="shared" si="3"/>
        <v>6.8124194280792097E-2</v>
      </c>
      <c r="T20" s="193" t="s">
        <v>18</v>
      </c>
      <c r="U20" s="184">
        <v>1099879</v>
      </c>
      <c r="V20" s="185">
        <v>868959</v>
      </c>
      <c r="W20" s="185">
        <v>230920</v>
      </c>
      <c r="X20" s="205">
        <f t="shared" si="6"/>
        <v>1695053</v>
      </c>
      <c r="Y20" s="208">
        <v>1339176</v>
      </c>
      <c r="Z20" s="203">
        <v>355877</v>
      </c>
      <c r="AA20" s="167"/>
    </row>
    <row r="21" spans="1:27" ht="15.75" thickBot="1" x14ac:dyDescent="0.3">
      <c r="A21" s="93" t="s">
        <v>20</v>
      </c>
      <c r="B21" s="98" t="s">
        <v>19</v>
      </c>
      <c r="C21" s="81" t="s">
        <v>17</v>
      </c>
      <c r="D21" s="88" t="str">
        <f>VLOOKUP(B21,Categorías!$B$5:$X$13,23,0)</f>
        <v>Categoría II</v>
      </c>
      <c r="E21" s="94">
        <v>76198</v>
      </c>
      <c r="F21" s="104">
        <f t="shared" si="0"/>
        <v>78483.94</v>
      </c>
      <c r="G21" s="95">
        <f>IFERROR(VLOOKUP(B21,'Publicaciones BD'!$B$3:$E$11,4,0),0)</f>
        <v>73243.141364718336</v>
      </c>
      <c r="H21" s="95">
        <f>IFERROR(VLOOKUP(B21,'Acreditación BD'!$B$3:$K$11,10,0),0)</f>
        <v>57380.433566433552</v>
      </c>
      <c r="I21" s="95">
        <f>IFERROR(VLOOKUP(B21,'Doctorado JC BD'!$B$3:$E$11,4,0),0)</f>
        <v>94466.322216020097</v>
      </c>
      <c r="J21" s="95">
        <f>IFERROR(VLOOKUP(B21,'Programas Doct. Acreditados BD'!$B$3:$E$11,4,0),0)</f>
        <v>19724.524038461539</v>
      </c>
      <c r="K21" s="95">
        <f>IFERROR(VLOOKUP(B21,'Académicos JC BD'!$B$3:$E$11,4,0),0)</f>
        <v>114722.66444740347</v>
      </c>
      <c r="L21" s="95">
        <f>IFERROR(VLOOKUP(B21,'Matrícula Regular Pre BD'!$B$3:$E$11,4,0),0)</f>
        <v>174270.63314359065</v>
      </c>
      <c r="M21" s="141">
        <f>(G21+H21+I21+J21+K21+L21)</f>
        <v>533807.71877662768</v>
      </c>
      <c r="N21" s="135">
        <v>0</v>
      </c>
      <c r="O21" s="109">
        <f t="shared" si="5"/>
        <v>612291.65877662762</v>
      </c>
      <c r="P21" s="107">
        <f>IFERROR(VLOOKUP(B21,Indicadores!$B$4:$AH$12,33,0),0)</f>
        <v>1765240</v>
      </c>
      <c r="Q21" s="194">
        <f t="shared" si="1"/>
        <v>2377531.6587766279</v>
      </c>
      <c r="R21" s="194">
        <f t="shared" si="2"/>
        <v>2377532</v>
      </c>
      <c r="S21" s="195">
        <f t="shared" si="3"/>
        <v>5.795040876729745E-2</v>
      </c>
      <c r="T21" s="209" t="s">
        <v>19</v>
      </c>
      <c r="U21" s="210">
        <v>1041999</v>
      </c>
      <c r="V21" s="211">
        <v>823231</v>
      </c>
      <c r="W21" s="211">
        <v>218768</v>
      </c>
      <c r="X21" s="212">
        <f t="shared" si="6"/>
        <v>1335533</v>
      </c>
      <c r="Y21" s="213">
        <v>1055138</v>
      </c>
      <c r="Z21" s="214">
        <v>280395</v>
      </c>
      <c r="AA21" s="167"/>
    </row>
    <row r="22" spans="1:27" ht="15.75" thickBot="1" x14ac:dyDescent="0.3">
      <c r="A22" s="261" t="s">
        <v>105</v>
      </c>
      <c r="B22" s="262"/>
      <c r="C22" s="262"/>
      <c r="D22" s="262"/>
      <c r="E22" s="82">
        <f t="shared" ref="E22:G22" si="7">SUM(E13:E21)</f>
        <v>5337700</v>
      </c>
      <c r="F22" s="82">
        <f t="shared" si="7"/>
        <v>5497831.0000000009</v>
      </c>
      <c r="G22" s="83">
        <f t="shared" si="7"/>
        <v>2051350.5000000002</v>
      </c>
      <c r="H22" s="83">
        <f t="shared" ref="H22:M22" si="8">SUM(H13:H21)</f>
        <v>2051350.4999999998</v>
      </c>
      <c r="I22" s="83">
        <f t="shared" si="8"/>
        <v>2051350.5000000002</v>
      </c>
      <c r="J22" s="83">
        <f t="shared" si="8"/>
        <v>2051350.5</v>
      </c>
      <c r="K22" s="83">
        <f t="shared" si="8"/>
        <v>2051350.5000000002</v>
      </c>
      <c r="L22" s="83">
        <f t="shared" si="8"/>
        <v>2051350.5</v>
      </c>
      <c r="M22" s="83">
        <f t="shared" si="8"/>
        <v>12308103</v>
      </c>
      <c r="N22" s="136">
        <f>SUM(N13:N21)</f>
        <v>50000</v>
      </c>
      <c r="O22" s="110">
        <f t="shared" ref="O22:S22" si="9">SUM(O13:O21)</f>
        <v>17855934</v>
      </c>
      <c r="P22" s="108">
        <f t="shared" si="9"/>
        <v>23171076</v>
      </c>
      <c r="Q22" s="196">
        <f t="shared" si="9"/>
        <v>41027010</v>
      </c>
      <c r="R22" s="196">
        <f t="shared" si="9"/>
        <v>41027010</v>
      </c>
      <c r="S22" s="197">
        <f t="shared" si="9"/>
        <v>1</v>
      </c>
      <c r="T22" s="215" t="s">
        <v>198</v>
      </c>
      <c r="U22" s="216">
        <f t="shared" ref="U22" si="10">SUM(U13:U21)</f>
        <v>16410803</v>
      </c>
      <c r="V22" s="217">
        <f>SUM(V13:V21)</f>
        <v>12965352</v>
      </c>
      <c r="W22" s="217">
        <f>SUM(W13:W21)</f>
        <v>3445451</v>
      </c>
      <c r="X22" s="218">
        <f t="shared" si="6"/>
        <v>24616207</v>
      </c>
      <c r="Y22" s="219">
        <f>SUM(Y13:Y21)</f>
        <v>19448027</v>
      </c>
      <c r="Z22" s="220">
        <f>SUM(Z13:Z21)</f>
        <v>5168180</v>
      </c>
      <c r="AA22" s="202"/>
    </row>
    <row r="23" spans="1:27" x14ac:dyDescent="0.25"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153">
        <f>+D27-R22</f>
        <v>0</v>
      </c>
      <c r="X23" s="186"/>
      <c r="Y23" s="198"/>
      <c r="Z23" s="198"/>
    </row>
    <row r="24" spans="1:27" x14ac:dyDescent="0.25"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X24" s="167"/>
    </row>
    <row r="25" spans="1:27" ht="15" customHeight="1" x14ac:dyDescent="0.25">
      <c r="E25" s="248" t="s">
        <v>123</v>
      </c>
      <c r="F25" s="249"/>
      <c r="G25" s="249"/>
      <c r="H25" s="250"/>
      <c r="I25" s="221" t="s">
        <v>124</v>
      </c>
      <c r="V25" s="177"/>
      <c r="W25" s="177"/>
    </row>
    <row r="26" spans="1:27" ht="25.5" x14ac:dyDescent="0.25">
      <c r="A26" s="99" t="s">
        <v>75</v>
      </c>
      <c r="B26" s="99" t="s">
        <v>115</v>
      </c>
      <c r="C26" s="99" t="s">
        <v>116</v>
      </c>
      <c r="D26" s="99" t="s">
        <v>205</v>
      </c>
      <c r="E26" s="100" t="s">
        <v>125</v>
      </c>
      <c r="F26" s="13" t="s">
        <v>122</v>
      </c>
      <c r="G26" s="137" t="s">
        <v>128</v>
      </c>
      <c r="H26" s="143" t="s">
        <v>62</v>
      </c>
      <c r="I26" s="222"/>
      <c r="N26" s="41"/>
      <c r="O26" s="41"/>
      <c r="P26" s="41"/>
      <c r="Q26" s="41"/>
      <c r="V26" s="177"/>
      <c r="W26" s="177"/>
    </row>
    <row r="27" spans="1:27" x14ac:dyDescent="0.25">
      <c r="A27" s="44" t="s">
        <v>63</v>
      </c>
      <c r="B27" s="45">
        <v>32413379</v>
      </c>
      <c r="C27" s="45">
        <v>8613631</v>
      </c>
      <c r="D27" s="45">
        <f>B27+C27</f>
        <v>41027010</v>
      </c>
      <c r="E27" s="161">
        <f>F22</f>
        <v>5497831.0000000009</v>
      </c>
      <c r="F27" s="161">
        <f>M22</f>
        <v>12308103</v>
      </c>
      <c r="G27" s="192">
        <v>50000</v>
      </c>
      <c r="H27" s="161">
        <f>E27+F27+G27</f>
        <v>17855934</v>
      </c>
      <c r="I27" s="161">
        <f>D27-H27</f>
        <v>23171076</v>
      </c>
      <c r="N27" s="42"/>
      <c r="O27" s="42"/>
      <c r="P27" s="42"/>
      <c r="Q27" s="42"/>
    </row>
    <row r="28" spans="1:27" x14ac:dyDescent="0.25">
      <c r="A28" s="199"/>
      <c r="B28" s="200"/>
      <c r="C28" s="200"/>
      <c r="D28" s="201"/>
      <c r="E28" s="201"/>
    </row>
    <row r="30" spans="1:27" x14ac:dyDescent="0.25">
      <c r="A30" s="17" t="s">
        <v>117</v>
      </c>
      <c r="B30" s="45">
        <f>30%*D27</f>
        <v>12308103</v>
      </c>
    </row>
    <row r="31" spans="1:27" x14ac:dyDescent="0.25">
      <c r="A31" s="17" t="s">
        <v>74</v>
      </c>
      <c r="B31" s="18">
        <v>0.03</v>
      </c>
    </row>
  </sheetData>
  <sortState xmlns:xlrd2="http://schemas.microsoft.com/office/spreadsheetml/2017/richdata2" ref="A13:T21">
    <sortCondition descending="1" ref="R13:R21"/>
  </sortState>
  <mergeCells count="20">
    <mergeCell ref="U11:W11"/>
    <mergeCell ref="X11:Z11"/>
    <mergeCell ref="T11:T12"/>
    <mergeCell ref="T10:Z10"/>
    <mergeCell ref="A22:D22"/>
    <mergeCell ref="A10:A12"/>
    <mergeCell ref="B10:B12"/>
    <mergeCell ref="C10:C12"/>
    <mergeCell ref="D10:D12"/>
    <mergeCell ref="I25:I26"/>
    <mergeCell ref="S10:S12"/>
    <mergeCell ref="P10:P12"/>
    <mergeCell ref="Q10:Q12"/>
    <mergeCell ref="E11:F11"/>
    <mergeCell ref="G11:M11"/>
    <mergeCell ref="O10:O12"/>
    <mergeCell ref="R10:R12"/>
    <mergeCell ref="N11:N12"/>
    <mergeCell ref="E10:N10"/>
    <mergeCell ref="E25:H25"/>
  </mergeCells>
  <phoneticPr fontId="16" type="noConversion"/>
  <pageMargins left="0.31496062992125984" right="0.31496062992125984" top="0.74803149606299213" bottom="0.74803149606299213" header="0.31496062992125984" footer="0.31496062992125984"/>
  <pageSetup paperSize="14" scale="65" orientation="landscape" verticalDpi="0" r:id="rId1"/>
  <headerFooter>
    <oddFooter>&amp;F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A21F-2B49-40D6-BE2C-24172982283F}">
  <sheetPr>
    <tabColor theme="6" tint="0.39997558519241921"/>
  </sheetPr>
  <dimension ref="A1:M26"/>
  <sheetViews>
    <sheetView zoomScale="80" zoomScaleNormal="80" workbookViewId="0">
      <selection activeCell="M10" sqref="M10"/>
    </sheetView>
  </sheetViews>
  <sheetFormatPr baseColWidth="10" defaultRowHeight="15" x14ac:dyDescent="0.25"/>
  <cols>
    <col min="1" max="1" width="48" customWidth="1"/>
    <col min="2" max="2" width="14.140625" customWidth="1"/>
    <col min="3" max="5" width="14.42578125" customWidth="1"/>
    <col min="6" max="6" width="13.85546875" customWidth="1"/>
    <col min="7" max="7" width="12" customWidth="1"/>
    <col min="8" max="8" width="13.85546875" customWidth="1"/>
    <col min="9" max="9" width="12.85546875" customWidth="1"/>
    <col min="10" max="10" width="13.140625" bestFit="1" customWidth="1"/>
    <col min="11" max="11" width="12.28515625" bestFit="1" customWidth="1"/>
    <col min="12" max="12" width="7.5703125" customWidth="1"/>
    <col min="14" max="14" width="13.85546875" bestFit="1" customWidth="1"/>
    <col min="15" max="15" width="15.140625" bestFit="1" customWidth="1"/>
  </cols>
  <sheetData>
    <row r="1" spans="1:13" ht="92.25" customHeight="1" x14ac:dyDescent="0.25"/>
    <row r="2" spans="1:13" ht="18.75" x14ac:dyDescent="0.3">
      <c r="A2" s="154" t="s">
        <v>176</v>
      </c>
    </row>
    <row r="3" spans="1:13" ht="18.75" x14ac:dyDescent="0.3">
      <c r="A3" s="155">
        <v>0.4</v>
      </c>
    </row>
    <row r="4" spans="1:13" ht="18.75" x14ac:dyDescent="0.3">
      <c r="A4" s="154" t="s">
        <v>177</v>
      </c>
    </row>
    <row r="5" spans="1:13" x14ac:dyDescent="0.25">
      <c r="A5" s="16" t="s">
        <v>178</v>
      </c>
      <c r="B5" s="16"/>
    </row>
    <row r="6" spans="1:13" x14ac:dyDescent="0.25">
      <c r="A6" t="s">
        <v>179</v>
      </c>
      <c r="B6" s="16"/>
    </row>
    <row r="7" spans="1:13" x14ac:dyDescent="0.25">
      <c r="B7" s="16"/>
    </row>
    <row r="8" spans="1:13" ht="56.25" customHeight="1" x14ac:dyDescent="0.25">
      <c r="D8" s="187" t="s">
        <v>180</v>
      </c>
      <c r="E8" s="187" t="s">
        <v>181</v>
      </c>
      <c r="F8" s="267" t="s">
        <v>182</v>
      </c>
      <c r="G8" s="267"/>
      <c r="H8" s="272" t="s">
        <v>183</v>
      </c>
      <c r="I8" s="273"/>
      <c r="J8" s="273"/>
      <c r="K8" s="273"/>
      <c r="L8" s="273"/>
    </row>
    <row r="9" spans="1:13" ht="80.25" customHeight="1" x14ac:dyDescent="0.25">
      <c r="A9" s="156" t="s">
        <v>8</v>
      </c>
      <c r="B9" s="156" t="s">
        <v>0</v>
      </c>
      <c r="C9" s="156" t="s">
        <v>16</v>
      </c>
      <c r="D9" s="187" t="s">
        <v>184</v>
      </c>
      <c r="E9" s="187" t="s">
        <v>185</v>
      </c>
      <c r="F9" s="187" t="s">
        <v>186</v>
      </c>
      <c r="G9" s="187" t="s">
        <v>187</v>
      </c>
      <c r="H9" s="157" t="s">
        <v>188</v>
      </c>
      <c r="I9" s="158" t="s">
        <v>189</v>
      </c>
      <c r="J9" s="159" t="s">
        <v>190</v>
      </c>
      <c r="K9" s="159" t="s">
        <v>191</v>
      </c>
      <c r="L9" s="160" t="s">
        <v>0</v>
      </c>
    </row>
    <row r="10" spans="1:13" x14ac:dyDescent="0.25">
      <c r="A10" s="51" t="s">
        <v>9</v>
      </c>
      <c r="B10" s="97" t="s">
        <v>1</v>
      </c>
      <c r="C10" s="51" t="s">
        <v>17</v>
      </c>
      <c r="D10" s="161">
        <v>3729936</v>
      </c>
      <c r="E10" s="161">
        <v>5194264</v>
      </c>
      <c r="F10" s="162">
        <v>8924200</v>
      </c>
      <c r="G10" s="163">
        <f t="shared" ref="G10:G18" si="0">F10/$F$19</f>
        <v>0.22241432013062437</v>
      </c>
      <c r="H10" s="161">
        <f>+G10*$B$26</f>
        <v>3649997.8144569308</v>
      </c>
      <c r="I10" s="164">
        <f>ROUND(H10,0)</f>
        <v>3649998</v>
      </c>
      <c r="J10" s="165">
        <v>2883680</v>
      </c>
      <c r="K10" s="165">
        <v>766318</v>
      </c>
      <c r="L10" s="166" t="s">
        <v>1</v>
      </c>
      <c r="M10" s="167">
        <f>+K10+J10-I10</f>
        <v>0</v>
      </c>
    </row>
    <row r="11" spans="1:13" x14ac:dyDescent="0.25">
      <c r="A11" s="51" t="s">
        <v>10</v>
      </c>
      <c r="B11" s="97" t="s">
        <v>2</v>
      </c>
      <c r="C11" s="51" t="s">
        <v>17</v>
      </c>
      <c r="D11" s="161">
        <v>2709724</v>
      </c>
      <c r="E11" s="161">
        <v>3735793</v>
      </c>
      <c r="F11" s="162">
        <v>6445517</v>
      </c>
      <c r="G11" s="163">
        <f t="shared" si="0"/>
        <v>0.16063908041565425</v>
      </c>
      <c r="H11" s="161">
        <f t="shared" ref="H11:H18" si="1">+G11*$B$26</f>
        <v>2636216.4634415405</v>
      </c>
      <c r="I11" s="164">
        <f t="shared" ref="I11:I18" si="2">ROUND(H11,0)</f>
        <v>2636216</v>
      </c>
      <c r="J11" s="165">
        <v>2082742</v>
      </c>
      <c r="K11" s="165">
        <v>553474</v>
      </c>
      <c r="L11" s="166" t="s">
        <v>2</v>
      </c>
      <c r="M11" s="167">
        <f t="shared" ref="M11:M19" si="3">+K11+J11-I11</f>
        <v>0</v>
      </c>
    </row>
    <row r="12" spans="1:13" x14ac:dyDescent="0.25">
      <c r="A12" s="51" t="s">
        <v>11</v>
      </c>
      <c r="B12" s="97" t="s">
        <v>3</v>
      </c>
      <c r="C12" s="51" t="s">
        <v>17</v>
      </c>
      <c r="D12" s="161">
        <v>2052054</v>
      </c>
      <c r="E12" s="161">
        <v>2864163</v>
      </c>
      <c r="F12" s="162">
        <v>4916217</v>
      </c>
      <c r="G12" s="163">
        <f t="shared" si="0"/>
        <v>0.12252493911718897</v>
      </c>
      <c r="H12" s="161">
        <f t="shared" si="1"/>
        <v>2010732.7609641212</v>
      </c>
      <c r="I12" s="164">
        <f t="shared" si="2"/>
        <v>2010733</v>
      </c>
      <c r="J12" s="165">
        <v>1588579</v>
      </c>
      <c r="K12" s="165">
        <v>422154</v>
      </c>
      <c r="L12" s="166" t="s">
        <v>3</v>
      </c>
      <c r="M12" s="167">
        <f t="shared" si="3"/>
        <v>0</v>
      </c>
    </row>
    <row r="13" spans="1:13" x14ac:dyDescent="0.25">
      <c r="A13" s="51" t="s">
        <v>12</v>
      </c>
      <c r="B13" s="97" t="s">
        <v>4</v>
      </c>
      <c r="C13" s="51" t="s">
        <v>17</v>
      </c>
      <c r="D13" s="161">
        <v>1672071</v>
      </c>
      <c r="E13" s="161">
        <v>2870702</v>
      </c>
      <c r="F13" s="162">
        <v>4542773</v>
      </c>
      <c r="G13" s="163">
        <f t="shared" si="0"/>
        <v>0.11321774145612569</v>
      </c>
      <c r="H13" s="161">
        <f t="shared" si="1"/>
        <v>1857994.1643591532</v>
      </c>
      <c r="I13" s="164">
        <f t="shared" si="2"/>
        <v>1857994</v>
      </c>
      <c r="J13" s="165">
        <v>1467908</v>
      </c>
      <c r="K13" s="165">
        <v>390086</v>
      </c>
      <c r="L13" s="166" t="s">
        <v>4</v>
      </c>
      <c r="M13" s="167">
        <f t="shared" si="3"/>
        <v>0</v>
      </c>
    </row>
    <row r="14" spans="1:13" x14ac:dyDescent="0.25">
      <c r="A14" s="51" t="s">
        <v>13</v>
      </c>
      <c r="B14" s="97" t="s">
        <v>5</v>
      </c>
      <c r="C14" s="51" t="s">
        <v>17</v>
      </c>
      <c r="D14" s="161">
        <v>1463717</v>
      </c>
      <c r="E14" s="161">
        <v>2617125</v>
      </c>
      <c r="F14" s="162">
        <v>4080842</v>
      </c>
      <c r="G14" s="163">
        <f t="shared" si="0"/>
        <v>0.10170521716125785</v>
      </c>
      <c r="H14" s="161">
        <f t="shared" si="1"/>
        <v>1669064.384610839</v>
      </c>
      <c r="I14" s="164">
        <f t="shared" si="2"/>
        <v>1669064</v>
      </c>
      <c r="J14" s="165">
        <v>1318644</v>
      </c>
      <c r="K14" s="165">
        <v>350420</v>
      </c>
      <c r="L14" s="166" t="s">
        <v>5</v>
      </c>
      <c r="M14" s="167">
        <f t="shared" si="3"/>
        <v>0</v>
      </c>
    </row>
    <row r="15" spans="1:13" x14ac:dyDescent="0.25">
      <c r="A15" s="51" t="s">
        <v>14</v>
      </c>
      <c r="B15" s="97" t="s">
        <v>6</v>
      </c>
      <c r="C15" s="51" t="s">
        <v>17</v>
      </c>
      <c r="D15" s="161">
        <v>1293939</v>
      </c>
      <c r="E15" s="161">
        <v>1892091</v>
      </c>
      <c r="F15" s="162">
        <v>3186030</v>
      </c>
      <c r="G15" s="163">
        <f t="shared" si="0"/>
        <v>7.9404170274733107E-2</v>
      </c>
      <c r="H15" s="161">
        <f t="shared" si="1"/>
        <v>1303086.2751612712</v>
      </c>
      <c r="I15" s="164">
        <f t="shared" si="2"/>
        <v>1303086</v>
      </c>
      <c r="J15" s="165">
        <v>1029503</v>
      </c>
      <c r="K15" s="165">
        <v>273583</v>
      </c>
      <c r="L15" s="166" t="s">
        <v>6</v>
      </c>
      <c r="M15" s="167">
        <f t="shared" si="3"/>
        <v>0</v>
      </c>
    </row>
    <row r="16" spans="1:13" x14ac:dyDescent="0.25">
      <c r="A16" s="51" t="s">
        <v>15</v>
      </c>
      <c r="B16" s="97" t="s">
        <v>7</v>
      </c>
      <c r="C16" s="51" t="s">
        <v>17</v>
      </c>
      <c r="D16" s="161">
        <v>1210529</v>
      </c>
      <c r="E16" s="161">
        <v>1581242</v>
      </c>
      <c r="F16" s="162">
        <v>2791771</v>
      </c>
      <c r="G16" s="163">
        <f t="shared" si="0"/>
        <v>6.9578208570560199E-2</v>
      </c>
      <c r="H16" s="161">
        <f t="shared" si="1"/>
        <v>1141834.3435225836</v>
      </c>
      <c r="I16" s="164">
        <f t="shared" si="2"/>
        <v>1141834</v>
      </c>
      <c r="J16" s="165">
        <v>902106</v>
      </c>
      <c r="K16" s="165">
        <v>239728</v>
      </c>
      <c r="L16" s="166" t="s">
        <v>7</v>
      </c>
      <c r="M16" s="167">
        <f t="shared" si="3"/>
        <v>0</v>
      </c>
    </row>
    <row r="17" spans="1:13" x14ac:dyDescent="0.25">
      <c r="A17" s="51" t="s">
        <v>21</v>
      </c>
      <c r="B17" s="97" t="s">
        <v>18</v>
      </c>
      <c r="C17" s="51" t="s">
        <v>17</v>
      </c>
      <c r="D17" s="161">
        <v>1007485</v>
      </c>
      <c r="E17" s="161">
        <v>1681705</v>
      </c>
      <c r="F17" s="162">
        <v>2689190</v>
      </c>
      <c r="G17" s="163">
        <f t="shared" si="0"/>
        <v>6.7021622728320046E-2</v>
      </c>
      <c r="H17" s="161">
        <f t="shared" si="1"/>
        <v>1099878.7143564054</v>
      </c>
      <c r="I17" s="164">
        <f t="shared" si="2"/>
        <v>1099879</v>
      </c>
      <c r="J17" s="165">
        <v>868959</v>
      </c>
      <c r="K17" s="165">
        <v>230920</v>
      </c>
      <c r="L17" s="166" t="s">
        <v>18</v>
      </c>
      <c r="M17" s="167">
        <f t="shared" si="3"/>
        <v>0</v>
      </c>
    </row>
    <row r="18" spans="1:13" x14ac:dyDescent="0.25">
      <c r="A18" s="51" t="s">
        <v>20</v>
      </c>
      <c r="B18" s="97" t="s">
        <v>19</v>
      </c>
      <c r="C18" s="51" t="s">
        <v>17</v>
      </c>
      <c r="D18" s="161">
        <v>910230</v>
      </c>
      <c r="E18" s="161">
        <v>1637445</v>
      </c>
      <c r="F18" s="162">
        <v>2547675</v>
      </c>
      <c r="G18" s="163">
        <f t="shared" si="0"/>
        <v>6.3494700145535557E-2</v>
      </c>
      <c r="H18" s="161">
        <f t="shared" si="1"/>
        <v>1041999.0791271555</v>
      </c>
      <c r="I18" s="164">
        <f t="shared" si="2"/>
        <v>1041999</v>
      </c>
      <c r="J18" s="165">
        <v>823231</v>
      </c>
      <c r="K18" s="165">
        <v>218768</v>
      </c>
      <c r="L18" s="166" t="s">
        <v>19</v>
      </c>
      <c r="M18" s="167">
        <f t="shared" si="3"/>
        <v>0</v>
      </c>
    </row>
    <row r="19" spans="1:13" x14ac:dyDescent="0.25">
      <c r="A19" s="274" t="s">
        <v>105</v>
      </c>
      <c r="B19" s="274"/>
      <c r="C19" s="274"/>
      <c r="D19" s="168">
        <f>SUM(D10:D18)</f>
        <v>16049685</v>
      </c>
      <c r="E19" s="168">
        <f>SUM(E10:E18)</f>
        <v>24074530</v>
      </c>
      <c r="F19" s="162">
        <f t="shared" ref="F19:I19" si="4">SUM(F10:F18)</f>
        <v>40124215</v>
      </c>
      <c r="G19" s="169">
        <f t="shared" si="4"/>
        <v>1</v>
      </c>
      <c r="H19" s="140">
        <f t="shared" si="4"/>
        <v>16410804.000000002</v>
      </c>
      <c r="I19" s="170">
        <f t="shared" si="4"/>
        <v>16410803</v>
      </c>
      <c r="J19" s="171">
        <v>12965352</v>
      </c>
      <c r="K19" s="171">
        <v>3445451</v>
      </c>
      <c r="L19" s="172"/>
      <c r="M19" s="167">
        <f t="shared" si="3"/>
        <v>0</v>
      </c>
    </row>
    <row r="20" spans="1:13" x14ac:dyDescent="0.25">
      <c r="I20" s="1"/>
    </row>
    <row r="22" spans="1:13" x14ac:dyDescent="0.25">
      <c r="A22" s="173" t="s">
        <v>192</v>
      </c>
      <c r="B22" s="174" t="s">
        <v>59</v>
      </c>
      <c r="E22" s="175" t="s">
        <v>193</v>
      </c>
      <c r="F22" s="175" t="s">
        <v>194</v>
      </c>
    </row>
    <row r="23" spans="1:13" x14ac:dyDescent="0.25">
      <c r="A23" s="176" t="s">
        <v>115</v>
      </c>
      <c r="B23" s="57">
        <v>32413379</v>
      </c>
      <c r="C23" s="177">
        <f>+B23/B25</f>
        <v>0.79004975015239964</v>
      </c>
      <c r="E23" s="178">
        <f>+J19</f>
        <v>12965352</v>
      </c>
      <c r="F23" s="179">
        <f>+B23-E23</f>
        <v>19448027</v>
      </c>
    </row>
    <row r="24" spans="1:13" x14ac:dyDescent="0.25">
      <c r="A24" s="176" t="s">
        <v>116</v>
      </c>
      <c r="B24" s="57">
        <v>8613631</v>
      </c>
      <c r="C24" s="177">
        <f>+B24/B25</f>
        <v>0.20995024984760038</v>
      </c>
      <c r="E24" s="178">
        <f>+K19</f>
        <v>3445451</v>
      </c>
      <c r="F24" s="179">
        <f>+B24-E24</f>
        <v>5168180</v>
      </c>
    </row>
    <row r="25" spans="1:13" x14ac:dyDescent="0.25">
      <c r="A25" s="180" t="s">
        <v>195</v>
      </c>
      <c r="B25" s="181">
        <f>SUM(B23:B24)</f>
        <v>41027010</v>
      </c>
      <c r="E25" s="178">
        <f>SUM(E23:E24)</f>
        <v>16410803</v>
      </c>
      <c r="F25" s="178">
        <f>SUM(F23:F24)</f>
        <v>24616207</v>
      </c>
    </row>
    <row r="26" spans="1:13" x14ac:dyDescent="0.25">
      <c r="A26" s="182" t="s">
        <v>196</v>
      </c>
      <c r="B26" s="183">
        <f>B25*0.4</f>
        <v>16410804</v>
      </c>
    </row>
  </sheetData>
  <mergeCells count="3">
    <mergeCell ref="F8:G8"/>
    <mergeCell ref="H8:L8"/>
    <mergeCell ref="A19:C19"/>
  </mergeCells>
  <pageMargins left="0.31496062992125984" right="0.31496062992125984" top="0.74803149606299213" bottom="0.74803149606299213" header="0.31496062992125984" footer="0.31496062992125984"/>
  <pageSetup paperSize="14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A29"/>
  <sheetViews>
    <sheetView topLeftCell="B1" workbookViewId="0">
      <selection activeCell="Q18" sqref="Q18"/>
    </sheetView>
  </sheetViews>
  <sheetFormatPr baseColWidth="10" defaultRowHeight="15" x14ac:dyDescent="0.25"/>
  <cols>
    <col min="1" max="1" width="47" customWidth="1"/>
    <col min="2" max="2" width="14.140625" customWidth="1"/>
    <col min="3" max="3" width="13.42578125" customWidth="1"/>
    <col min="4" max="9" width="6.7109375" customWidth="1"/>
    <col min="10" max="10" width="9.42578125" customWidth="1"/>
    <col min="11" max="18" width="6.7109375" customWidth="1"/>
    <col min="19" max="19" width="8.28515625" customWidth="1"/>
    <col min="20" max="21" width="9" customWidth="1"/>
    <col min="22" max="22" width="8.42578125" customWidth="1"/>
    <col min="23" max="24" width="11.28515625" customWidth="1"/>
    <col min="25" max="25" width="23.42578125" bestFit="1" customWidth="1"/>
  </cols>
  <sheetData>
    <row r="1" spans="1:27" x14ac:dyDescent="0.25">
      <c r="A1" s="16" t="s">
        <v>171</v>
      </c>
    </row>
    <row r="2" spans="1:27" x14ac:dyDescent="0.25">
      <c r="B2" s="144">
        <v>1</v>
      </c>
      <c r="C2" s="144">
        <v>2</v>
      </c>
      <c r="D2" s="144">
        <v>3</v>
      </c>
      <c r="E2" s="144">
        <v>4</v>
      </c>
      <c r="F2" s="144">
        <v>5</v>
      </c>
      <c r="G2" s="144">
        <v>6</v>
      </c>
      <c r="H2" s="144">
        <v>7</v>
      </c>
      <c r="I2" s="144">
        <v>8</v>
      </c>
      <c r="J2" s="144">
        <v>9</v>
      </c>
      <c r="K2" s="144">
        <v>10</v>
      </c>
      <c r="L2" s="144">
        <v>11</v>
      </c>
      <c r="M2" s="144">
        <v>12</v>
      </c>
      <c r="N2" s="144">
        <v>13</v>
      </c>
      <c r="O2" s="144">
        <v>14</v>
      </c>
      <c r="P2" s="144">
        <v>15</v>
      </c>
      <c r="Q2" s="144">
        <v>16</v>
      </c>
      <c r="R2" s="144">
        <v>17</v>
      </c>
      <c r="S2" s="144">
        <v>18</v>
      </c>
      <c r="T2" s="144">
        <v>19</v>
      </c>
      <c r="U2" s="144">
        <v>20</v>
      </c>
      <c r="V2" s="144">
        <v>21</v>
      </c>
      <c r="W2" s="144">
        <v>22</v>
      </c>
      <c r="X2" s="144">
        <v>23</v>
      </c>
      <c r="Y2" s="144">
        <v>24</v>
      </c>
    </row>
    <row r="3" spans="1:27" ht="35.25" customHeight="1" x14ac:dyDescent="0.25">
      <c r="B3" s="84"/>
      <c r="C3" s="84"/>
      <c r="D3" s="275" t="s">
        <v>109</v>
      </c>
      <c r="E3" s="275"/>
      <c r="F3" s="275"/>
      <c r="G3" s="275"/>
      <c r="H3" s="275"/>
      <c r="I3" s="275"/>
      <c r="J3" s="275"/>
      <c r="K3" s="275" t="s">
        <v>118</v>
      </c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84">
        <v>24</v>
      </c>
    </row>
    <row r="4" spans="1:27" ht="39" x14ac:dyDescent="0.25">
      <c r="A4" s="21" t="s">
        <v>8</v>
      </c>
      <c r="B4" t="s">
        <v>108</v>
      </c>
      <c r="C4" s="21" t="s">
        <v>16</v>
      </c>
      <c r="D4" s="111">
        <v>2</v>
      </c>
      <c r="E4" s="111">
        <v>3</v>
      </c>
      <c r="F4" s="111">
        <v>4</v>
      </c>
      <c r="G4" s="111">
        <v>5</v>
      </c>
      <c r="H4" s="111">
        <v>6</v>
      </c>
      <c r="I4" s="111">
        <v>9</v>
      </c>
      <c r="J4" s="112" t="s">
        <v>22</v>
      </c>
      <c r="K4" s="115">
        <v>2</v>
      </c>
      <c r="L4" s="115">
        <v>3</v>
      </c>
      <c r="M4" s="115">
        <v>4</v>
      </c>
      <c r="N4" s="115">
        <v>5</v>
      </c>
      <c r="O4" s="115">
        <v>6</v>
      </c>
      <c r="P4" s="115">
        <v>7</v>
      </c>
      <c r="Q4" s="115">
        <v>8</v>
      </c>
      <c r="R4" s="115">
        <v>9</v>
      </c>
      <c r="S4" s="116" t="s">
        <v>110</v>
      </c>
      <c r="T4" s="100" t="s">
        <v>111</v>
      </c>
      <c r="U4" s="100" t="s">
        <v>23</v>
      </c>
      <c r="V4" s="100" t="s">
        <v>24</v>
      </c>
      <c r="W4" s="100" t="s">
        <v>134</v>
      </c>
      <c r="X4" s="100" t="s">
        <v>25</v>
      </c>
      <c r="Y4" s="100" t="s">
        <v>56</v>
      </c>
    </row>
    <row r="5" spans="1:27" x14ac:dyDescent="0.25">
      <c r="A5" s="1" t="s">
        <v>9</v>
      </c>
      <c r="B5" s="1" t="s">
        <v>1</v>
      </c>
      <c r="C5" s="2" t="s">
        <v>17</v>
      </c>
      <c r="D5" s="113">
        <v>0</v>
      </c>
      <c r="E5" s="113">
        <v>0</v>
      </c>
      <c r="F5" s="113">
        <v>0</v>
      </c>
      <c r="G5" s="113">
        <v>0</v>
      </c>
      <c r="H5" s="113">
        <v>1</v>
      </c>
      <c r="I5" s="113">
        <v>0</v>
      </c>
      <c r="J5" s="113">
        <f>SUM(D5:I5)</f>
        <v>1</v>
      </c>
      <c r="K5" s="117">
        <v>0</v>
      </c>
      <c r="L5" s="117">
        <v>6</v>
      </c>
      <c r="M5" s="117">
        <v>7</v>
      </c>
      <c r="N5" s="117">
        <v>6</v>
      </c>
      <c r="O5" s="117">
        <v>3</v>
      </c>
      <c r="P5" s="117">
        <v>8</v>
      </c>
      <c r="Q5" s="117">
        <v>4</v>
      </c>
      <c r="R5" s="117">
        <v>1</v>
      </c>
      <c r="S5" s="117">
        <f>SUM(K5:R5)</f>
        <v>35</v>
      </c>
      <c r="T5" s="119">
        <f>J5+S5</f>
        <v>36</v>
      </c>
      <c r="U5" s="119">
        <f>SUM(G5:I5)</f>
        <v>1</v>
      </c>
      <c r="V5" s="188">
        <f>S5+U5</f>
        <v>36</v>
      </c>
      <c r="W5" s="189">
        <f>VLOOKUP(B5,'Publicaciones BD'!$B$3:$C$11,2,0)</f>
        <v>2604</v>
      </c>
      <c r="X5" s="119" t="str">
        <f t="shared" ref="X5:X13" si="0">IF(AND(V5&gt;=10,W5&gt;=300),"Categoría I",IF(AND(V5&gt;=1,W5&gt;=100),"Categoría II","Categoría III"))</f>
        <v>Categoría I</v>
      </c>
      <c r="Y5" s="119" t="str">
        <f t="shared" ref="Y5:Y13" si="1">CONCATENATE(C5,X5)</f>
        <v>CRUCH-PRIVADACategoría I</v>
      </c>
      <c r="Z5" t="s">
        <v>1</v>
      </c>
      <c r="AA5" t="s">
        <v>113</v>
      </c>
    </row>
    <row r="6" spans="1:27" x14ac:dyDescent="0.25">
      <c r="A6" s="1" t="s">
        <v>11</v>
      </c>
      <c r="B6" s="1" t="s">
        <v>3</v>
      </c>
      <c r="C6" s="2" t="s">
        <v>17</v>
      </c>
      <c r="D6" s="113">
        <v>0</v>
      </c>
      <c r="E6" s="113">
        <v>0</v>
      </c>
      <c r="F6" s="113">
        <v>1</v>
      </c>
      <c r="G6" s="113">
        <v>1</v>
      </c>
      <c r="H6" s="113">
        <v>1</v>
      </c>
      <c r="I6" s="113">
        <v>1</v>
      </c>
      <c r="J6" s="113">
        <f t="shared" ref="J6:J13" si="2">SUM(D6:I6)</f>
        <v>4</v>
      </c>
      <c r="K6" s="117">
        <v>2</v>
      </c>
      <c r="L6" s="117">
        <v>2</v>
      </c>
      <c r="M6" s="117">
        <v>3</v>
      </c>
      <c r="N6" s="117">
        <v>2</v>
      </c>
      <c r="O6" s="117">
        <v>0</v>
      </c>
      <c r="P6" s="117">
        <v>1</v>
      </c>
      <c r="Q6" s="117">
        <v>1</v>
      </c>
      <c r="R6" s="117">
        <v>0</v>
      </c>
      <c r="S6" s="117">
        <f t="shared" ref="S6:S13" si="3">SUM(K6:R6)</f>
        <v>11</v>
      </c>
      <c r="T6" s="119">
        <f t="shared" ref="T6:T13" si="4">J6+S6</f>
        <v>15</v>
      </c>
      <c r="U6" s="119">
        <f t="shared" ref="U6:U13" si="5">SUM(G6:I6)</f>
        <v>3</v>
      </c>
      <c r="V6" s="188">
        <f t="shared" ref="V6:V13" si="6">S6+U6</f>
        <v>14</v>
      </c>
      <c r="W6" s="189">
        <f>VLOOKUP(B6,'Publicaciones BD'!$B$3:$C$11,2,0)</f>
        <v>816</v>
      </c>
      <c r="X6" s="119" t="str">
        <f t="shared" si="0"/>
        <v>Categoría I</v>
      </c>
      <c r="Y6" s="119" t="str">
        <f t="shared" si="1"/>
        <v>CRUCH-PRIVADACategoría I</v>
      </c>
      <c r="Z6" t="s">
        <v>3</v>
      </c>
      <c r="AA6" t="s">
        <v>113</v>
      </c>
    </row>
    <row r="7" spans="1:27" x14ac:dyDescent="0.25">
      <c r="A7" s="1" t="s">
        <v>12</v>
      </c>
      <c r="B7" s="1" t="s">
        <v>4</v>
      </c>
      <c r="C7" s="2" t="s">
        <v>17</v>
      </c>
      <c r="D7" s="113">
        <v>1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f t="shared" si="2"/>
        <v>1</v>
      </c>
      <c r="K7" s="117">
        <v>0</v>
      </c>
      <c r="L7" s="117">
        <v>5</v>
      </c>
      <c r="M7" s="117">
        <v>1</v>
      </c>
      <c r="N7" s="117">
        <v>0</v>
      </c>
      <c r="O7" s="117">
        <v>3</v>
      </c>
      <c r="P7" s="117">
        <v>1</v>
      </c>
      <c r="Q7" s="117">
        <v>0</v>
      </c>
      <c r="R7" s="117">
        <v>0</v>
      </c>
      <c r="S7" s="117">
        <f t="shared" si="3"/>
        <v>10</v>
      </c>
      <c r="T7" s="119">
        <f t="shared" si="4"/>
        <v>11</v>
      </c>
      <c r="U7" s="119">
        <f t="shared" si="5"/>
        <v>0</v>
      </c>
      <c r="V7" s="188">
        <f t="shared" si="6"/>
        <v>10</v>
      </c>
      <c r="W7" s="189">
        <f>VLOOKUP(B7,'Publicaciones BD'!$B$3:$C$11,2,0)</f>
        <v>750</v>
      </c>
      <c r="X7" s="119" t="str">
        <f t="shared" si="0"/>
        <v>Categoría I</v>
      </c>
      <c r="Y7" s="119" t="str">
        <f t="shared" si="1"/>
        <v>CRUCH-PRIVADACategoría I</v>
      </c>
      <c r="Z7" t="s">
        <v>4</v>
      </c>
      <c r="AA7" t="s">
        <v>113</v>
      </c>
    </row>
    <row r="8" spans="1:27" x14ac:dyDescent="0.25">
      <c r="A8" s="1" t="s">
        <v>20</v>
      </c>
      <c r="B8" s="1" t="s">
        <v>19</v>
      </c>
      <c r="C8" s="2" t="s">
        <v>17</v>
      </c>
      <c r="D8" s="113">
        <v>0</v>
      </c>
      <c r="E8" s="113">
        <v>0</v>
      </c>
      <c r="F8" s="113">
        <v>1</v>
      </c>
      <c r="G8" s="113">
        <v>0</v>
      </c>
      <c r="H8" s="113">
        <v>0</v>
      </c>
      <c r="I8" s="113">
        <v>0</v>
      </c>
      <c r="J8" s="113">
        <f t="shared" si="2"/>
        <v>1</v>
      </c>
      <c r="K8" s="117">
        <v>0</v>
      </c>
      <c r="L8" s="117">
        <v>1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f t="shared" si="3"/>
        <v>1</v>
      </c>
      <c r="T8" s="119">
        <f t="shared" si="4"/>
        <v>2</v>
      </c>
      <c r="U8" s="119">
        <f t="shared" si="5"/>
        <v>0</v>
      </c>
      <c r="V8" s="188">
        <f t="shared" si="6"/>
        <v>1</v>
      </c>
      <c r="W8" s="189">
        <f>VLOOKUP(B8,'Publicaciones BD'!$B$3:$C$11,2,0)</f>
        <v>270</v>
      </c>
      <c r="X8" s="119" t="str">
        <f t="shared" si="0"/>
        <v>Categoría II</v>
      </c>
      <c r="Y8" s="119" t="str">
        <f t="shared" si="1"/>
        <v>CRUCH-PRIVADACategoría II</v>
      </c>
      <c r="Z8" t="s">
        <v>19</v>
      </c>
      <c r="AA8" t="s">
        <v>114</v>
      </c>
    </row>
    <row r="9" spans="1:27" x14ac:dyDescent="0.25">
      <c r="A9" s="1" t="s">
        <v>15</v>
      </c>
      <c r="B9" s="1" t="s">
        <v>7</v>
      </c>
      <c r="C9" s="2" t="s">
        <v>17</v>
      </c>
      <c r="D9" s="113">
        <v>0</v>
      </c>
      <c r="E9" s="113">
        <v>0</v>
      </c>
      <c r="F9" s="113">
        <v>1</v>
      </c>
      <c r="G9" s="113">
        <v>0</v>
      </c>
      <c r="H9" s="113">
        <v>0</v>
      </c>
      <c r="I9" s="113">
        <v>0</v>
      </c>
      <c r="J9" s="113">
        <f t="shared" si="2"/>
        <v>1</v>
      </c>
      <c r="K9" s="117">
        <v>1</v>
      </c>
      <c r="L9" s="117">
        <v>0</v>
      </c>
      <c r="M9" s="117">
        <v>1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f t="shared" si="3"/>
        <v>2</v>
      </c>
      <c r="T9" s="119">
        <f t="shared" si="4"/>
        <v>3</v>
      </c>
      <c r="U9" s="119">
        <f t="shared" si="5"/>
        <v>0</v>
      </c>
      <c r="V9" s="188">
        <f t="shared" si="6"/>
        <v>2</v>
      </c>
      <c r="W9" s="189">
        <f>VLOOKUP(B9,'Publicaciones BD'!$B$3:$C$11,2,0)</f>
        <v>256</v>
      </c>
      <c r="X9" s="119" t="str">
        <f t="shared" si="0"/>
        <v>Categoría II</v>
      </c>
      <c r="Y9" s="119" t="str">
        <f t="shared" si="1"/>
        <v>CRUCH-PRIVADACategoría II</v>
      </c>
      <c r="Z9" t="s">
        <v>7</v>
      </c>
      <c r="AA9" t="s">
        <v>114</v>
      </c>
    </row>
    <row r="10" spans="1:27" x14ac:dyDescent="0.25">
      <c r="A10" s="1" t="s">
        <v>21</v>
      </c>
      <c r="B10" s="1" t="s">
        <v>18</v>
      </c>
      <c r="C10" s="2" t="s">
        <v>17</v>
      </c>
      <c r="D10" s="113">
        <v>0</v>
      </c>
      <c r="E10" s="113">
        <v>0</v>
      </c>
      <c r="F10" s="113">
        <v>1</v>
      </c>
      <c r="G10" s="113">
        <v>0</v>
      </c>
      <c r="H10" s="113">
        <v>0</v>
      </c>
      <c r="I10" s="113">
        <v>0</v>
      </c>
      <c r="J10" s="113">
        <f t="shared" si="2"/>
        <v>1</v>
      </c>
      <c r="K10" s="117">
        <v>1</v>
      </c>
      <c r="L10" s="117">
        <v>1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f t="shared" si="3"/>
        <v>2</v>
      </c>
      <c r="T10" s="119">
        <f t="shared" si="4"/>
        <v>3</v>
      </c>
      <c r="U10" s="119">
        <f t="shared" si="5"/>
        <v>0</v>
      </c>
      <c r="V10" s="188">
        <f t="shared" si="6"/>
        <v>2</v>
      </c>
      <c r="W10" s="189">
        <f>VLOOKUP(B10,'Publicaciones BD'!$B$3:$C$11,2,0)</f>
        <v>307</v>
      </c>
      <c r="X10" s="119" t="str">
        <f t="shared" si="0"/>
        <v>Categoría II</v>
      </c>
      <c r="Y10" s="119" t="str">
        <f t="shared" si="1"/>
        <v>CRUCH-PRIVADACategoría II</v>
      </c>
      <c r="Z10" t="s">
        <v>18</v>
      </c>
      <c r="AA10" t="s">
        <v>114</v>
      </c>
    </row>
    <row r="11" spans="1:27" x14ac:dyDescent="0.25">
      <c r="A11" s="1" t="s">
        <v>14</v>
      </c>
      <c r="B11" s="1" t="s">
        <v>6</v>
      </c>
      <c r="C11" s="2" t="s">
        <v>17</v>
      </c>
      <c r="D11" s="113">
        <v>0</v>
      </c>
      <c r="E11" s="113">
        <v>1</v>
      </c>
      <c r="F11" s="113">
        <v>0</v>
      </c>
      <c r="G11" s="113">
        <v>3</v>
      </c>
      <c r="H11" s="113">
        <v>0</v>
      </c>
      <c r="I11" s="113">
        <v>0</v>
      </c>
      <c r="J11" s="113">
        <f t="shared" si="2"/>
        <v>4</v>
      </c>
      <c r="K11" s="117">
        <v>0</v>
      </c>
      <c r="L11" s="117">
        <v>1</v>
      </c>
      <c r="M11" s="117">
        <v>2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f t="shared" si="3"/>
        <v>3</v>
      </c>
      <c r="T11" s="119">
        <f t="shared" si="4"/>
        <v>7</v>
      </c>
      <c r="U11" s="119">
        <f t="shared" si="5"/>
        <v>3</v>
      </c>
      <c r="V11" s="188">
        <f t="shared" si="6"/>
        <v>6</v>
      </c>
      <c r="W11" s="189">
        <f>VLOOKUP(B11,'Publicaciones BD'!$B$3:$C$11,2,0)</f>
        <v>481</v>
      </c>
      <c r="X11" s="119" t="str">
        <f t="shared" si="0"/>
        <v>Categoría II</v>
      </c>
      <c r="Y11" s="119" t="str">
        <f t="shared" si="1"/>
        <v>CRUCH-PRIVADACategoría II</v>
      </c>
      <c r="Z11" t="s">
        <v>6</v>
      </c>
      <c r="AA11" t="s">
        <v>114</v>
      </c>
    </row>
    <row r="12" spans="1:27" x14ac:dyDescent="0.25">
      <c r="A12" s="1" t="s">
        <v>10</v>
      </c>
      <c r="B12" s="1" t="s">
        <v>2</v>
      </c>
      <c r="C12" s="2" t="s">
        <v>17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f t="shared" si="2"/>
        <v>0</v>
      </c>
      <c r="K12" s="117">
        <v>4</v>
      </c>
      <c r="L12" s="117">
        <v>5</v>
      </c>
      <c r="M12" s="117">
        <v>4</v>
      </c>
      <c r="N12" s="117">
        <v>4</v>
      </c>
      <c r="O12" s="117">
        <v>5</v>
      </c>
      <c r="P12" s="117">
        <v>5</v>
      </c>
      <c r="Q12" s="117">
        <v>1</v>
      </c>
      <c r="R12" s="117">
        <v>0</v>
      </c>
      <c r="S12" s="117">
        <f t="shared" si="3"/>
        <v>28</v>
      </c>
      <c r="T12" s="119">
        <f t="shared" si="4"/>
        <v>28</v>
      </c>
      <c r="U12" s="119">
        <f t="shared" si="5"/>
        <v>0</v>
      </c>
      <c r="V12" s="188">
        <f t="shared" si="6"/>
        <v>28</v>
      </c>
      <c r="W12" s="189">
        <f>VLOOKUP(B12,'Publicaciones BD'!$B$3:$C$11,2,0)</f>
        <v>1367</v>
      </c>
      <c r="X12" s="119" t="str">
        <f t="shared" si="0"/>
        <v>Categoría I</v>
      </c>
      <c r="Y12" s="119" t="str">
        <f t="shared" si="1"/>
        <v>CRUCH-PRIVADACategoría I</v>
      </c>
      <c r="Z12" t="s">
        <v>2</v>
      </c>
      <c r="AA12" t="s">
        <v>113</v>
      </c>
    </row>
    <row r="13" spans="1:27" x14ac:dyDescent="0.25">
      <c r="A13" s="1" t="s">
        <v>13</v>
      </c>
      <c r="B13" s="1" t="s">
        <v>5</v>
      </c>
      <c r="C13" s="2" t="s">
        <v>17</v>
      </c>
      <c r="D13" s="113">
        <v>0</v>
      </c>
      <c r="E13" s="113">
        <v>0</v>
      </c>
      <c r="F13" s="113">
        <v>2</v>
      </c>
      <c r="G13" s="113">
        <v>0</v>
      </c>
      <c r="H13" s="113">
        <v>1</v>
      </c>
      <c r="I13" s="113">
        <v>1</v>
      </c>
      <c r="J13" s="113">
        <f t="shared" si="2"/>
        <v>4</v>
      </c>
      <c r="K13" s="117">
        <v>1</v>
      </c>
      <c r="L13" s="117">
        <v>0</v>
      </c>
      <c r="M13" s="117">
        <v>1</v>
      </c>
      <c r="N13" s="117">
        <v>0</v>
      </c>
      <c r="O13" s="117">
        <v>0</v>
      </c>
      <c r="P13" s="117">
        <v>1</v>
      </c>
      <c r="Q13" s="117">
        <v>0</v>
      </c>
      <c r="R13" s="117">
        <v>0</v>
      </c>
      <c r="S13" s="117">
        <f t="shared" si="3"/>
        <v>3</v>
      </c>
      <c r="T13" s="119">
        <f t="shared" si="4"/>
        <v>7</v>
      </c>
      <c r="U13" s="119">
        <f t="shared" si="5"/>
        <v>2</v>
      </c>
      <c r="V13" s="188">
        <f t="shared" si="6"/>
        <v>5</v>
      </c>
      <c r="W13" s="189">
        <f>VLOOKUP(B13,'Publicaciones BD'!$B$3:$C$11,2,0)</f>
        <v>711</v>
      </c>
      <c r="X13" s="119" t="str">
        <f t="shared" si="0"/>
        <v>Categoría II</v>
      </c>
      <c r="Y13" s="119" t="str">
        <f t="shared" si="1"/>
        <v>CRUCH-PRIVADACategoría II</v>
      </c>
      <c r="Z13" t="s">
        <v>5</v>
      </c>
      <c r="AA13" t="s">
        <v>114</v>
      </c>
    </row>
    <row r="14" spans="1:27" x14ac:dyDescent="0.25">
      <c r="A14" s="1"/>
      <c r="B14" s="1"/>
      <c r="C14" s="2" t="s">
        <v>105</v>
      </c>
      <c r="D14" s="114">
        <f>SUM(D5:D13)</f>
        <v>1</v>
      </c>
      <c r="E14" s="114">
        <f t="shared" ref="E14:J14" si="7">SUM(E5:E13)</f>
        <v>1</v>
      </c>
      <c r="F14" s="114">
        <f t="shared" si="7"/>
        <v>6</v>
      </c>
      <c r="G14" s="114">
        <f t="shared" si="7"/>
        <v>4</v>
      </c>
      <c r="H14" s="114">
        <f t="shared" si="7"/>
        <v>3</v>
      </c>
      <c r="I14" s="114">
        <f t="shared" si="7"/>
        <v>2</v>
      </c>
      <c r="J14" s="114">
        <f t="shared" si="7"/>
        <v>17</v>
      </c>
      <c r="K14" s="118">
        <f t="shared" ref="K14:W14" si="8">SUM(K5:K13)</f>
        <v>9</v>
      </c>
      <c r="L14" s="118">
        <f t="shared" si="8"/>
        <v>21</v>
      </c>
      <c r="M14" s="118">
        <f t="shared" si="8"/>
        <v>19</v>
      </c>
      <c r="N14" s="118">
        <f t="shared" si="8"/>
        <v>12</v>
      </c>
      <c r="O14" s="118">
        <f t="shared" si="8"/>
        <v>11</v>
      </c>
      <c r="P14" s="118">
        <f t="shared" si="8"/>
        <v>16</v>
      </c>
      <c r="Q14" s="118">
        <f t="shared" si="8"/>
        <v>6</v>
      </c>
      <c r="R14" s="118">
        <f t="shared" si="8"/>
        <v>1</v>
      </c>
      <c r="S14" s="118">
        <f t="shared" si="8"/>
        <v>95</v>
      </c>
      <c r="T14" s="120">
        <f t="shared" si="8"/>
        <v>112</v>
      </c>
      <c r="U14" s="120">
        <f t="shared" si="8"/>
        <v>9</v>
      </c>
      <c r="V14" s="120">
        <f t="shared" si="8"/>
        <v>104</v>
      </c>
      <c r="W14" s="121">
        <f t="shared" si="8"/>
        <v>7562</v>
      </c>
      <c r="X14" s="1"/>
    </row>
    <row r="17" spans="1:6" x14ac:dyDescent="0.25">
      <c r="A17" s="7" t="s">
        <v>51</v>
      </c>
      <c r="B17" s="7" t="s">
        <v>57</v>
      </c>
      <c r="C17" s="7" t="s">
        <v>55</v>
      </c>
      <c r="F17" s="7"/>
    </row>
    <row r="18" spans="1:6" x14ac:dyDescent="0.25">
      <c r="A18" s="1" t="s">
        <v>52</v>
      </c>
      <c r="B18" s="1">
        <f>COUNTIF($Y$4:$Y$13,A18)</f>
        <v>4</v>
      </c>
      <c r="C18" s="1">
        <f>(3*$B$18)+(2*$B$19)+$B$20</f>
        <v>22</v>
      </c>
      <c r="F18" s="5"/>
    </row>
    <row r="19" spans="1:6" x14ac:dyDescent="0.25">
      <c r="A19" s="1" t="s">
        <v>53</v>
      </c>
      <c r="B19" s="1">
        <f>COUNTIF($Y$4:$Y$13,A19)</f>
        <v>5</v>
      </c>
      <c r="C19" s="1">
        <f>(3*$B$18)+(2*$B$19)+$B$20</f>
        <v>22</v>
      </c>
      <c r="F19" s="5"/>
    </row>
    <row r="20" spans="1:6" x14ac:dyDescent="0.25">
      <c r="A20" s="1" t="s">
        <v>54</v>
      </c>
      <c r="B20" s="1">
        <f>COUNTIF($Y$4:$Y$13,A20)</f>
        <v>0</v>
      </c>
      <c r="C20" s="1">
        <f>(3*$B$18)+(2*$B$19)+$B$20</f>
        <v>22</v>
      </c>
      <c r="F20" s="5"/>
    </row>
    <row r="21" spans="1:6" x14ac:dyDescent="0.25">
      <c r="A21" s="1"/>
      <c r="B21" s="1">
        <f>SUM(B18:B20)</f>
        <v>9</v>
      </c>
      <c r="C21" s="1"/>
      <c r="F21" s="6"/>
    </row>
    <row r="23" spans="1:6" x14ac:dyDescent="0.25">
      <c r="A23" s="7" t="s">
        <v>58</v>
      </c>
      <c r="B23" s="7" t="s">
        <v>59</v>
      </c>
    </row>
    <row r="24" spans="1:6" x14ac:dyDescent="0.25">
      <c r="A24" s="1" t="s">
        <v>17</v>
      </c>
      <c r="B24" s="74">
        <f>'Montos BD 2021'!I27</f>
        <v>23171076</v>
      </c>
    </row>
    <row r="25" spans="1:6" x14ac:dyDescent="0.25">
      <c r="A25" s="7" t="s">
        <v>25</v>
      </c>
      <c r="B25" s="7" t="s">
        <v>60</v>
      </c>
      <c r="C25" s="7" t="s">
        <v>72</v>
      </c>
    </row>
    <row r="26" spans="1:6" x14ac:dyDescent="0.25">
      <c r="A26" s="1" t="s">
        <v>52</v>
      </c>
      <c r="B26" s="70">
        <f>($B$24*3*B18)/C18</f>
        <v>12638768.727272727</v>
      </c>
      <c r="C26" s="70">
        <f>ROUND(B26,0)</f>
        <v>12638769</v>
      </c>
    </row>
    <row r="27" spans="1:6" x14ac:dyDescent="0.25">
      <c r="A27" s="1" t="s">
        <v>53</v>
      </c>
      <c r="B27" s="70">
        <f>($B$24*2*B19)/C19</f>
        <v>10532307.272727273</v>
      </c>
      <c r="C27" s="70">
        <f>ROUND(B27,0)</f>
        <v>10532307</v>
      </c>
    </row>
    <row r="28" spans="1:6" x14ac:dyDescent="0.25">
      <c r="A28" s="1" t="s">
        <v>54</v>
      </c>
      <c r="B28" s="70">
        <f>($B$24*1*B20)/C20</f>
        <v>0</v>
      </c>
      <c r="C28" s="70">
        <f>ROUND(B28,0)</f>
        <v>0</v>
      </c>
    </row>
    <row r="29" spans="1:6" x14ac:dyDescent="0.25">
      <c r="B29" s="71">
        <f>SUM(B26:B28)</f>
        <v>23171076</v>
      </c>
      <c r="C29" s="71">
        <f>SUM(C26:C28)</f>
        <v>23171076</v>
      </c>
    </row>
  </sheetData>
  <mergeCells count="2">
    <mergeCell ref="D3:J3"/>
    <mergeCell ref="K3:U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ignoredErrors>
    <ignoredError sqref="J14:W14 D14:H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2:AA20"/>
  <sheetViews>
    <sheetView topLeftCell="L1" workbookViewId="0">
      <selection activeCell="Y15" sqref="Y15"/>
    </sheetView>
  </sheetViews>
  <sheetFormatPr baseColWidth="10" defaultRowHeight="15" x14ac:dyDescent="0.25"/>
  <cols>
    <col min="1" max="1" width="46.5703125" bestFit="1" customWidth="1"/>
    <col min="4" max="4" width="12.85546875" customWidth="1"/>
  </cols>
  <sheetData>
    <row r="2" spans="1:27" x14ac:dyDescent="0.25">
      <c r="E2" s="149">
        <v>1</v>
      </c>
      <c r="F2" s="149">
        <v>2</v>
      </c>
      <c r="G2" s="149">
        <v>3</v>
      </c>
      <c r="H2" s="149">
        <v>4</v>
      </c>
      <c r="I2" s="149">
        <v>5</v>
      </c>
      <c r="J2" s="149">
        <v>6</v>
      </c>
      <c r="K2" s="149">
        <v>7</v>
      </c>
      <c r="L2" s="149">
        <v>8</v>
      </c>
      <c r="M2" s="149">
        <v>9</v>
      </c>
      <c r="N2" s="149">
        <v>10</v>
      </c>
      <c r="O2" s="149">
        <v>11</v>
      </c>
      <c r="P2" s="149">
        <v>12</v>
      </c>
      <c r="Q2" s="149">
        <v>13</v>
      </c>
      <c r="R2" s="149">
        <v>14</v>
      </c>
      <c r="S2" s="149">
        <v>15</v>
      </c>
      <c r="T2" s="149">
        <v>16</v>
      </c>
      <c r="U2" s="149">
        <v>17</v>
      </c>
      <c r="V2" s="149">
        <v>18</v>
      </c>
      <c r="W2" s="149">
        <v>19</v>
      </c>
      <c r="X2" s="149">
        <v>20</v>
      </c>
      <c r="Y2" s="149">
        <v>21</v>
      </c>
    </row>
    <row r="3" spans="1:27" ht="33.75" x14ac:dyDescent="0.25">
      <c r="A3" s="21" t="s">
        <v>8</v>
      </c>
      <c r="B3" s="21" t="s">
        <v>0</v>
      </c>
      <c r="C3" s="21" t="s">
        <v>16</v>
      </c>
      <c r="D3" s="7" t="s">
        <v>25</v>
      </c>
      <c r="E3" s="122" t="s">
        <v>138</v>
      </c>
      <c r="F3" s="122" t="s">
        <v>139</v>
      </c>
      <c r="G3" s="122" t="s">
        <v>140</v>
      </c>
      <c r="H3" s="123" t="s">
        <v>141</v>
      </c>
      <c r="I3" s="122" t="s">
        <v>142</v>
      </c>
      <c r="J3" s="122" t="s">
        <v>143</v>
      </c>
      <c r="K3" s="124" t="s">
        <v>152</v>
      </c>
      <c r="L3" s="124" t="s">
        <v>153</v>
      </c>
      <c r="M3" s="124" t="s">
        <v>154</v>
      </c>
      <c r="N3" s="125" t="s">
        <v>144</v>
      </c>
      <c r="O3" s="126" t="s">
        <v>145</v>
      </c>
      <c r="P3" s="126" t="s">
        <v>146</v>
      </c>
      <c r="Q3" s="124" t="s">
        <v>170</v>
      </c>
      <c r="R3" s="127" t="s">
        <v>147</v>
      </c>
      <c r="S3" s="126" t="s">
        <v>148</v>
      </c>
      <c r="T3" s="128" t="s">
        <v>149</v>
      </c>
      <c r="U3" s="129" t="s">
        <v>112</v>
      </c>
      <c r="V3" s="129" t="s">
        <v>126</v>
      </c>
      <c r="W3" s="129" t="s">
        <v>150</v>
      </c>
      <c r="X3" s="130" t="s">
        <v>151</v>
      </c>
      <c r="Y3" s="130" t="s">
        <v>127</v>
      </c>
    </row>
    <row r="4" spans="1:27" x14ac:dyDescent="0.25">
      <c r="A4" s="47" t="str">
        <f>Categorías!A5</f>
        <v>PONTIFICIA UNIVERSIDAD CATÓLICA DE CHILE</v>
      </c>
      <c r="B4" s="47" t="str">
        <f>Categorías!B5</f>
        <v>PUC</v>
      </c>
      <c r="C4" s="48" t="str">
        <f>Categorías!C5</f>
        <v>CRUCH-PRIVADA</v>
      </c>
      <c r="D4" s="47" t="str">
        <f>Categorías!X5</f>
        <v>Categoría I</v>
      </c>
      <c r="E4" s="145">
        <v>1572</v>
      </c>
      <c r="F4" s="145">
        <v>33253</v>
      </c>
      <c r="G4" s="145">
        <v>1083.7954545454538</v>
      </c>
      <c r="H4" s="145">
        <v>2256.7045454545446</v>
      </c>
      <c r="I4" s="146">
        <v>509.09090909090884</v>
      </c>
      <c r="J4" s="146">
        <v>418.93181818181824</v>
      </c>
      <c r="K4" s="145">
        <v>2604</v>
      </c>
      <c r="L4" s="145">
        <v>141460</v>
      </c>
      <c r="M4" s="145">
        <v>12416</v>
      </c>
      <c r="N4" s="147">
        <v>1569</v>
      </c>
      <c r="O4" s="147">
        <v>5756</v>
      </c>
      <c r="P4" s="147">
        <v>4950</v>
      </c>
      <c r="Q4" s="147">
        <v>5648</v>
      </c>
      <c r="R4" s="148">
        <v>4206</v>
      </c>
      <c r="S4" s="148">
        <v>5471</v>
      </c>
      <c r="T4" s="145">
        <v>35</v>
      </c>
      <c r="U4" s="145">
        <v>171</v>
      </c>
      <c r="V4" s="145">
        <v>160</v>
      </c>
      <c r="W4" s="145">
        <v>216</v>
      </c>
      <c r="X4" s="145">
        <v>30</v>
      </c>
      <c r="Y4" s="145">
        <v>34</v>
      </c>
      <c r="Z4" s="49"/>
      <c r="AA4" s="50"/>
    </row>
    <row r="5" spans="1:27" x14ac:dyDescent="0.25">
      <c r="A5" s="47" t="str">
        <f>Categorías!A6</f>
        <v>PONTIFICIA UNIVERSIDAD CATÓLICA DE VALPARAÍSO</v>
      </c>
      <c r="B5" s="47" t="str">
        <f>Categorías!B6</f>
        <v>UCV</v>
      </c>
      <c r="C5" s="48" t="str">
        <f>Categorías!C6</f>
        <v>CRUCH-PRIVADA</v>
      </c>
      <c r="D5" s="47" t="str">
        <f>Categorías!X6</f>
        <v>Categoría I</v>
      </c>
      <c r="E5" s="145">
        <v>523</v>
      </c>
      <c r="F5" s="145">
        <v>17445</v>
      </c>
      <c r="G5" s="145">
        <v>420.39772727272737</v>
      </c>
      <c r="H5" s="145">
        <v>665.06818181818164</v>
      </c>
      <c r="I5" s="146">
        <v>150.87499999999989</v>
      </c>
      <c r="J5" s="146">
        <v>0.37500000000000022</v>
      </c>
      <c r="K5" s="145">
        <v>816</v>
      </c>
      <c r="L5" s="145">
        <v>19757</v>
      </c>
      <c r="M5" s="145">
        <v>3476</v>
      </c>
      <c r="N5" s="147">
        <v>2100</v>
      </c>
      <c r="O5" s="147">
        <v>3621</v>
      </c>
      <c r="P5" s="147">
        <v>2898</v>
      </c>
      <c r="Q5" s="147">
        <v>3569</v>
      </c>
      <c r="R5" s="148">
        <v>2221</v>
      </c>
      <c r="S5" s="148">
        <v>3313</v>
      </c>
      <c r="T5" s="145">
        <v>16</v>
      </c>
      <c r="U5" s="145">
        <v>51</v>
      </c>
      <c r="V5" s="145">
        <v>47</v>
      </c>
      <c r="W5" s="145">
        <v>60</v>
      </c>
      <c r="X5" s="145">
        <v>0</v>
      </c>
      <c r="Y5" s="145">
        <v>0</v>
      </c>
      <c r="Z5" s="49"/>
      <c r="AA5" s="50"/>
    </row>
    <row r="6" spans="1:27" x14ac:dyDescent="0.25">
      <c r="A6" s="47" t="str">
        <f>Categorías!A7</f>
        <v>UNIVERSIDAD AUSTRAL DE CHILE</v>
      </c>
      <c r="B6" s="47" t="str">
        <f>Categorías!B7</f>
        <v>AUS</v>
      </c>
      <c r="C6" s="48" t="str">
        <f>Categorías!C7</f>
        <v>CRUCH-PRIVADA</v>
      </c>
      <c r="D6" s="47" t="str">
        <f>Categorías!X7</f>
        <v>Categoría I</v>
      </c>
      <c r="E6" s="145">
        <v>765</v>
      </c>
      <c r="F6" s="145">
        <v>16530</v>
      </c>
      <c r="G6" s="145">
        <v>439.02272727272731</v>
      </c>
      <c r="H6" s="145">
        <v>890.34090909090924</v>
      </c>
      <c r="I6" s="146">
        <v>250.50000000000003</v>
      </c>
      <c r="J6" s="146">
        <v>50.886363636363633</v>
      </c>
      <c r="K6" s="145">
        <v>750</v>
      </c>
      <c r="L6" s="145">
        <v>24191</v>
      </c>
      <c r="M6" s="145">
        <v>3084</v>
      </c>
      <c r="N6" s="147">
        <v>2269</v>
      </c>
      <c r="O6" s="147">
        <v>3390</v>
      </c>
      <c r="P6" s="147">
        <v>2590</v>
      </c>
      <c r="Q6" s="147">
        <v>3075</v>
      </c>
      <c r="R6" s="148">
        <v>1935</v>
      </c>
      <c r="S6" s="148">
        <v>2802</v>
      </c>
      <c r="T6" s="145">
        <v>4</v>
      </c>
      <c r="U6" s="145">
        <v>36</v>
      </c>
      <c r="V6" s="145">
        <v>48</v>
      </c>
      <c r="W6" s="145">
        <v>42</v>
      </c>
      <c r="X6" s="145">
        <v>4</v>
      </c>
      <c r="Y6" s="145">
        <v>0</v>
      </c>
      <c r="Z6" s="49"/>
      <c r="AA6" s="50"/>
    </row>
    <row r="7" spans="1:27" x14ac:dyDescent="0.25">
      <c r="A7" s="47" t="str">
        <f>Categorías!A8</f>
        <v>UNIVERSIDAD CATÓLICA DE LA SANTÍSIMA CONCEPCIÓN</v>
      </c>
      <c r="B7" s="47" t="str">
        <f>Categorías!B8</f>
        <v>USC</v>
      </c>
      <c r="C7" s="48" t="str">
        <f>Categorías!C8</f>
        <v>CRUCH-PRIVADA</v>
      </c>
      <c r="D7" s="47" t="str">
        <f>Categorías!X8</f>
        <v>Categoría II</v>
      </c>
      <c r="E7" s="145">
        <v>331</v>
      </c>
      <c r="F7" s="145">
        <v>14627</v>
      </c>
      <c r="G7" s="145">
        <v>177.38636363636368</v>
      </c>
      <c r="H7" s="145">
        <v>567.56818181818153</v>
      </c>
      <c r="I7" s="146">
        <v>188.52272727272717</v>
      </c>
      <c r="J7" s="146">
        <v>30.04545454545455</v>
      </c>
      <c r="K7" s="145">
        <v>270</v>
      </c>
      <c r="L7" s="145">
        <v>4023</v>
      </c>
      <c r="M7" s="145">
        <v>859</v>
      </c>
      <c r="N7" s="147">
        <v>1562</v>
      </c>
      <c r="O7" s="147">
        <v>2023</v>
      </c>
      <c r="P7" s="147">
        <v>1652</v>
      </c>
      <c r="Q7" s="147">
        <v>1977</v>
      </c>
      <c r="R7" s="148">
        <v>1335</v>
      </c>
      <c r="S7" s="148">
        <v>1914</v>
      </c>
      <c r="T7" s="145">
        <v>0</v>
      </c>
      <c r="U7" s="145">
        <v>0</v>
      </c>
      <c r="V7" s="145">
        <v>5</v>
      </c>
      <c r="W7" s="145">
        <v>0</v>
      </c>
      <c r="X7" s="145">
        <v>0</v>
      </c>
      <c r="Y7" s="145">
        <v>0</v>
      </c>
      <c r="Z7" s="49"/>
      <c r="AA7" s="50"/>
    </row>
    <row r="8" spans="1:27" x14ac:dyDescent="0.25">
      <c r="A8" s="47" t="str">
        <f>Categorías!A9</f>
        <v>UNIVERSIDAD CATÓLICA DE TEMUCO</v>
      </c>
      <c r="B8" s="47" t="str">
        <f>Categorías!B9</f>
        <v>UCT</v>
      </c>
      <c r="C8" s="48" t="str">
        <f>Categorías!C9</f>
        <v>CRUCH-PRIVADA</v>
      </c>
      <c r="D8" s="47" t="str">
        <f>Categorías!X9</f>
        <v>Categoría II</v>
      </c>
      <c r="E8" s="145">
        <v>346</v>
      </c>
      <c r="F8" s="145">
        <v>11634</v>
      </c>
      <c r="G8" s="145">
        <v>169.26227272727274</v>
      </c>
      <c r="H8" s="145">
        <v>515.44886363636363</v>
      </c>
      <c r="I8" s="146">
        <v>181.19568181818181</v>
      </c>
      <c r="J8" s="146">
        <v>0.47727272727272702</v>
      </c>
      <c r="K8" s="145">
        <v>256</v>
      </c>
      <c r="L8" s="145">
        <v>3646</v>
      </c>
      <c r="M8" s="145">
        <v>906</v>
      </c>
      <c r="N8" s="147">
        <v>1536</v>
      </c>
      <c r="O8" s="147">
        <v>1918</v>
      </c>
      <c r="P8" s="147">
        <v>1611</v>
      </c>
      <c r="Q8" s="147">
        <v>1956</v>
      </c>
      <c r="R8" s="148">
        <v>1347</v>
      </c>
      <c r="S8" s="148">
        <v>1967</v>
      </c>
      <c r="T8" s="145">
        <v>3</v>
      </c>
      <c r="U8" s="145">
        <v>0</v>
      </c>
      <c r="V8" s="145">
        <v>0</v>
      </c>
      <c r="W8" s="145">
        <v>6</v>
      </c>
      <c r="X8" s="145">
        <v>0</v>
      </c>
      <c r="Y8" s="145">
        <v>0</v>
      </c>
      <c r="Z8" s="49"/>
      <c r="AA8" s="50"/>
    </row>
    <row r="9" spans="1:27" x14ac:dyDescent="0.25">
      <c r="A9" s="47" t="str">
        <f>Categorías!A10</f>
        <v>UNIVERSIDAD CATÓLICA DEL MAULE</v>
      </c>
      <c r="B9" s="47" t="str">
        <f>Categorías!B10</f>
        <v>UCM</v>
      </c>
      <c r="C9" s="48" t="str">
        <f>Categorías!C10</f>
        <v>CRUCH-PRIVADA</v>
      </c>
      <c r="D9" s="47" t="str">
        <f>Categorías!X10</f>
        <v>Categoría II</v>
      </c>
      <c r="E9" s="145">
        <v>306</v>
      </c>
      <c r="F9" s="145">
        <v>10311</v>
      </c>
      <c r="G9" s="145">
        <v>156.02272727272725</v>
      </c>
      <c r="H9" s="145">
        <v>443.37590909090898</v>
      </c>
      <c r="I9" s="146">
        <v>150.52272727272734</v>
      </c>
      <c r="J9" s="146">
        <v>33.704545454545453</v>
      </c>
      <c r="K9" s="145">
        <v>307</v>
      </c>
      <c r="L9" s="145">
        <v>3662</v>
      </c>
      <c r="M9" s="145">
        <v>868</v>
      </c>
      <c r="N9" s="147">
        <v>1869</v>
      </c>
      <c r="O9" s="147">
        <v>2371</v>
      </c>
      <c r="P9" s="147">
        <v>1785</v>
      </c>
      <c r="Q9" s="147">
        <v>2120</v>
      </c>
      <c r="R9" s="148">
        <v>1267</v>
      </c>
      <c r="S9" s="148">
        <v>1681</v>
      </c>
      <c r="T9" s="145">
        <v>1</v>
      </c>
      <c r="U9" s="145">
        <v>0</v>
      </c>
      <c r="V9" s="145">
        <v>5</v>
      </c>
      <c r="W9" s="145">
        <v>4</v>
      </c>
      <c r="X9" s="145">
        <v>2</v>
      </c>
      <c r="Y9" s="145">
        <v>1</v>
      </c>
      <c r="Z9" s="49"/>
      <c r="AA9" s="50"/>
    </row>
    <row r="10" spans="1:27" x14ac:dyDescent="0.25">
      <c r="A10" s="47" t="str">
        <f>Categorías!A11</f>
        <v>UNIVERSIDAD CATÓLICA DEL NORTE</v>
      </c>
      <c r="B10" s="47" t="str">
        <f>Categorías!B11</f>
        <v>UCN</v>
      </c>
      <c r="C10" s="48" t="str">
        <f>Categorías!C11</f>
        <v>CRUCH-PRIVADA</v>
      </c>
      <c r="D10" s="47" t="str">
        <f>Categorías!X11</f>
        <v>Categoría II</v>
      </c>
      <c r="E10" s="145">
        <v>453</v>
      </c>
      <c r="F10" s="145">
        <v>11626</v>
      </c>
      <c r="G10" s="145">
        <v>223.37954545454548</v>
      </c>
      <c r="H10" s="145">
        <v>655.86515151522735</v>
      </c>
      <c r="I10" s="146">
        <v>161.38636363636365</v>
      </c>
      <c r="J10" s="146">
        <v>24.5</v>
      </c>
      <c r="K10" s="145">
        <v>481</v>
      </c>
      <c r="L10" s="145">
        <v>12221</v>
      </c>
      <c r="M10" s="145">
        <v>2011</v>
      </c>
      <c r="N10" s="147">
        <v>1098</v>
      </c>
      <c r="O10" s="147">
        <v>2203</v>
      </c>
      <c r="P10" s="147">
        <v>1805</v>
      </c>
      <c r="Q10" s="147">
        <v>2173</v>
      </c>
      <c r="R10" s="148">
        <v>1312</v>
      </c>
      <c r="S10" s="148">
        <v>2068</v>
      </c>
      <c r="T10" s="145">
        <v>3</v>
      </c>
      <c r="U10" s="145">
        <v>12</v>
      </c>
      <c r="V10" s="145">
        <v>16</v>
      </c>
      <c r="W10" s="145">
        <v>13</v>
      </c>
      <c r="X10" s="145">
        <v>3</v>
      </c>
      <c r="Y10" s="145">
        <v>3</v>
      </c>
      <c r="Z10" s="49"/>
      <c r="AA10" s="50"/>
    </row>
    <row r="11" spans="1:27" x14ac:dyDescent="0.25">
      <c r="A11" s="47" t="str">
        <f>Categorías!A12</f>
        <v>UNIVERSIDAD DE CONCEPCIÓN</v>
      </c>
      <c r="B11" s="47" t="str">
        <f>Categorías!B12</f>
        <v>UCO</v>
      </c>
      <c r="C11" s="48" t="str">
        <f>Categorías!C12</f>
        <v>CRUCH-PRIVADA</v>
      </c>
      <c r="D11" s="47" t="str">
        <f>Categorías!X12</f>
        <v>Categoría I</v>
      </c>
      <c r="E11" s="145">
        <v>1171</v>
      </c>
      <c r="F11" s="145">
        <v>27149</v>
      </c>
      <c r="G11" s="145">
        <v>809.72727272727252</v>
      </c>
      <c r="H11" s="145">
        <v>1476.8181818181818</v>
      </c>
      <c r="I11" s="146">
        <v>401.02272727272725</v>
      </c>
      <c r="J11" s="146">
        <v>93.749999999999957</v>
      </c>
      <c r="K11" s="145">
        <v>1367</v>
      </c>
      <c r="L11" s="145">
        <v>45208</v>
      </c>
      <c r="M11" s="145">
        <v>6020</v>
      </c>
      <c r="N11" s="147">
        <v>3234</v>
      </c>
      <c r="O11" s="147">
        <v>4892</v>
      </c>
      <c r="P11" s="147">
        <v>4090</v>
      </c>
      <c r="Q11" s="147">
        <v>5103</v>
      </c>
      <c r="R11" s="148">
        <v>3278</v>
      </c>
      <c r="S11" s="148">
        <v>4983</v>
      </c>
      <c r="T11" s="145">
        <v>34</v>
      </c>
      <c r="U11" s="145">
        <v>87</v>
      </c>
      <c r="V11" s="145">
        <v>107</v>
      </c>
      <c r="W11" s="145">
        <v>124</v>
      </c>
      <c r="X11" s="145">
        <v>14</v>
      </c>
      <c r="Y11" s="145">
        <v>8</v>
      </c>
      <c r="Z11" s="49"/>
      <c r="AA11" s="50"/>
    </row>
    <row r="12" spans="1:27" x14ac:dyDescent="0.25">
      <c r="A12" s="47" t="str">
        <f>Categorías!A13</f>
        <v>UNIVERSIDAD TÉCNICA FEDERICO SANTA MARÍA</v>
      </c>
      <c r="B12" s="47" t="str">
        <f>Categorías!B13</f>
        <v>FSM</v>
      </c>
      <c r="C12" s="48" t="str">
        <f>Categorías!C13</f>
        <v>CRUCH-PRIVADA</v>
      </c>
      <c r="D12" s="47" t="str">
        <f>Categorías!X13</f>
        <v>Categoría II</v>
      </c>
      <c r="E12" s="145">
        <v>524</v>
      </c>
      <c r="F12" s="145">
        <v>19530</v>
      </c>
      <c r="G12" s="145">
        <v>318.21508658006712</v>
      </c>
      <c r="H12" s="145">
        <v>776.75703192638491</v>
      </c>
      <c r="I12" s="146">
        <v>228.53455898268163</v>
      </c>
      <c r="J12" s="146">
        <v>0</v>
      </c>
      <c r="K12" s="145">
        <v>711</v>
      </c>
      <c r="L12" s="145">
        <v>39658</v>
      </c>
      <c r="M12" s="145">
        <v>3189</v>
      </c>
      <c r="N12" s="147">
        <v>1198</v>
      </c>
      <c r="O12" s="147">
        <v>2395</v>
      </c>
      <c r="P12" s="147">
        <v>1839</v>
      </c>
      <c r="Q12" s="147">
        <v>2251</v>
      </c>
      <c r="R12" s="148">
        <v>1167</v>
      </c>
      <c r="S12" s="148">
        <v>1952</v>
      </c>
      <c r="T12" s="145">
        <v>1</v>
      </c>
      <c r="U12" s="145">
        <v>23</v>
      </c>
      <c r="V12" s="145">
        <v>21</v>
      </c>
      <c r="W12" s="145">
        <v>14</v>
      </c>
      <c r="X12" s="145">
        <v>18</v>
      </c>
      <c r="Y12" s="145">
        <v>11</v>
      </c>
      <c r="Z12" s="49"/>
      <c r="AA12" s="50"/>
    </row>
    <row r="13" spans="1:27" x14ac:dyDescent="0.25">
      <c r="E13" s="46">
        <f t="shared" ref="E13:Y13" si="0">SUM(E4:E12)</f>
        <v>5991</v>
      </c>
      <c r="F13" s="46">
        <f t="shared" si="0"/>
        <v>162105</v>
      </c>
      <c r="G13" s="46">
        <f t="shared" si="0"/>
        <v>3797.2091774891574</v>
      </c>
      <c r="H13" s="46">
        <f t="shared" si="0"/>
        <v>8247.9469561688838</v>
      </c>
      <c r="I13" s="142">
        <f t="shared" si="0"/>
        <v>2221.6506953463177</v>
      </c>
      <c r="J13" s="46">
        <f t="shared" si="0"/>
        <v>652.67045454545462</v>
      </c>
      <c r="K13" s="46">
        <f t="shared" si="0"/>
        <v>7562</v>
      </c>
      <c r="L13" s="46">
        <f t="shared" si="0"/>
        <v>293826</v>
      </c>
      <c r="M13" s="46">
        <f t="shared" si="0"/>
        <v>32829</v>
      </c>
      <c r="N13" s="46">
        <f t="shared" si="0"/>
        <v>16435</v>
      </c>
      <c r="O13" s="46">
        <f t="shared" si="0"/>
        <v>28569</v>
      </c>
      <c r="P13" s="46">
        <f t="shared" si="0"/>
        <v>23220</v>
      </c>
      <c r="Q13" s="46">
        <f t="shared" si="0"/>
        <v>27872</v>
      </c>
      <c r="R13" s="46">
        <f t="shared" si="0"/>
        <v>18068</v>
      </c>
      <c r="S13" s="46">
        <f t="shared" si="0"/>
        <v>26151</v>
      </c>
      <c r="T13" s="46">
        <f t="shared" si="0"/>
        <v>97</v>
      </c>
      <c r="U13" s="46">
        <f>SUM(U4:U12)</f>
        <v>380</v>
      </c>
      <c r="V13" s="46">
        <f>SUM(V4:V12)</f>
        <v>409</v>
      </c>
      <c r="W13" s="46">
        <f>SUM(W4:W12)</f>
        <v>479</v>
      </c>
      <c r="X13" s="46">
        <f t="shared" si="0"/>
        <v>71</v>
      </c>
      <c r="Y13" s="46">
        <f t="shared" si="0"/>
        <v>57</v>
      </c>
      <c r="Z13" s="49"/>
    </row>
    <row r="20" spans="1:1" x14ac:dyDescent="0.25">
      <c r="A20" s="20" t="s">
        <v>204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I81"/>
  <sheetViews>
    <sheetView zoomScaleNormal="100" workbookViewId="0">
      <pane xSplit="2" ySplit="3" topLeftCell="AA4" activePane="bottomRight" state="frozen"/>
      <selection pane="topRight" activeCell="C1" sqref="C1"/>
      <selection pane="bottomLeft" activeCell="A4" sqref="A4"/>
      <selection pane="bottomRight" activeCell="AG14" sqref="AG14"/>
    </sheetView>
  </sheetViews>
  <sheetFormatPr baseColWidth="10" defaultRowHeight="15" x14ac:dyDescent="0.25"/>
  <cols>
    <col min="1" max="1" width="46.5703125" bestFit="1" customWidth="1"/>
    <col min="5" max="5" width="19.7109375" customWidth="1"/>
    <col min="28" max="28" width="11.28515625" customWidth="1"/>
    <col min="29" max="31" width="10.7109375" customWidth="1"/>
    <col min="32" max="32" width="11.42578125" bestFit="1" customWidth="1"/>
    <col min="33" max="35" width="10.7109375" customWidth="1"/>
  </cols>
  <sheetData>
    <row r="1" spans="1:35" x14ac:dyDescent="0.25">
      <c r="A1" s="16" t="s">
        <v>172</v>
      </c>
      <c r="F1" s="3" t="s">
        <v>26</v>
      </c>
      <c r="G1" s="3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70</v>
      </c>
      <c r="P1" s="3" t="s">
        <v>71</v>
      </c>
      <c r="Q1" s="22" t="s">
        <v>48</v>
      </c>
    </row>
    <row r="2" spans="1:35" ht="79.5" x14ac:dyDescent="0.25"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  <c r="L2" s="4" t="s">
        <v>41</v>
      </c>
      <c r="M2" s="4" t="s">
        <v>42</v>
      </c>
      <c r="N2" s="4" t="s">
        <v>43</v>
      </c>
      <c r="O2" s="4" t="s">
        <v>44</v>
      </c>
      <c r="P2" s="4" t="s">
        <v>45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  <c r="AC2" s="4"/>
    </row>
    <row r="3" spans="1:35" ht="67.5" x14ac:dyDescent="0.25">
      <c r="A3" s="8" t="s">
        <v>8</v>
      </c>
      <c r="B3" s="13" t="s">
        <v>0</v>
      </c>
      <c r="C3" s="13" t="s">
        <v>16</v>
      </c>
      <c r="D3" s="14" t="s">
        <v>25</v>
      </c>
      <c r="E3" s="15" t="s">
        <v>47</v>
      </c>
      <c r="F3" s="9" t="s">
        <v>168</v>
      </c>
      <c r="G3" s="9" t="s">
        <v>158</v>
      </c>
      <c r="H3" s="9" t="s">
        <v>159</v>
      </c>
      <c r="I3" s="9" t="s">
        <v>160</v>
      </c>
      <c r="J3" s="9" t="s">
        <v>161</v>
      </c>
      <c r="K3" s="9" t="s">
        <v>162</v>
      </c>
      <c r="L3" s="9" t="s">
        <v>163</v>
      </c>
      <c r="M3" s="9" t="s">
        <v>164</v>
      </c>
      <c r="N3" s="9" t="s">
        <v>165</v>
      </c>
      <c r="O3" s="9" t="s">
        <v>166</v>
      </c>
      <c r="P3" s="9" t="s">
        <v>167</v>
      </c>
      <c r="Q3" s="12" t="s">
        <v>46</v>
      </c>
      <c r="R3" s="10" t="s">
        <v>46</v>
      </c>
      <c r="S3" s="10" t="s">
        <v>46</v>
      </c>
      <c r="T3" s="10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34" t="s">
        <v>49</v>
      </c>
      <c r="AC3" s="35" t="s">
        <v>66</v>
      </c>
      <c r="AD3" s="35" t="s">
        <v>50</v>
      </c>
      <c r="AE3" s="35" t="s">
        <v>65</v>
      </c>
      <c r="AF3" s="35" t="s">
        <v>67</v>
      </c>
      <c r="AG3" s="35" t="s">
        <v>68</v>
      </c>
      <c r="AH3" s="35" t="s">
        <v>69</v>
      </c>
      <c r="AI3" s="35" t="s">
        <v>64</v>
      </c>
    </row>
    <row r="4" spans="1:35" x14ac:dyDescent="0.25">
      <c r="A4" s="23" t="str">
        <f>Valores!A4</f>
        <v>PONTIFICIA UNIVERSIDAD CATÓLICA DE CHILE</v>
      </c>
      <c r="B4" s="24" t="str">
        <f>Valores!B4</f>
        <v>PUC</v>
      </c>
      <c r="C4" s="25" t="str">
        <f>Valores!C4</f>
        <v>CRUCH-PRIVADA</v>
      </c>
      <c r="D4" s="25" t="str">
        <f>Valores!D4</f>
        <v>Categoría I</v>
      </c>
      <c r="E4" s="25" t="str">
        <f t="shared" ref="E4:E12" si="0">CONCATENATE(C4,D4)</f>
        <v>CRUCH-PRIVADACategoría I</v>
      </c>
      <c r="F4" s="27">
        <f>IFERROR(Valores!E4/Valores!F4*100,0)</f>
        <v>4.7273930171713827</v>
      </c>
      <c r="G4" s="28">
        <f>IFERROR(Valores!G4/Valores!H4,0)</f>
        <v>0.48025580341406904</v>
      </c>
      <c r="H4" s="28">
        <f>IFERROR((Valores!G4+Valores!I4+Valores!J4)/(Valores!H4),0)</f>
        <v>0.89148496903167318</v>
      </c>
      <c r="I4" s="28">
        <f>IFERROR(Valores!K4/Valores!H4,0)</f>
        <v>1.1538949594642232</v>
      </c>
      <c r="J4" s="28">
        <f>IFERROR(Valores!K4/Valores!G4,0)</f>
        <v>2.4026673936292928</v>
      </c>
      <c r="K4" s="28">
        <f>IFERROR(Valores!L4/Valores!M4,0)</f>
        <v>11.393363402061855</v>
      </c>
      <c r="L4" s="28">
        <f>IFERROR(Valores!N4/Valores!O4,0)</f>
        <v>0.27258512856150102</v>
      </c>
      <c r="M4" s="28">
        <f>IFERROR(Valores!P4/Valores!Q4,0)</f>
        <v>0.87641643059490082</v>
      </c>
      <c r="N4" s="28">
        <f>IFERROR(Valores!R4/Valores!S4,0)</f>
        <v>0.76878084445256811</v>
      </c>
      <c r="O4" s="26">
        <f>IF(Valores!W4&gt;0,Valores!T4/Valores!W4,IF(AND(Valores!W4=0,OR(Valores!V4&gt;0,Valores!U4&gt;0)),0,IF(AND(Valores!V4=0,Valores!W4=0,Valores!U4=0),"NC",)))</f>
        <v>0.16203703703703703</v>
      </c>
      <c r="P4" s="29">
        <f>IFERROR((Valores!X4+Valores!Y4)*1000/(Valores!H4),0)</f>
        <v>28.359937559796577</v>
      </c>
      <c r="Q4" s="30">
        <f t="array" ref="Q4">F4/MAX(IF($E$4:$E$18=$E4,F$4:F$18))</f>
        <v>1</v>
      </c>
      <c r="R4" s="30">
        <f t="array" ref="R4">G4/MAX(IF($E$4:$E$18=$E4,G$4:G$18))</f>
        <v>0.75976351265337994</v>
      </c>
      <c r="S4" s="30">
        <f t="array" ref="S4">H4/MAX(IF($E$4:$E$18=$E4,H$4:H$18))</f>
        <v>1</v>
      </c>
      <c r="T4" s="30">
        <f t="array" ref="T4">I4/MAX(IF($E$4:$E$18=$E4,I$4:I$18))</f>
        <v>0.94046424350494517</v>
      </c>
      <c r="U4" s="30">
        <f t="array" ref="U4">J4/MAX(IF($E$4:$E$18=$E4,J$4:J$18))</f>
        <v>1</v>
      </c>
      <c r="V4" s="30">
        <f t="array" ref="V4">K4/MAX(IF($E$4:$E$18=$E4,K$4:K$18))</f>
        <v>1</v>
      </c>
      <c r="W4" s="30">
        <f t="array" ref="W4">L4/MAX(IF($E$4:$E$18=$E4,L$4:L$18))</f>
        <v>0.407255877401273</v>
      </c>
      <c r="X4" s="30">
        <f t="array" ref="X4">M4/MAX(IF($E$4:$E$18=$E4,M$4:M$18))</f>
        <v>1</v>
      </c>
      <c r="Y4" s="30">
        <f t="array" ref="Y4">N4/MAX(IF($E$4:$E$18=$E4,N$4:N$18))</f>
        <v>1</v>
      </c>
      <c r="Z4" s="30">
        <f t="array" ref="Z4">IF(O4="NC","NC",IF(O4=0,0,IF(O4&gt;0,O4/MAX(IF($E$4:$E$18=$E4,$O$4:$O$18,"ERROR")))))</f>
        <v>0.5909586056644881</v>
      </c>
      <c r="AA4" s="31">
        <f t="array" ref="AA4">IF(P4=0,0,P4/MAX(IF($E$4:$E$18=$E4,$P$4:$P$18)))</f>
        <v>1</v>
      </c>
      <c r="AB4" s="32">
        <f t="shared" ref="AB4:AB12" si="1">IF(Z4="NC",(SUM(Q4:Y4)+AA4)/(COUNTA(Q4:Y4)+COUNTA(AA4)),AVERAGE(Q4:AA4))</f>
        <v>0.88167656720218968</v>
      </c>
      <c r="AC4" s="11">
        <f t="array" ref="AC4">SUM(IF($E$4:$E$18=$E4,$AB$4:$AB$18,"ERROR"))</f>
        <v>3.2321839343769971</v>
      </c>
      <c r="AD4" s="36">
        <f t="shared" ref="AD4:AD12" si="2">AB4/AC4</f>
        <v>0.27278044353380299</v>
      </c>
      <c r="AE4" s="75">
        <f>IFERROR(VLOOKUP(E4,Categorías!$A$26:$C$28,3,0),0)</f>
        <v>12638769</v>
      </c>
      <c r="AF4" s="76">
        <f t="shared" ref="AF4:AF12" si="3">AD4*AE4</f>
        <v>3447609.0135412798</v>
      </c>
      <c r="AG4" s="75">
        <f t="shared" ref="AG4:AH13" si="4">ROUND(AF4,0)</f>
        <v>3447609</v>
      </c>
      <c r="AH4" s="33">
        <f t="shared" si="4"/>
        <v>3447609</v>
      </c>
      <c r="AI4" s="19">
        <f t="array" ref="AI4">AG4/(SUM(IF($C$4:$C$18=$C4,$AG$4:$AG$18,0)))</f>
        <v>0.14878933546288484</v>
      </c>
    </row>
    <row r="5" spans="1:35" x14ac:dyDescent="0.25">
      <c r="A5" s="23" t="str">
        <f>Valores!A5</f>
        <v>PONTIFICIA UNIVERSIDAD CATÓLICA DE VALPARAÍSO</v>
      </c>
      <c r="B5" s="24" t="str">
        <f>Valores!B5</f>
        <v>UCV</v>
      </c>
      <c r="C5" s="25" t="str">
        <f>Valores!C5</f>
        <v>CRUCH-PRIVADA</v>
      </c>
      <c r="D5" s="25" t="str">
        <f>Valores!D5</f>
        <v>Categoría I</v>
      </c>
      <c r="E5" s="25" t="str">
        <f t="shared" si="0"/>
        <v>CRUCH-PRIVADACategoría I</v>
      </c>
      <c r="F5" s="27">
        <f>IFERROR(Valores!E5/Valores!F5*100,0)</f>
        <v>2.9979936944683288</v>
      </c>
      <c r="G5" s="28">
        <f>IFERROR(Valores!G5/Valores!H5,0)</f>
        <v>0.63211222362710617</v>
      </c>
      <c r="H5" s="28">
        <f>IFERROR((Valores!G5+Valores!I5+Valores!J5)/(Valores!H5),0)</f>
        <v>0.85953251546321308</v>
      </c>
      <c r="I5" s="28">
        <f>IFERROR(Valores!K5/Valores!H5,0)</f>
        <v>1.2269418719885183</v>
      </c>
      <c r="J5" s="28">
        <f>IFERROR(Valores!K5/Valores!G5,0)</f>
        <v>1.9410190566292738</v>
      </c>
      <c r="K5" s="28">
        <f>IFERROR(Valores!L5/Valores!M5,0)</f>
        <v>5.6838319907940162</v>
      </c>
      <c r="L5" s="28">
        <f>IFERROR(Valores!N5/Valores!O5,0)</f>
        <v>0.57995028997514497</v>
      </c>
      <c r="M5" s="28">
        <f>IFERROR(Valores!P5/Valores!Q5,0)</f>
        <v>0.81199215466517227</v>
      </c>
      <c r="N5" s="28">
        <f>IFERROR(Valores!R5/Valores!S5,0)</f>
        <v>0.67038937518865072</v>
      </c>
      <c r="O5" s="26">
        <f>IF(Valores!W5&gt;0,Valores!T5/Valores!W5,IF(AND(Valores!W5=0,OR(Valores!V5&gt;0,Valores!U5&gt;0)),0,IF(AND(Valores!V5=0,Valores!W5=0,Valores!U5=0),"NC",)))</f>
        <v>0.26666666666666666</v>
      </c>
      <c r="P5" s="29">
        <f>IFERROR((Valores!X5+Valores!Y5)*1000/(Valores!H5),0)</f>
        <v>0</v>
      </c>
      <c r="Q5" s="30">
        <f t="array" ref="Q5">F5/MAX(IF($E$4:$E$18=$E5,F$4:F$18))</f>
        <v>0.63417483665493224</v>
      </c>
      <c r="R5" s="30">
        <f t="array" ref="R5">G5/MAX(IF($E$4:$E$18=$E5,G$4:G$18))</f>
        <v>1</v>
      </c>
      <c r="S5" s="30">
        <f t="array" ref="S5">H5/MAX(IF($E$4:$E$18=$E5,H$4:H$18))</f>
        <v>0.96415816903433971</v>
      </c>
      <c r="T5" s="30">
        <f t="array" ref="T5">I5/MAX(IF($E$4:$E$18=$E5,I$4:I$18))</f>
        <v>1</v>
      </c>
      <c r="U5" s="30">
        <f t="array" ref="U5">J5/MAX(IF($E$4:$E$18=$E5,J$4:J$18))</f>
        <v>0.80786007325687847</v>
      </c>
      <c r="V5" s="30">
        <f t="array" ref="V5">K5/MAX(IF($E$4:$E$18=$E5,K$4:K$18))</f>
        <v>0.49887217586383792</v>
      </c>
      <c r="W5" s="30">
        <f t="array" ref="W5">L5/MAX(IF($E$4:$E$18=$E5,L$4:L$18))</f>
        <v>0.8664748713158843</v>
      </c>
      <c r="X5" s="30">
        <f t="array" ref="X5">M5/MAX(IF($E$4:$E$18=$E5,M$4:M$18))</f>
        <v>0.92649125041391778</v>
      </c>
      <c r="Y5" s="30">
        <f t="array" ref="Y5">N5/MAX(IF($E$4:$E$18=$E5,N$4:N$18))</f>
        <v>0.87201623196792866</v>
      </c>
      <c r="Z5" s="30">
        <f t="array" ref="Z5">IF(O5="NC","NC",IF(O5=0,0,IF(O5&gt;0,O5/MAX(IF($E$4:$E$18=$E5,$O$4:$O$18,"ERROR")))))</f>
        <v>0.97254901960784323</v>
      </c>
      <c r="AA5" s="31">
        <f t="array" ref="AA5">IF(P5=0,0,P5/MAX(IF($E$4:$E$18=$E5,$P$4:$P$18)))</f>
        <v>0</v>
      </c>
      <c r="AB5" s="32">
        <f t="shared" si="1"/>
        <v>0.77659969346505098</v>
      </c>
      <c r="AC5" s="11">
        <f t="array" ref="AC5">SUM(IF($E$4:$E$18=$E5,$AB$4:$AB$18,"ERROR"))</f>
        <v>3.2321839343769971</v>
      </c>
      <c r="AD5" s="36">
        <f t="shared" si="2"/>
        <v>0.24027088471211661</v>
      </c>
      <c r="AE5" s="75">
        <f>IFERROR(VLOOKUP(E5,Categorías!$A$26:$C$28,3,0),0)</f>
        <v>12638769</v>
      </c>
      <c r="AF5" s="76">
        <f t="shared" si="3"/>
        <v>3036728.2093020733</v>
      </c>
      <c r="AG5" s="75">
        <f t="shared" si="4"/>
        <v>3036728</v>
      </c>
      <c r="AH5" s="33">
        <f t="shared" si="4"/>
        <v>3036728</v>
      </c>
      <c r="AI5" s="19">
        <f t="array" ref="AI5">AG5/(SUM(IF($C$4:$C$18=$C5,$AG$4:$AG$18,0)))</f>
        <v>0.1310568400017332</v>
      </c>
    </row>
    <row r="6" spans="1:35" x14ac:dyDescent="0.25">
      <c r="A6" s="23" t="str">
        <f>Valores!A6</f>
        <v>UNIVERSIDAD AUSTRAL DE CHILE</v>
      </c>
      <c r="B6" s="24" t="str">
        <f>Valores!B6</f>
        <v>AUS</v>
      </c>
      <c r="C6" s="25" t="str">
        <f>Valores!C6</f>
        <v>CRUCH-PRIVADA</v>
      </c>
      <c r="D6" s="25" t="str">
        <f>Valores!D6</f>
        <v>Categoría I</v>
      </c>
      <c r="E6" s="25" t="str">
        <f t="shared" si="0"/>
        <v>CRUCH-PRIVADACategoría I</v>
      </c>
      <c r="F6" s="27">
        <f>IFERROR(Valores!E6/Valores!F6*100,0)</f>
        <v>4.6279491833030848</v>
      </c>
      <c r="G6" s="28">
        <f>IFERROR(Valores!G6/Valores!H6,0)</f>
        <v>0.49309508615188252</v>
      </c>
      <c r="H6" s="28">
        <f>IFERROR((Valores!G6+Valores!I6+Valores!J6)/(Valores!H6),0)</f>
        <v>0.83160178685386088</v>
      </c>
      <c r="I6" s="28">
        <f>IFERROR(Valores!K6/Valores!H6,0)</f>
        <v>0.8423739629865985</v>
      </c>
      <c r="J6" s="28">
        <f>IFERROR(Valores!K6/Valores!G6,0)</f>
        <v>1.7083398043174405</v>
      </c>
      <c r="K6" s="28">
        <f>IFERROR(Valores!L6/Valores!M6,0)</f>
        <v>7.8440337224383914</v>
      </c>
      <c r="L6" s="28">
        <f>IFERROR(Valores!N6/Valores!O6,0)</f>
        <v>0.66932153392330385</v>
      </c>
      <c r="M6" s="28">
        <f>IFERROR(Valores!P6/Valores!Q6,0)</f>
        <v>0.84227642276422765</v>
      </c>
      <c r="N6" s="28">
        <f>IFERROR(Valores!R6/Valores!S6,0)</f>
        <v>0.69057815845824411</v>
      </c>
      <c r="O6" s="26">
        <f>IF(Valores!W6&gt;0,Valores!T6/Valores!W6,IF(AND(Valores!W6=0,OR(Valores!V6&gt;0,Valores!U6&gt;0)),0,IF(AND(Valores!V6=0,Valores!W6=0,Valores!U6=0),"NC",)))</f>
        <v>9.5238095238095233E-2</v>
      </c>
      <c r="P6" s="29">
        <f>IFERROR((Valores!X6+Valores!Y6)*1000/(Valores!H6),0)</f>
        <v>4.4926611359285253</v>
      </c>
      <c r="Q6" s="30">
        <f t="array" ref="Q6">F6/MAX(IF($E$4:$E$18=$E6,F$4:F$18))</f>
        <v>0.97896433964616725</v>
      </c>
      <c r="R6" s="30">
        <f t="array" ref="R6">G6/MAX(IF($E$4:$E$18=$E6,G$4:G$18))</f>
        <v>0.7800752267096922</v>
      </c>
      <c r="S6" s="30">
        <f t="array" ref="S6">H6/MAX(IF($E$4:$E$18=$E6,H$4:H$18))</f>
        <v>0.93282760309143842</v>
      </c>
      <c r="T6" s="30">
        <f t="array" ref="T6">I6/MAX(IF($E$4:$E$18=$E6,I$4:I$18))</f>
        <v>0.68656387251773687</v>
      </c>
      <c r="U6" s="30">
        <f t="array" ref="U6">J6/MAX(IF($E$4:$E$18=$E6,J$4:J$18))</f>
        <v>0.71101801641256213</v>
      </c>
      <c r="V6" s="30">
        <f t="array" ref="V6">K6/MAX(IF($E$4:$E$18=$E6,K$4:K$18))</f>
        <v>0.68847393395868139</v>
      </c>
      <c r="W6" s="30">
        <f t="array" ref="W6">L6/MAX(IF($E$4:$E$18=$E6,L$4:L$18))</f>
        <v>1</v>
      </c>
      <c r="X6" s="30">
        <f t="array" ref="X6">M6/MAX(IF($E$4:$E$18=$E6,M$4:M$18))</f>
        <v>0.96104590621663799</v>
      </c>
      <c r="Y6" s="30">
        <f t="array" ref="Y6">N6/MAX(IF($E$4:$E$18=$E6,N$4:N$18))</f>
        <v>0.8982770102056713</v>
      </c>
      <c r="Z6" s="30">
        <f t="array" ref="Z6">IF(O6="NC","NC",IF(O6=0,0,IF(O6&gt;0,O6/MAX(IF($E$4:$E$18=$E6,$O$4:$O$18,"ERROR")))))</f>
        <v>0.34733893557422968</v>
      </c>
      <c r="AA6" s="31">
        <f t="array" ref="AA6">IF(P6=0,0,P6/MAX(IF($E$4:$E$18=$E6,$P$4:$P$18)))</f>
        <v>0.15841576260370124</v>
      </c>
      <c r="AB6" s="32">
        <f t="shared" si="1"/>
        <v>0.74027278244877437</v>
      </c>
      <c r="AC6" s="11">
        <f t="array" ref="AC6">SUM(IF($E$4:$E$18=$E6,$AB$4:$AB$18,"ERROR"))</f>
        <v>3.2321839343769971</v>
      </c>
      <c r="AD6" s="36">
        <f t="shared" si="2"/>
        <v>0.22903176226307859</v>
      </c>
      <c r="AE6" s="75">
        <f>IFERROR(VLOOKUP(E6,Categorías!$A$26:$C$28,3,0),0)</f>
        <v>12638769</v>
      </c>
      <c r="AF6" s="76">
        <f t="shared" si="3"/>
        <v>2894679.5369059676</v>
      </c>
      <c r="AG6" s="190">
        <v>2894679</v>
      </c>
      <c r="AH6" s="191">
        <v>2894679</v>
      </c>
      <c r="AI6" s="19">
        <f t="array" ref="AI6">AG6/(SUM(IF($C$4:$C$18=$C6,$AG$4:$AG$18,0)))</f>
        <v>0.12492639530421462</v>
      </c>
    </row>
    <row r="7" spans="1:35" x14ac:dyDescent="0.25">
      <c r="A7" s="23" t="str">
        <f>Valores!A7</f>
        <v>UNIVERSIDAD CATÓLICA DE LA SANTÍSIMA CONCEPCIÓN</v>
      </c>
      <c r="B7" s="24" t="str">
        <f>Valores!B7</f>
        <v>USC</v>
      </c>
      <c r="C7" s="25" t="str">
        <f>Valores!C7</f>
        <v>CRUCH-PRIVADA</v>
      </c>
      <c r="D7" s="25" t="str">
        <f>Valores!D7</f>
        <v>Categoría II</v>
      </c>
      <c r="E7" s="25" t="str">
        <f t="shared" si="0"/>
        <v>CRUCH-PRIVADACategoría II</v>
      </c>
      <c r="F7" s="27">
        <f>IFERROR(Valores!E7/Valores!F7*100,0)</f>
        <v>2.262938401586108</v>
      </c>
      <c r="G7" s="28">
        <f>IFERROR(Valores!G7/Valores!H7,0)</f>
        <v>0.31253754054378752</v>
      </c>
      <c r="H7" s="28">
        <f>IFERROR((Valores!G7+Valores!I7+Valores!J7)/(Valores!H7),0)</f>
        <v>0.69763344411964956</v>
      </c>
      <c r="I7" s="28">
        <f>IFERROR(Valores!K7/Valores!H7,0)</f>
        <v>0.47571377087254257</v>
      </c>
      <c r="J7" s="28">
        <f>IFERROR(Valores!K7/Valores!G7,0)</f>
        <v>1.5221012171684813</v>
      </c>
      <c r="K7" s="28">
        <f>IFERROR(Valores!L7/Valores!M7,0)</f>
        <v>4.6833527357392315</v>
      </c>
      <c r="L7" s="28">
        <f>IFERROR(Valores!N7/Valores!O7,0)</f>
        <v>0.77212061295106282</v>
      </c>
      <c r="M7" s="28">
        <f>IFERROR(Valores!P7/Valores!Q7,0)</f>
        <v>0.83560950935761258</v>
      </c>
      <c r="N7" s="28">
        <f>IFERROR(Valores!R7/Valores!S7,0)</f>
        <v>0.69749216300940442</v>
      </c>
      <c r="O7" s="26">
        <f>IF(Valores!W7&gt;0,Valores!T7/Valores!W7,IF(AND(Valores!W7=0,OR(Valores!V7&gt;0,Valores!U7&gt;0)),0,IF(AND(Valores!V7=0,Valores!W7=0,Valores!U7=0),"NC",)))</f>
        <v>0</v>
      </c>
      <c r="P7" s="29">
        <f>IFERROR((Valores!X7+Valores!Y7)*1000/(Valores!H7),0)</f>
        <v>0</v>
      </c>
      <c r="Q7" s="30">
        <f t="array" ref="Q7">F7/MAX(IF($E$4:$E$18=$E7,F$4:F$18))</f>
        <v>0.58077090191699976</v>
      </c>
      <c r="R7" s="30">
        <f t="array" ref="R7">G7/MAX(IF($E$4:$E$18=$E7,G$4:G$18))</f>
        <v>0.76289824900329328</v>
      </c>
      <c r="S7" s="30">
        <f t="array" ref="S7">H7/MAX(IF($E$4:$E$18=$E7,H$4:H$18))</f>
        <v>0.90907821454451554</v>
      </c>
      <c r="T7" s="30">
        <f t="array" ref="T7">I7/MAX(IF($E$4:$E$18=$E7,I$4:I$18))</f>
        <v>0.51971029073061115</v>
      </c>
      <c r="U7" s="30">
        <f t="array" ref="U7">J7/MAX(IF($E$4:$E$18=$E7,J$4:J$18))</f>
        <v>0.68123146357931619</v>
      </c>
      <c r="V7" s="30">
        <f t="array" ref="V7">K7/MAX(IF($E$4:$E$18=$E7,K$4:K$18))</f>
        <v>0.3766002288131628</v>
      </c>
      <c r="W7" s="30">
        <f t="array" ref="W7">L7/MAX(IF($E$4:$E$18=$E7,L$4:L$18))</f>
        <v>0.96414540080738176</v>
      </c>
      <c r="X7" s="30">
        <f t="array" ref="X7">M7/MAX(IF($E$4:$E$18=$E7,M$4:M$18))</f>
        <v>0.99243258254237465</v>
      </c>
      <c r="Y7" s="30">
        <f t="array" ref="Y7">N7/MAX(IF($E$4:$E$18=$E7,N$4:N$18))</f>
        <v>0.92540199370071741</v>
      </c>
      <c r="Z7" s="30">
        <f t="array" ref="Z7">IF(O7="NC","NC",IF(O7=0,0,IF(O7&gt;0,O7/MAX(IF($E$4:$E$18=$E7,$O$4:$O$18,"ERROR")))))</f>
        <v>0</v>
      </c>
      <c r="AA7" s="31">
        <f t="array" ref="AA7">IF(P7=0,0,P7/MAX(IF($E$4:$E$18=$E7,$P$4:$P$18)))</f>
        <v>0</v>
      </c>
      <c r="AB7" s="32">
        <f t="shared" si="1"/>
        <v>0.61020630233076112</v>
      </c>
      <c r="AC7" s="11">
        <f t="array" ref="AC7">SUM(IF($E$4:$E$18=$E7,$AB$4:$AB$18,"ERROR"))</f>
        <v>3.6407975856592105</v>
      </c>
      <c r="AD7" s="36">
        <f t="shared" si="2"/>
        <v>0.16760236952867455</v>
      </c>
      <c r="AE7" s="75">
        <f>IFERROR(VLOOKUP(E7,Categorías!$A$26:$C$28,3,0),0)</f>
        <v>10532307</v>
      </c>
      <c r="AF7" s="76">
        <f t="shared" si="3"/>
        <v>1765239.6098034456</v>
      </c>
      <c r="AG7" s="75">
        <f t="shared" si="4"/>
        <v>1765240</v>
      </c>
      <c r="AH7" s="33">
        <f t="shared" si="4"/>
        <v>1765240</v>
      </c>
      <c r="AI7" s="19">
        <f t="array" ref="AI7">AG7/(SUM(IF($C$4:$C$18=$C7,$AG$4:$AG$18,0)))</f>
        <v>7.6182910107411503E-2</v>
      </c>
    </row>
    <row r="8" spans="1:35" x14ac:dyDescent="0.25">
      <c r="A8" s="23" t="str">
        <f>Valores!A8</f>
        <v>UNIVERSIDAD CATÓLICA DE TEMUCO</v>
      </c>
      <c r="B8" s="24" t="str">
        <f>Valores!B8</f>
        <v>UCT</v>
      </c>
      <c r="C8" s="25" t="str">
        <f>Valores!C8</f>
        <v>CRUCH-PRIVADA</v>
      </c>
      <c r="D8" s="25" t="str">
        <f>Valores!D8</f>
        <v>Categoría II</v>
      </c>
      <c r="E8" s="25" t="str">
        <f t="shared" si="0"/>
        <v>CRUCH-PRIVADACategoría II</v>
      </c>
      <c r="F8" s="27">
        <f>IFERROR(Valores!E8/Valores!F8*100,0)</f>
        <v>2.974041602200447</v>
      </c>
      <c r="G8" s="28">
        <f>IFERROR(Valores!G8/Valores!H8,0)</f>
        <v>0.32837839923279583</v>
      </c>
      <c r="H8" s="28">
        <f>IFERROR((Valores!G8+Valores!I8+Valores!J8)/(Valores!H8),0)</f>
        <v>0.68083422436314334</v>
      </c>
      <c r="I8" s="28">
        <f>IFERROR(Valores!K8/Valores!H8,0)</f>
        <v>0.49665450456905391</v>
      </c>
      <c r="J8" s="28">
        <f>IFERROR(Valores!K8/Valores!G8,0)</f>
        <v>1.512445720331814</v>
      </c>
      <c r="K8" s="28">
        <f>IFERROR(Valores!L8/Valores!M8,0)</f>
        <v>4.0242825607064017</v>
      </c>
      <c r="L8" s="28">
        <f>IFERROR(Valores!N8/Valores!O8,0)</f>
        <v>0.80083420229405633</v>
      </c>
      <c r="M8" s="28">
        <f>IFERROR(Valores!P8/Valores!Q8,0)</f>
        <v>0.82361963190184051</v>
      </c>
      <c r="N8" s="28">
        <f>IFERROR(Valores!R8/Valores!S8,0)</f>
        <v>0.68479918657854599</v>
      </c>
      <c r="O8" s="26">
        <f>IF(Valores!W8&gt;0,Valores!T8/Valores!W8,IF(AND(Valores!W8=0,OR(Valores!V8&gt;0,Valores!U8&gt;0)),0,IF(AND(Valores!V8=0,Valores!W8=0,Valores!U8=0),"NC",)))</f>
        <v>0.5</v>
      </c>
      <c r="P8" s="29">
        <f>IFERROR((Valores!X8+Valores!Y8)*1000/(Valores!H8),0)</f>
        <v>0</v>
      </c>
      <c r="Q8" s="30">
        <f t="array" ref="Q8">F8/MAX(IF($E$4:$E$18=$E8,F$4:F$18))</f>
        <v>0.76327169243228243</v>
      </c>
      <c r="R8" s="30">
        <f t="array" ref="R8">G8/MAX(IF($E$4:$E$18=$E8,G$4:G$18))</f>
        <v>0.80156548665905236</v>
      </c>
      <c r="S8" s="30">
        <f t="array" ref="S8">H8/MAX(IF($E$4:$E$18=$E8,H$4:H$18))</f>
        <v>0.88718734215198392</v>
      </c>
      <c r="T8" s="30">
        <f t="array" ref="T8">I8/MAX(IF($E$4:$E$18=$E8,I$4:I$18))</f>
        <v>0.5425877339830204</v>
      </c>
      <c r="U8" s="30">
        <f t="array" ref="U8">J8/MAX(IF($E$4:$E$18=$E8,J$4:J$18))</f>
        <v>0.67691005041215213</v>
      </c>
      <c r="V8" s="30">
        <f t="array" ref="V8">K8/MAX(IF($E$4:$E$18=$E8,K$4:K$18))</f>
        <v>0.32360273049807642</v>
      </c>
      <c r="W8" s="30">
        <f t="array" ref="W8">L8/MAX(IF($E$4:$E$18=$E8,L$4:L$18))</f>
        <v>1</v>
      </c>
      <c r="X8" s="30">
        <f t="array" ref="X8">M8/MAX(IF($E$4:$E$18=$E8,M$4:M$18))</f>
        <v>0.97819250399546331</v>
      </c>
      <c r="Y8" s="30">
        <f t="array" ref="Y8">N8/MAX(IF($E$4:$E$18=$E8,N$4:N$18))</f>
        <v>0.9085615095805335</v>
      </c>
      <c r="Z8" s="30">
        <f t="array" ref="Z8">IF(O8="NC","NC",IF(O8=0,0,IF(O8&gt;0,O8/MAX(IF($E$4:$E$18=$E8,$O$4:$O$18,"ERROR")))))</f>
        <v>1</v>
      </c>
      <c r="AA8" s="31">
        <f t="array" ref="AA8">IF(P8=0,0,P8/MAX(IF($E$4:$E$18=$E8,$P$4:$P$18)))</f>
        <v>0</v>
      </c>
      <c r="AB8" s="32">
        <f t="shared" si="1"/>
        <v>0.71653445906477853</v>
      </c>
      <c r="AC8" s="11">
        <f t="array" ref="AC8">SUM(IF($E$4:$E$18=$E8,$AB$4:$AB$18,"ERROR"))</f>
        <v>3.6407975856592105</v>
      </c>
      <c r="AD8" s="36">
        <f t="shared" si="2"/>
        <v>0.196807002368697</v>
      </c>
      <c r="AE8" s="75">
        <f>IFERROR(VLOOKUP(E8,Categorías!$A$26:$C$28,3,0),0)</f>
        <v>10532307</v>
      </c>
      <c r="AF8" s="76">
        <f t="shared" si="3"/>
        <v>2072831.7686968439</v>
      </c>
      <c r="AG8" s="75">
        <f t="shared" si="4"/>
        <v>2072832</v>
      </c>
      <c r="AH8" s="33">
        <f t="shared" si="4"/>
        <v>2072832</v>
      </c>
      <c r="AI8" s="19">
        <f t="array" ref="AI8">AG8/(SUM(IF($C$4:$C$18=$C8,$AG$4:$AG$18,0)))</f>
        <v>8.9457736015366746E-2</v>
      </c>
    </row>
    <row r="9" spans="1:35" x14ac:dyDescent="0.25">
      <c r="A9" s="23" t="str">
        <f>Valores!A9</f>
        <v>UNIVERSIDAD CATÓLICA DEL MAULE</v>
      </c>
      <c r="B9" s="24" t="str">
        <f>Valores!B9</f>
        <v>UCM</v>
      </c>
      <c r="C9" s="25" t="str">
        <f>Valores!C9</f>
        <v>CRUCH-PRIVADA</v>
      </c>
      <c r="D9" s="25" t="str">
        <f>Valores!D9</f>
        <v>Categoría II</v>
      </c>
      <c r="E9" s="25" t="str">
        <f t="shared" si="0"/>
        <v>CRUCH-PRIVADACategoría II</v>
      </c>
      <c r="F9" s="27">
        <f>IFERROR(Valores!E9/Valores!F9*100,0)</f>
        <v>2.9677043933663079</v>
      </c>
      <c r="G9" s="28">
        <f>IFERROR(Valores!G9/Valores!H9,0)</f>
        <v>0.3518971691372087</v>
      </c>
      <c r="H9" s="28">
        <f>IFERROR((Valores!G9+Valores!I9+Valores!J9)/(Valores!H9),0)</f>
        <v>0.76740750461080154</v>
      </c>
      <c r="I9" s="28">
        <f>IFERROR(Valores!K9/Valores!H9,0)</f>
        <v>0.69241470658491122</v>
      </c>
      <c r="J9" s="28">
        <f>IFERROR(Valores!K9/Valores!G9,0)</f>
        <v>1.967662053896577</v>
      </c>
      <c r="K9" s="28">
        <f>IFERROR(Valores!L9/Valores!M9,0)</f>
        <v>4.2188940092165899</v>
      </c>
      <c r="L9" s="28">
        <f>IFERROR(Valores!N9/Valores!O9,0)</f>
        <v>0.78827498945592578</v>
      </c>
      <c r="M9" s="28">
        <f>IFERROR(Valores!P9/Valores!Q9,0)</f>
        <v>0.84198113207547165</v>
      </c>
      <c r="N9" s="28">
        <f>IFERROR(Valores!R9/Valores!S9,0)</f>
        <v>0.75371802498512785</v>
      </c>
      <c r="O9" s="26">
        <f>IF(Valores!W9&gt;0,Valores!T9/Valores!W9,IF(AND(Valores!W9=0,OR(Valores!V9&gt;0,Valores!U9&gt;0)),0,IF(AND(Valores!V9=0,Valores!W9=0,Valores!U9=0),"NC",)))</f>
        <v>0.25</v>
      </c>
      <c r="P9" s="29">
        <f>IFERROR((Valores!X9+Valores!Y9)*1000/(Valores!H9),0)</f>
        <v>6.7662674910577643</v>
      </c>
      <c r="Q9" s="30">
        <f t="array" ref="Q9">F9/MAX(IF($E$4:$E$18=$E9,F$4:F$18))</f>
        <v>0.7616452820590881</v>
      </c>
      <c r="R9" s="30">
        <f t="array" ref="R9">G9/MAX(IF($E$4:$E$18=$E9,G$4:G$18))</f>
        <v>0.8589743609580236</v>
      </c>
      <c r="S9" s="30">
        <f t="array" ref="S9">H9/MAX(IF($E$4:$E$18=$E9,H$4:H$18))</f>
        <v>1</v>
      </c>
      <c r="T9" s="30">
        <f t="array" ref="T9">I9/MAX(IF($E$4:$E$18=$E9,I$4:I$18))</f>
        <v>0.75645287250221427</v>
      </c>
      <c r="U9" s="30">
        <f t="array" ref="U9">J9/MAX(IF($E$4:$E$18=$E9,J$4:J$18))</f>
        <v>0.88064662565543173</v>
      </c>
      <c r="V9" s="30">
        <f t="array" ref="V9">K9/MAX(IF($E$4:$E$18=$E9,K$4:K$18))</f>
        <v>0.33925192887668831</v>
      </c>
      <c r="W9" s="30">
        <f t="array" ref="W9">L9/MAX(IF($E$4:$E$18=$E9,L$4:L$18))</f>
        <v>0.98431733709405311</v>
      </c>
      <c r="X9" s="30">
        <f t="array" ref="X9">M9/MAX(IF($E$4:$E$18=$E9,M$4:M$18))</f>
        <v>1</v>
      </c>
      <c r="Y9" s="30">
        <f t="array" ref="Y9">N9/MAX(IF($E$4:$E$18=$E9,N$4:N$18))</f>
        <v>1</v>
      </c>
      <c r="Z9" s="30">
        <f t="array" ref="Z9">IF(O9="NC","NC",IF(O9=0,0,IF(O9&gt;0,O9/MAX(IF($E$4:$E$18=$E9,$O$4:$O$18,"ERROR")))))</f>
        <v>0.5</v>
      </c>
      <c r="AA9" s="31">
        <f t="array" ref="AA9">IF(P9=0,0,P9/MAX(IF($E$4:$E$18=$E9,$P$4:$P$18)))</f>
        <v>0.18123261564048332</v>
      </c>
      <c r="AB9" s="32">
        <f t="shared" si="1"/>
        <v>0.75113827479872586</v>
      </c>
      <c r="AC9" s="11">
        <f t="array" ref="AC9">SUM(IF($E$4:$E$18=$E9,$AB$4:$AB$18,"ERROR"))</f>
        <v>3.6407975856592105</v>
      </c>
      <c r="AD9" s="36">
        <f t="shared" si="2"/>
        <v>0.20631146256452024</v>
      </c>
      <c r="AE9" s="75">
        <f>IFERROR(VLOOKUP(E9,Categorías!$A$26:$C$28,3,0),0)</f>
        <v>10532307</v>
      </c>
      <c r="AF9" s="76">
        <f t="shared" si="3"/>
        <v>2172935.6613485343</v>
      </c>
      <c r="AG9" s="75">
        <f t="shared" si="4"/>
        <v>2172936</v>
      </c>
      <c r="AH9" s="33">
        <f t="shared" si="4"/>
        <v>2172936</v>
      </c>
      <c r="AI9" s="19">
        <f t="array" ref="AI9">AG9/(SUM(IF($C$4:$C$18=$C9,$AG$4:$AG$18,0)))</f>
        <v>9.377794971627558E-2</v>
      </c>
    </row>
    <row r="10" spans="1:35" x14ac:dyDescent="0.25">
      <c r="A10" s="23" t="str">
        <f>Valores!A10</f>
        <v>UNIVERSIDAD CATÓLICA DEL NORTE</v>
      </c>
      <c r="B10" s="24" t="str">
        <f>Valores!B10</f>
        <v>UCN</v>
      </c>
      <c r="C10" s="25" t="str">
        <f>Valores!C10</f>
        <v>CRUCH-PRIVADA</v>
      </c>
      <c r="D10" s="25" t="str">
        <f>Valores!D10</f>
        <v>Categoría II</v>
      </c>
      <c r="E10" s="25" t="str">
        <f t="shared" si="0"/>
        <v>CRUCH-PRIVADACategoría II</v>
      </c>
      <c r="F10" s="27">
        <f>IFERROR(Valores!E10/Valores!F10*100,0)</f>
        <v>3.8964390159986242</v>
      </c>
      <c r="G10" s="28">
        <f>IFERROR(Valores!G10/Valores!H10,0)</f>
        <v>0.34058761155167006</v>
      </c>
      <c r="H10" s="28">
        <f>IFERROR((Valores!G10+Valores!I10+Valores!J10)/(Valores!H10),0)</f>
        <v>0.62400923138756992</v>
      </c>
      <c r="I10" s="28">
        <f>IFERROR(Valores!K10/Valores!H10,0)</f>
        <v>0.73338246267355234</v>
      </c>
      <c r="J10" s="28">
        <f>IFERROR(Valores!K10/Valores!G10,0)</f>
        <v>2.1532857855057128</v>
      </c>
      <c r="K10" s="28">
        <f>IFERROR(Valores!L10/Valores!M10,0)</f>
        <v>6.0770760815514668</v>
      </c>
      <c r="L10" s="28">
        <f>IFERROR(Valores!N10/Valores!O10,0)</f>
        <v>0.49841125737630504</v>
      </c>
      <c r="M10" s="28">
        <f>IFERROR(Valores!P10/Valores!Q10,0)</f>
        <v>0.83064887252646114</v>
      </c>
      <c r="N10" s="28">
        <f>IFERROR(Valores!R10/Valores!S10,0)</f>
        <v>0.63442940038684714</v>
      </c>
      <c r="O10" s="26">
        <f>IF(Valores!W10&gt;0,Valores!T10/Valores!W10,IF(AND(Valores!W10=0,OR(Valores!V10&gt;0,Valores!U10&gt;0)),0,IF(AND(Valores!V10=0,Valores!W10=0,Valores!U10=0),"NC",)))</f>
        <v>0.23076923076923078</v>
      </c>
      <c r="P10" s="29">
        <f>IFERROR((Valores!X10+Valores!Y10)*1000/(Valores!H10),0)</f>
        <v>9.1482219876118798</v>
      </c>
      <c r="Q10" s="30">
        <f t="array" ref="Q10">F10/MAX(IF($E$4:$E$18=$E10,F$4:F$18))</f>
        <v>1</v>
      </c>
      <c r="R10" s="30">
        <f t="array" ref="R10">G10/MAX(IF($E$4:$E$18=$E10,G$4:G$18))</f>
        <v>0.83136794393689606</v>
      </c>
      <c r="S10" s="30">
        <f t="array" ref="S10">H10/MAX(IF($E$4:$E$18=$E10,H$4:H$18))</f>
        <v>0.81313933944917893</v>
      </c>
      <c r="T10" s="30">
        <f t="array" ref="T10">I10/MAX(IF($E$4:$E$18=$E10,I$4:I$18))</f>
        <v>0.80120954285959389</v>
      </c>
      <c r="U10" s="30">
        <f t="array" ref="U10">J10/MAX(IF($E$4:$E$18=$E10,J$4:J$18))</f>
        <v>0.96372436380636883</v>
      </c>
      <c r="V10" s="30">
        <f t="array" ref="V10">K10/MAX(IF($E$4:$E$18=$E10,K$4:K$18))</f>
        <v>0.48867304513761733</v>
      </c>
      <c r="W10" s="30">
        <f t="array" ref="W10">L10/MAX(IF($E$4:$E$18=$E10,L$4:L$18))</f>
        <v>0.62236509872900592</v>
      </c>
      <c r="X10" s="30">
        <f t="array" ref="X10">M10/MAX(IF($E$4:$E$18=$E10,M$4:M$18))</f>
        <v>0.98654095784655338</v>
      </c>
      <c r="Y10" s="30">
        <f t="array" ref="Y10">N10/MAX(IF($E$4:$E$18=$E10,N$4:N$18))</f>
        <v>0.8417330876482163</v>
      </c>
      <c r="Z10" s="30">
        <f t="array" ref="Z10">IF(O10="NC","NC",IF(O10=0,0,IF(O10&gt;0,O10/MAX(IF($E$4:$E$18=$E10,$O$4:$O$18,"ERROR")))))</f>
        <v>0.46153846153846156</v>
      </c>
      <c r="AA10" s="31">
        <f t="array" ref="AA10">IF(P10=0,0,P10/MAX(IF($E$4:$E$18=$E10,$P$4:$P$18)))</f>
        <v>0.2450326123621068</v>
      </c>
      <c r="AB10" s="32">
        <f t="shared" si="1"/>
        <v>0.73230222302854531</v>
      </c>
      <c r="AC10" s="11">
        <f t="array" ref="AC10">SUM(IF($E$4:$E$18=$E10,$AB$4:$AB$18,"ERROR"))</f>
        <v>3.6407975856592105</v>
      </c>
      <c r="AD10" s="36">
        <f t="shared" si="2"/>
        <v>0.20113785669190207</v>
      </c>
      <c r="AE10" s="75">
        <f>IFERROR(VLOOKUP(E10,Categorías!$A$26:$C$28,3,0),0)</f>
        <v>10532307</v>
      </c>
      <c r="AF10" s="76">
        <f t="shared" si="3"/>
        <v>2118445.6560011171</v>
      </c>
      <c r="AG10" s="75">
        <f t="shared" si="4"/>
        <v>2118446</v>
      </c>
      <c r="AH10" s="33">
        <f t="shared" si="4"/>
        <v>2118446</v>
      </c>
      <c r="AI10" s="19">
        <f t="array" ref="AI10">AG10/(SUM(IF($C$4:$C$18=$C10,$AG$4:$AG$18,0)))</f>
        <v>9.1426310974941347E-2</v>
      </c>
    </row>
    <row r="11" spans="1:35" x14ac:dyDescent="0.25">
      <c r="A11" s="23" t="str">
        <f>Valores!A11</f>
        <v>UNIVERSIDAD DE CONCEPCIÓN</v>
      </c>
      <c r="B11" s="24" t="str">
        <f>Valores!B11</f>
        <v>UCO</v>
      </c>
      <c r="C11" s="25" t="str">
        <f>Valores!C11</f>
        <v>CRUCH-PRIVADA</v>
      </c>
      <c r="D11" s="25" t="str">
        <f>Valores!D11</f>
        <v>Categoría I</v>
      </c>
      <c r="E11" s="25" t="str">
        <f t="shared" si="0"/>
        <v>CRUCH-PRIVADACategoría I</v>
      </c>
      <c r="F11" s="27">
        <f>IFERROR(Valores!E11/Valores!F11*100,0)</f>
        <v>4.3132343732734171</v>
      </c>
      <c r="G11" s="28">
        <f>IFERROR(Valores!G11/Valores!H11,0)</f>
        <v>0.54829178208679585</v>
      </c>
      <c r="H11" s="28">
        <f>IFERROR((Valores!G11+Valores!I11+Valores!J11)/(Valores!H11),0)</f>
        <v>0.88331794398276386</v>
      </c>
      <c r="I11" s="28">
        <f>IFERROR(Valores!K11/Valores!H11,0)</f>
        <v>0.92563865804863044</v>
      </c>
      <c r="J11" s="28">
        <f>IFERROR(Valores!K11/Valores!G11,0)</f>
        <v>1.6882227461547101</v>
      </c>
      <c r="K11" s="28">
        <f>IFERROR(Valores!L11/Valores!M11,0)</f>
        <v>7.5096345514950169</v>
      </c>
      <c r="L11" s="28">
        <f>IFERROR(Valores!N11/Valores!O11,0)</f>
        <v>0.66107931316434998</v>
      </c>
      <c r="M11" s="28">
        <f>IFERROR(Valores!P11/Valores!Q11,0)</f>
        <v>0.80148932000783857</v>
      </c>
      <c r="N11" s="28">
        <f>IFERROR(Valores!R11/Valores!S11,0)</f>
        <v>0.65783664459161151</v>
      </c>
      <c r="O11" s="26">
        <f>IF(Valores!W11&gt;0,Valores!T11/Valores!W11,IF(AND(Valores!W11=0,OR(Valores!V11&gt;0,Valores!U11&gt;0)),0,IF(AND(Valores!V11=0,Valores!W11=0,Valores!U11=0),"NC",)))</f>
        <v>0.27419354838709675</v>
      </c>
      <c r="P11" s="29">
        <f>IFERROR((Valores!X11+Valores!Y11)*1000/(Valores!H11),0)</f>
        <v>14.89689135118498</v>
      </c>
      <c r="Q11" s="30">
        <f t="array" ref="Q11">F11/MAX(IF($E$4:$E$18=$E11,F$4:F$18))</f>
        <v>0.91239174691132918</v>
      </c>
      <c r="R11" s="30">
        <f t="array" ref="R11">G11/MAX(IF($E$4:$E$18=$E11,G$4:G$18))</f>
        <v>0.86739626539834569</v>
      </c>
      <c r="S11" s="30">
        <f t="array" ref="S11">H11/MAX(IF($E$4:$E$18=$E11,H$4:H$18))</f>
        <v>0.99083885277641837</v>
      </c>
      <c r="T11" s="30">
        <f t="array" ref="T11">I11/MAX(IF($E$4:$E$18=$E11,I$4:I$18))</f>
        <v>0.75442747466792182</v>
      </c>
      <c r="U11" s="30">
        <f t="array" ref="U11">J11/MAX(IF($E$4:$E$18=$E11,J$4:J$18))</f>
        <v>0.70264521449413142</v>
      </c>
      <c r="V11" s="30">
        <f t="array" ref="V11">K11/MAX(IF($E$4:$E$18=$E11,K$4:K$18))</f>
        <v>0.65912358681862104</v>
      </c>
      <c r="W11" s="30">
        <f t="array" ref="W11">L11/MAX(IF($E$4:$E$18=$E11,L$4:L$18))</f>
        <v>0.98768570807719103</v>
      </c>
      <c r="X11" s="30">
        <f t="array" ref="X11">M11/MAX(IF($E$4:$E$18=$E11,M$4:M$18))</f>
        <v>0.91450740998066105</v>
      </c>
      <c r="Y11" s="30">
        <f t="array" ref="Y11">N11/MAX(IF($E$4:$E$18=$E11,N$4:N$18))</f>
        <v>0.85568813184990644</v>
      </c>
      <c r="Z11" s="30">
        <f t="array" ref="Z11">IF(O11="NC","NC",IF(O11=0,0,IF(O11&gt;0,O11/MAX(IF($E$4:$E$18=$E11,$O$4:$O$18,"ERROR")))))</f>
        <v>1</v>
      </c>
      <c r="AA11" s="31">
        <f t="array" ref="AA11">IF(P11=0,0,P11/MAX(IF($E$4:$E$18=$E11,$P$4:$P$18)))</f>
        <v>0.52527941289627555</v>
      </c>
      <c r="AB11" s="32">
        <f t="shared" si="1"/>
        <v>0.83363489126098211</v>
      </c>
      <c r="AC11" s="11">
        <f t="array" ref="AC11">SUM(IF($E$4:$E$18=$E11,$AB$4:$AB$18,"ERROR"))</f>
        <v>3.2321839343769971</v>
      </c>
      <c r="AD11" s="36">
        <f t="shared" si="2"/>
        <v>0.25791690949100182</v>
      </c>
      <c r="AE11" s="75">
        <f>IFERROR(VLOOKUP(E11,Categorías!$A$26:$C$28,3,0),0)</f>
        <v>12638769</v>
      </c>
      <c r="AF11" s="76">
        <f t="shared" si="3"/>
        <v>3259752.2402506797</v>
      </c>
      <c r="AG11" s="75">
        <f t="shared" si="4"/>
        <v>3259752</v>
      </c>
      <c r="AH11" s="33">
        <f t="shared" si="4"/>
        <v>3259752</v>
      </c>
      <c r="AI11" s="19">
        <f t="array" ref="AI11">AG11/(SUM(IF($C$4:$C$18=$C11,$AG$4:$AG$18,0)))</f>
        <v>0.14068194329861936</v>
      </c>
    </row>
    <row r="12" spans="1:35" x14ac:dyDescent="0.25">
      <c r="A12" s="23" t="str">
        <f>Valores!A12</f>
        <v>UNIVERSIDAD TÉCNICA FEDERICO SANTA MARÍA</v>
      </c>
      <c r="B12" s="24" t="str">
        <f>Valores!B12</f>
        <v>FSM</v>
      </c>
      <c r="C12" s="25" t="str">
        <f>Valores!C12</f>
        <v>CRUCH-PRIVADA</v>
      </c>
      <c r="D12" s="25" t="str">
        <f>Valores!D12</f>
        <v>Categoría II</v>
      </c>
      <c r="E12" s="25" t="str">
        <f t="shared" si="0"/>
        <v>CRUCH-PRIVADACategoría II</v>
      </c>
      <c r="F12" s="27">
        <f>IFERROR(Valores!E12/Valores!F12*100,0)</f>
        <v>2.6830517153097801</v>
      </c>
      <c r="G12" s="28">
        <f>IFERROR(Valores!G12/Valores!H12,0)</f>
        <v>0.40967133028829161</v>
      </c>
      <c r="H12" s="28">
        <f>IFERROR((Valores!G12+Valores!I12+Valores!J12)/(Valores!H12),0)</f>
        <v>0.70388760331759126</v>
      </c>
      <c r="I12" s="28">
        <f>IFERROR(Valores!K12/Valores!H12,0)</f>
        <v>0.91534414337607584</v>
      </c>
      <c r="J12" s="28">
        <f>IFERROR(Valores!K12/Valores!G12,0)</f>
        <v>2.2343378110739041</v>
      </c>
      <c r="K12" s="28">
        <f>IFERROR(Valores!L12/Valores!M12,0)</f>
        <v>12.435873314518657</v>
      </c>
      <c r="L12" s="28">
        <f>IFERROR(Valores!N12/Valores!O12,0)</f>
        <v>0.50020876826722338</v>
      </c>
      <c r="M12" s="28">
        <f>IFERROR(Valores!P12/Valores!Q12,0)</f>
        <v>0.81697023545091074</v>
      </c>
      <c r="N12" s="28">
        <f>IFERROR(Valores!R12/Valores!S12,0)</f>
        <v>0.59784836065573765</v>
      </c>
      <c r="O12" s="26">
        <f>IF(Valores!W12&gt;0,Valores!T12/Valores!W12,IF(AND(Valores!W12=0,OR(Valores!V12&gt;0,Valores!U12&gt;0)),0,IF(AND(Valores!V12=0,Valores!W12=0,Valores!U12=0),"NC",)))</f>
        <v>7.1428571428571425E-2</v>
      </c>
      <c r="P12" s="29">
        <f>IFERROR((Valores!X12+Valores!Y12)*1000/(Valores!H12),0)</f>
        <v>37.334711895789312</v>
      </c>
      <c r="Q12" s="30">
        <f t="array" ref="Q12">F12/MAX(IF($E$4:$E$18=$E12,F$4:F$18))</f>
        <v>0.68859071174815678</v>
      </c>
      <c r="R12" s="30">
        <f t="array" ref="R12">G12/MAX(IF($E$4:$E$18=$E12,G$4:G$18))</f>
        <v>1</v>
      </c>
      <c r="S12" s="30">
        <f t="array" ref="S12">H12/MAX(IF($E$4:$E$18=$E12,H$4:H$18))</f>
        <v>0.91722793833580629</v>
      </c>
      <c r="T12" s="30">
        <f t="array" ref="T12">I12/MAX(IF($E$4:$E$18=$E12,I$4:I$18))</f>
        <v>1</v>
      </c>
      <c r="U12" s="30">
        <f t="array" ref="U12">J12/MAX(IF($E$4:$E$18=$E12,J$4:J$18))</f>
        <v>1</v>
      </c>
      <c r="V12" s="30">
        <f t="array" ref="V12">K12/MAX(IF($E$4:$E$18=$E12,K$4:K$18))</f>
        <v>1</v>
      </c>
      <c r="W12" s="30">
        <f t="array" ref="W12">L12/MAX(IF($E$4:$E$18=$E12,L$4:L$18))</f>
        <v>0.62460964683368125</v>
      </c>
      <c r="X12" s="30">
        <f t="array" ref="X12">M12/MAX(IF($E$4:$E$18=$E12,M$4:M$18))</f>
        <v>0.97029518159996131</v>
      </c>
      <c r="Y12" s="30">
        <f t="array" ref="Y12">N12/MAX(IF($E$4:$E$18=$E12,N$4:N$18))</f>
        <v>0.79319896942564727</v>
      </c>
      <c r="Z12" s="30">
        <f t="array" ref="Z12">IF(O12="NC","NC",IF(O12=0,0,IF(O12&gt;0,O12/MAX(IF($E$4:$E$18=$E12,$O$4:$O$18,"ERROR")))))</f>
        <v>0.14285714285714285</v>
      </c>
      <c r="AA12" s="31">
        <f t="array" ref="AA12">IF(P12=0,0,P12/MAX(IF($E$4:$E$18=$E12,$P$4:$P$18)))</f>
        <v>1</v>
      </c>
      <c r="AB12" s="32">
        <f t="shared" si="1"/>
        <v>0.8306163264363996</v>
      </c>
      <c r="AC12" s="11">
        <f t="array" ref="AC12">SUM(IF($E$4:$E$18=$E12,$AB$4:$AB$18,"ERROR"))</f>
        <v>3.6407975856592105</v>
      </c>
      <c r="AD12" s="36">
        <f t="shared" si="2"/>
        <v>0.22814130884620615</v>
      </c>
      <c r="AE12" s="75">
        <f>IFERROR(VLOOKUP(E12,Categorías!$A$26:$C$28,3,0),0)</f>
        <v>10532307</v>
      </c>
      <c r="AF12" s="76">
        <f t="shared" si="3"/>
        <v>2402854.3041500589</v>
      </c>
      <c r="AG12" s="75">
        <f t="shared" si="4"/>
        <v>2402854</v>
      </c>
      <c r="AH12" s="33">
        <f t="shared" si="4"/>
        <v>2402854</v>
      </c>
      <c r="AI12" s="19">
        <f t="array" ref="AI12">AG12/(SUM(IF($C$4:$C$18=$C12,$AG$4:$AG$18,0)))</f>
        <v>0.10370057911855281</v>
      </c>
    </row>
    <row r="13" spans="1:35" x14ac:dyDescent="0.25">
      <c r="F13" s="138">
        <f>SUM(F4:F12)</f>
        <v>31.45074539667748</v>
      </c>
      <c r="G13" s="138">
        <f t="shared" ref="G13:P13" si="5">SUM(G4:G12)</f>
        <v>3.8968269460336074</v>
      </c>
      <c r="H13" s="138">
        <f t="shared" si="5"/>
        <v>6.9397092231302668</v>
      </c>
      <c r="I13" s="138">
        <f t="shared" si="5"/>
        <v>7.4623590405641052</v>
      </c>
      <c r="J13" s="138">
        <f t="shared" si="5"/>
        <v>17.130081588707206</v>
      </c>
      <c r="K13" s="138">
        <f t="shared" si="5"/>
        <v>63.870342368521626</v>
      </c>
      <c r="L13" s="138">
        <f t="shared" si="5"/>
        <v>5.5427860959688733</v>
      </c>
      <c r="M13" s="138">
        <f t="shared" si="5"/>
        <v>7.4810037093444359</v>
      </c>
      <c r="N13" s="138">
        <f t="shared" si="5"/>
        <v>6.1558721583067388</v>
      </c>
      <c r="O13" s="138">
        <f t="shared" si="5"/>
        <v>1.8503331495266979</v>
      </c>
      <c r="P13" s="138">
        <f t="shared" si="5"/>
        <v>100.99869142136903</v>
      </c>
      <c r="AF13" s="77">
        <f>SUM(AF4:AF12)</f>
        <v>23171076.000000004</v>
      </c>
      <c r="AG13" s="78">
        <f>SUM(AG4:AG12)</f>
        <v>23171076</v>
      </c>
      <c r="AH13" s="72">
        <f t="shared" si="4"/>
        <v>23171076</v>
      </c>
      <c r="AI13" s="101">
        <f>SUM(AI4:AI12)</f>
        <v>1.0000000000000002</v>
      </c>
    </row>
    <row r="15" spans="1:35" x14ac:dyDescent="0.25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L15">
        <v>11</v>
      </c>
      <c r="M15">
        <v>12</v>
      </c>
      <c r="N15">
        <v>13</v>
      </c>
      <c r="O15">
        <v>14</v>
      </c>
      <c r="P15">
        <v>15</v>
      </c>
      <c r="Q15">
        <v>16</v>
      </c>
      <c r="R15">
        <v>17</v>
      </c>
      <c r="S15">
        <v>18</v>
      </c>
      <c r="T15">
        <v>19</v>
      </c>
      <c r="U15">
        <v>20</v>
      </c>
      <c r="V15">
        <v>21</v>
      </c>
      <c r="W15">
        <v>22</v>
      </c>
      <c r="X15">
        <v>23</v>
      </c>
      <c r="Y15">
        <v>24</v>
      </c>
      <c r="Z15">
        <v>25</v>
      </c>
      <c r="AA15">
        <v>26</v>
      </c>
      <c r="AB15">
        <v>27</v>
      </c>
      <c r="AC15">
        <v>28</v>
      </c>
      <c r="AD15">
        <v>29</v>
      </c>
      <c r="AE15">
        <v>30</v>
      </c>
      <c r="AF15">
        <v>31</v>
      </c>
      <c r="AG15">
        <v>32</v>
      </c>
      <c r="AH15">
        <v>33</v>
      </c>
      <c r="AI15">
        <v>34</v>
      </c>
    </row>
    <row r="19" spans="33:35" x14ac:dyDescent="0.25">
      <c r="AG19" s="37"/>
      <c r="AH19" s="37"/>
      <c r="AI19" s="37"/>
    </row>
    <row r="20" spans="33:35" x14ac:dyDescent="0.25">
      <c r="AG20" s="37"/>
      <c r="AH20" s="37"/>
      <c r="AI20" s="37"/>
    </row>
    <row r="21" spans="33:35" x14ac:dyDescent="0.25">
      <c r="AG21" s="39"/>
      <c r="AH21" s="37"/>
      <c r="AI21" s="39"/>
    </row>
    <row r="22" spans="33:35" x14ac:dyDescent="0.25">
      <c r="AG22" s="39"/>
      <c r="AH22" s="37"/>
      <c r="AI22" s="39"/>
    </row>
    <row r="23" spans="33:35" x14ac:dyDescent="0.25">
      <c r="AG23" s="39"/>
      <c r="AH23" s="37"/>
      <c r="AI23" s="39"/>
    </row>
    <row r="24" spans="33:35" x14ac:dyDescent="0.25">
      <c r="AG24" s="39"/>
      <c r="AH24" s="37"/>
      <c r="AI24" s="39"/>
    </row>
    <row r="25" spans="33:35" x14ac:dyDescent="0.25">
      <c r="AG25" s="39"/>
      <c r="AH25" s="37"/>
      <c r="AI25" s="39"/>
    </row>
    <row r="26" spans="33:35" x14ac:dyDescent="0.25">
      <c r="AG26" s="39"/>
      <c r="AH26" s="37"/>
      <c r="AI26" s="39"/>
    </row>
    <row r="27" spans="33:35" x14ac:dyDescent="0.25">
      <c r="AG27" s="39"/>
      <c r="AH27" s="37"/>
      <c r="AI27" s="39"/>
    </row>
    <row r="28" spans="33:35" x14ac:dyDescent="0.25">
      <c r="AG28" s="39"/>
      <c r="AH28" s="37"/>
      <c r="AI28" s="39"/>
    </row>
    <row r="29" spans="33:35" x14ac:dyDescent="0.25">
      <c r="AG29" s="39"/>
      <c r="AH29" s="37"/>
      <c r="AI29" s="39"/>
    </row>
    <row r="30" spans="33:35" x14ac:dyDescent="0.25">
      <c r="AG30" s="39"/>
      <c r="AH30" s="37"/>
      <c r="AI30" s="39"/>
    </row>
    <row r="31" spans="33:35" x14ac:dyDescent="0.25">
      <c r="AG31" s="39"/>
      <c r="AH31" s="37"/>
      <c r="AI31" s="39"/>
    </row>
    <row r="32" spans="33:35" x14ac:dyDescent="0.25">
      <c r="AG32" s="39"/>
      <c r="AH32" s="37"/>
      <c r="AI32" s="39"/>
    </row>
    <row r="33" spans="17:35" x14ac:dyDescent="0.25">
      <c r="AE33" s="38"/>
      <c r="AF33" s="39"/>
      <c r="AG33" s="39"/>
      <c r="AH33" s="37"/>
      <c r="AI33" s="39"/>
    </row>
    <row r="34" spans="17:35" x14ac:dyDescent="0.25">
      <c r="AE34" s="38"/>
      <c r="AF34" s="39"/>
      <c r="AG34" s="39"/>
      <c r="AH34" s="37"/>
      <c r="AI34" s="39"/>
    </row>
    <row r="35" spans="17:35" x14ac:dyDescent="0.25">
      <c r="AE35" s="38"/>
      <c r="AF35" s="39"/>
      <c r="AG35" s="39"/>
      <c r="AH35" s="37"/>
      <c r="AI35" s="39"/>
    </row>
    <row r="36" spans="17:35" x14ac:dyDescent="0.25">
      <c r="AE36" s="38"/>
      <c r="AF36" s="39"/>
      <c r="AG36" s="39"/>
      <c r="AH36" s="37"/>
      <c r="AI36" s="39"/>
    </row>
    <row r="37" spans="17:35" x14ac:dyDescent="0.25">
      <c r="AE37" s="38"/>
      <c r="AF37" s="39"/>
      <c r="AG37" s="39"/>
      <c r="AH37" s="37"/>
      <c r="AI37" s="39"/>
    </row>
    <row r="38" spans="17:35" x14ac:dyDescent="0.25">
      <c r="AE38" s="38"/>
      <c r="AF38" s="39"/>
      <c r="AG38" s="39"/>
      <c r="AH38" s="37"/>
      <c r="AI38" s="39"/>
    </row>
    <row r="39" spans="17:35" x14ac:dyDescent="0.25">
      <c r="AE39" s="38"/>
      <c r="AF39" s="39"/>
      <c r="AG39" s="39"/>
      <c r="AH39" s="37"/>
      <c r="AI39" s="39"/>
    </row>
    <row r="40" spans="17:35" x14ac:dyDescent="0.25">
      <c r="AE40" s="38"/>
      <c r="AF40" s="39"/>
      <c r="AG40" s="39"/>
      <c r="AH40" s="37"/>
      <c r="AI40" s="39"/>
    </row>
    <row r="41" spans="17:35" x14ac:dyDescent="0.25">
      <c r="AE41" s="38"/>
      <c r="AF41" s="39"/>
      <c r="AG41" s="39"/>
      <c r="AH41" s="37"/>
      <c r="AI41" s="39"/>
    </row>
    <row r="42" spans="17:35" x14ac:dyDescent="0.25">
      <c r="AE42" s="38"/>
      <c r="AF42" s="39"/>
      <c r="AG42" s="39"/>
      <c r="AH42" s="37"/>
      <c r="AI42" s="39"/>
    </row>
    <row r="43" spans="17:35" x14ac:dyDescent="0.25">
      <c r="AE43" s="38"/>
      <c r="AF43" s="39"/>
      <c r="AG43" s="39"/>
      <c r="AH43" s="37"/>
      <c r="AI43" s="39"/>
    </row>
    <row r="44" spans="17:35" x14ac:dyDescent="0.25">
      <c r="AE44" s="38"/>
      <c r="AF44" s="39"/>
      <c r="AG44" s="39"/>
      <c r="AH44" s="37"/>
      <c r="AI44" s="39"/>
    </row>
    <row r="45" spans="17:35" x14ac:dyDescent="0.25">
      <c r="AE45" s="38"/>
      <c r="AF45" s="39"/>
      <c r="AG45" s="39"/>
      <c r="AH45" s="37"/>
      <c r="AI45" s="39"/>
    </row>
    <row r="46" spans="17:35" x14ac:dyDescent="0.25">
      <c r="AE46" s="38"/>
      <c r="AF46" s="39"/>
      <c r="AG46" s="39"/>
      <c r="AH46" s="37"/>
      <c r="AI46" s="39"/>
    </row>
    <row r="47" spans="17:35" x14ac:dyDescent="0.25">
      <c r="AD47" s="37"/>
      <c r="AE47" s="38"/>
      <c r="AF47" s="39"/>
      <c r="AG47" s="39"/>
      <c r="AH47" s="37"/>
      <c r="AI47" s="39"/>
    </row>
    <row r="48" spans="17:35" x14ac:dyDescent="0.25">
      <c r="Q48" s="40" t="e">
        <f>#REF!-#REF!</f>
        <v>#REF!</v>
      </c>
      <c r="R48" s="40" t="e">
        <f>#REF!-#REF!</f>
        <v>#REF!</v>
      </c>
      <c r="S48" s="40" t="e">
        <f>#REF!-#REF!</f>
        <v>#REF!</v>
      </c>
      <c r="T48" s="40" t="e">
        <f>#REF!-#REF!</f>
        <v>#REF!</v>
      </c>
      <c r="U48" s="40" t="e">
        <f>#REF!-#REF!</f>
        <v>#REF!</v>
      </c>
      <c r="V48" s="40"/>
      <c r="W48" s="40"/>
      <c r="X48" s="40"/>
      <c r="Y48" s="40"/>
      <c r="Z48" s="40"/>
      <c r="AA48" s="40"/>
      <c r="AB48" s="40"/>
      <c r="AC48" s="40"/>
      <c r="AD48" s="40"/>
      <c r="AE48" s="38"/>
      <c r="AF48" s="39"/>
      <c r="AG48" s="39"/>
      <c r="AH48" s="37"/>
      <c r="AI48" s="39"/>
    </row>
    <row r="49" spans="17:35" x14ac:dyDescent="0.25">
      <c r="Q49" s="40" t="e">
        <f>#REF!-Q18</f>
        <v>#REF!</v>
      </c>
      <c r="R49" s="40" t="e">
        <f>#REF!-R18</f>
        <v>#REF!</v>
      </c>
      <c r="S49" s="40" t="e">
        <f>#REF!-S18</f>
        <v>#REF!</v>
      </c>
      <c r="T49" s="40" t="e">
        <f>#REF!-T18</f>
        <v>#REF!</v>
      </c>
      <c r="U49" s="40" t="e">
        <f>#REF!-U18</f>
        <v>#REF!</v>
      </c>
      <c r="V49" s="40"/>
      <c r="W49" s="40"/>
      <c r="X49" s="40"/>
      <c r="Y49" s="40"/>
      <c r="Z49" s="40"/>
      <c r="AA49" s="40"/>
      <c r="AB49" s="40"/>
      <c r="AC49" s="40"/>
      <c r="AD49" s="40"/>
      <c r="AE49" s="38"/>
      <c r="AF49" s="39"/>
      <c r="AG49" s="39"/>
      <c r="AH49" s="37"/>
      <c r="AI49" s="39"/>
    </row>
    <row r="50" spans="17:35" x14ac:dyDescent="0.25">
      <c r="Q50" s="40" t="e">
        <f>#REF!-Q19</f>
        <v>#REF!</v>
      </c>
      <c r="R50" s="40" t="e">
        <f>#REF!-R19</f>
        <v>#REF!</v>
      </c>
      <c r="S50" s="40" t="e">
        <f>#REF!-S19</f>
        <v>#REF!</v>
      </c>
      <c r="T50" s="40" t="e">
        <f>#REF!-T19</f>
        <v>#REF!</v>
      </c>
      <c r="U50" s="40" t="e">
        <f>#REF!-U19</f>
        <v>#REF!</v>
      </c>
      <c r="V50" s="40"/>
      <c r="W50" s="40"/>
      <c r="X50" s="40"/>
      <c r="Y50" s="40"/>
      <c r="Z50" s="40"/>
      <c r="AA50" s="40"/>
      <c r="AB50" s="40"/>
      <c r="AC50" s="40"/>
      <c r="AD50" s="40"/>
      <c r="AE50" s="38"/>
      <c r="AF50" s="39"/>
      <c r="AG50" s="39"/>
      <c r="AH50" s="37"/>
      <c r="AI50" s="39"/>
    </row>
    <row r="51" spans="17:35" x14ac:dyDescent="0.25">
      <c r="Q51" s="40" t="e">
        <f>#REF!-Q20</f>
        <v>#REF!</v>
      </c>
      <c r="R51" s="40" t="e">
        <f>#REF!-R20</f>
        <v>#REF!</v>
      </c>
      <c r="S51" s="40" t="e">
        <f>#REF!-S20</f>
        <v>#REF!</v>
      </c>
      <c r="T51" s="40" t="e">
        <f>#REF!-T20</f>
        <v>#REF!</v>
      </c>
      <c r="U51" s="40" t="e">
        <f>#REF!-U20</f>
        <v>#REF!</v>
      </c>
      <c r="V51" s="40"/>
      <c r="W51" s="40"/>
      <c r="X51" s="40"/>
      <c r="Y51" s="40"/>
      <c r="Z51" s="40"/>
      <c r="AA51" s="40"/>
      <c r="AB51" s="40"/>
      <c r="AC51" s="40"/>
      <c r="AD51" s="40"/>
      <c r="AE51" s="37"/>
      <c r="AF51" s="37"/>
      <c r="AG51" s="39"/>
      <c r="AH51" s="37"/>
      <c r="AI51" s="39"/>
    </row>
    <row r="52" spans="17:35" x14ac:dyDescent="0.25">
      <c r="Q52" s="40" t="e">
        <f>#REF!-Q21</f>
        <v>#REF!</v>
      </c>
      <c r="R52" s="40" t="e">
        <f>#REF!-R21</f>
        <v>#REF!</v>
      </c>
      <c r="S52" s="40" t="e">
        <f>#REF!-S21</f>
        <v>#REF!</v>
      </c>
      <c r="T52" s="40" t="e">
        <f>#REF!-T21</f>
        <v>#REF!</v>
      </c>
      <c r="U52" s="40" t="e">
        <f>#REF!-U21</f>
        <v>#REF!</v>
      </c>
      <c r="V52" s="40"/>
      <c r="W52" s="40"/>
      <c r="X52" s="40"/>
      <c r="Y52" s="40"/>
      <c r="Z52" s="40"/>
      <c r="AA52" s="40"/>
      <c r="AB52" s="40"/>
      <c r="AC52" s="40"/>
      <c r="AD52" s="40"/>
      <c r="AE52" s="37"/>
      <c r="AF52" s="37"/>
      <c r="AG52" s="37"/>
      <c r="AH52" s="37"/>
      <c r="AI52" s="37"/>
    </row>
    <row r="53" spans="17:35" x14ac:dyDescent="0.25">
      <c r="Q53" s="40" t="e">
        <f>#REF!-Q22</f>
        <v>#REF!</v>
      </c>
      <c r="R53" s="40" t="e">
        <f>#REF!-R22</f>
        <v>#REF!</v>
      </c>
      <c r="S53" s="40" t="e">
        <f>#REF!-S22</f>
        <v>#REF!</v>
      </c>
      <c r="T53" s="40" t="e">
        <f>#REF!-T22</f>
        <v>#REF!</v>
      </c>
      <c r="U53" s="40" t="e">
        <f>#REF!-U22</f>
        <v>#REF!</v>
      </c>
      <c r="V53" s="40"/>
      <c r="W53" s="40"/>
      <c r="X53" s="40"/>
      <c r="Y53" s="40"/>
      <c r="Z53" s="40"/>
      <c r="AA53" s="40"/>
      <c r="AB53" s="40"/>
      <c r="AC53" s="40"/>
      <c r="AD53" s="40"/>
      <c r="AE53" s="37"/>
      <c r="AF53" s="37"/>
      <c r="AG53" s="37"/>
      <c r="AH53" s="37"/>
      <c r="AI53" s="37"/>
    </row>
    <row r="54" spans="17:35" x14ac:dyDescent="0.25">
      <c r="Q54" s="40" t="e">
        <f>#REF!-Q23</f>
        <v>#REF!</v>
      </c>
      <c r="R54" s="40" t="e">
        <f>#REF!-R23</f>
        <v>#REF!</v>
      </c>
      <c r="S54" s="40" t="e">
        <f>#REF!-S23</f>
        <v>#REF!</v>
      </c>
      <c r="T54" s="40" t="e">
        <f>#REF!-T23</f>
        <v>#REF!</v>
      </c>
      <c r="U54" s="40" t="e">
        <f>#REF!-U23</f>
        <v>#REF!</v>
      </c>
      <c r="V54" s="40"/>
      <c r="W54" s="40"/>
      <c r="X54" s="40"/>
      <c r="Y54" s="40"/>
      <c r="Z54" s="40"/>
      <c r="AA54" s="40"/>
      <c r="AB54" s="40"/>
      <c r="AC54" s="40"/>
      <c r="AD54" s="40"/>
    </row>
    <row r="55" spans="17:35" x14ac:dyDescent="0.25">
      <c r="Q55" s="40" t="e">
        <f>#REF!-Q24</f>
        <v>#REF!</v>
      </c>
      <c r="R55" s="40" t="e">
        <f>#REF!-R24</f>
        <v>#REF!</v>
      </c>
      <c r="S55" s="40" t="e">
        <f>#REF!-S24</f>
        <v>#REF!</v>
      </c>
      <c r="T55" s="40" t="e">
        <f>#REF!-T24</f>
        <v>#REF!</v>
      </c>
      <c r="U55" s="40" t="e">
        <f>#REF!-U24</f>
        <v>#REF!</v>
      </c>
      <c r="V55" s="40"/>
      <c r="W55" s="40"/>
      <c r="X55" s="40"/>
      <c r="Y55" s="40"/>
      <c r="Z55" s="40"/>
      <c r="AA55" s="40"/>
      <c r="AB55" s="40"/>
      <c r="AC55" s="40"/>
      <c r="AD55" s="40"/>
    </row>
    <row r="56" spans="17:35" x14ac:dyDescent="0.25">
      <c r="Q56" s="40" t="e">
        <f>#REF!-Q25</f>
        <v>#REF!</v>
      </c>
      <c r="R56" s="40" t="e">
        <f>#REF!-R25</f>
        <v>#REF!</v>
      </c>
      <c r="S56" s="40" t="e">
        <f>#REF!-S25</f>
        <v>#REF!</v>
      </c>
      <c r="T56" s="40" t="e">
        <f>#REF!-T25</f>
        <v>#REF!</v>
      </c>
      <c r="U56" s="40" t="e">
        <f>#REF!-U25</f>
        <v>#REF!</v>
      </c>
      <c r="V56" s="40"/>
      <c r="W56" s="40"/>
      <c r="X56" s="40"/>
      <c r="Y56" s="40"/>
      <c r="Z56" s="40"/>
      <c r="AA56" s="40"/>
      <c r="AB56" s="40"/>
      <c r="AC56" s="40"/>
      <c r="AD56" s="40"/>
    </row>
    <row r="57" spans="17:35" x14ac:dyDescent="0.25">
      <c r="Q57" s="40" t="e">
        <f>#REF!-Q26</f>
        <v>#REF!</v>
      </c>
      <c r="R57" s="40" t="e">
        <f>#REF!-R26</f>
        <v>#REF!</v>
      </c>
      <c r="S57" s="40" t="e">
        <f>#REF!-S26</f>
        <v>#REF!</v>
      </c>
      <c r="T57" s="40" t="e">
        <f>#REF!-T26</f>
        <v>#REF!</v>
      </c>
      <c r="U57" s="40" t="e">
        <f>#REF!-U26</f>
        <v>#REF!</v>
      </c>
      <c r="V57" s="40"/>
      <c r="W57" s="40"/>
      <c r="X57" s="40"/>
      <c r="Y57" s="40"/>
      <c r="Z57" s="40"/>
      <c r="AA57" s="40"/>
      <c r="AB57" s="40"/>
      <c r="AC57" s="40"/>
      <c r="AD57" s="40"/>
    </row>
    <row r="58" spans="17:35" x14ac:dyDescent="0.25">
      <c r="Q58" s="40" t="e">
        <f>#REF!-Q27</f>
        <v>#REF!</v>
      </c>
      <c r="R58" s="40" t="e">
        <f>#REF!-R27</f>
        <v>#REF!</v>
      </c>
      <c r="S58" s="40" t="e">
        <f>#REF!-S27</f>
        <v>#REF!</v>
      </c>
      <c r="T58" s="40" t="e">
        <f>#REF!-T27</f>
        <v>#REF!</v>
      </c>
      <c r="U58" s="40" t="e">
        <f>#REF!-U27</f>
        <v>#REF!</v>
      </c>
      <c r="V58" s="40"/>
      <c r="W58" s="40"/>
      <c r="X58" s="40"/>
      <c r="Y58" s="40"/>
      <c r="Z58" s="40"/>
      <c r="AA58" s="40"/>
      <c r="AB58" s="40"/>
      <c r="AC58" s="40"/>
      <c r="AD58" s="40"/>
    </row>
    <row r="59" spans="17:35" x14ac:dyDescent="0.25">
      <c r="Q59" s="40" t="e">
        <f>#REF!-Q28</f>
        <v>#REF!</v>
      </c>
      <c r="R59" s="40" t="e">
        <f>#REF!-R28</f>
        <v>#REF!</v>
      </c>
      <c r="S59" s="40" t="e">
        <f>#REF!-S28</f>
        <v>#REF!</v>
      </c>
      <c r="T59" s="40" t="e">
        <f>#REF!-T28</f>
        <v>#REF!</v>
      </c>
      <c r="U59" s="40" t="e">
        <f>#REF!-U28</f>
        <v>#REF!</v>
      </c>
      <c r="V59" s="40"/>
      <c r="W59" s="40"/>
      <c r="X59" s="40"/>
      <c r="Y59" s="40"/>
      <c r="Z59" s="40"/>
      <c r="AA59" s="40"/>
      <c r="AB59" s="40"/>
      <c r="AC59" s="40"/>
      <c r="AD59" s="40"/>
    </row>
    <row r="60" spans="17:35" x14ac:dyDescent="0.25">
      <c r="Q60" s="40" t="e">
        <f>#REF!-Q29</f>
        <v>#REF!</v>
      </c>
      <c r="R60" s="40" t="e">
        <f>#REF!-R29</f>
        <v>#REF!</v>
      </c>
      <c r="S60" s="40" t="e">
        <f>#REF!-S29</f>
        <v>#REF!</v>
      </c>
      <c r="T60" s="40" t="e">
        <f>#REF!-T29</f>
        <v>#REF!</v>
      </c>
      <c r="U60" s="40" t="e">
        <f>#REF!-U29</f>
        <v>#REF!</v>
      </c>
      <c r="V60" s="40"/>
      <c r="W60" s="40"/>
      <c r="X60" s="40"/>
      <c r="Y60" s="40"/>
      <c r="Z60" s="40"/>
      <c r="AA60" s="40"/>
      <c r="AB60" s="40"/>
      <c r="AC60" s="40"/>
      <c r="AD60" s="40"/>
    </row>
    <row r="61" spans="17:35" x14ac:dyDescent="0.25">
      <c r="Q61" s="40" t="e">
        <f>#REF!-Q30</f>
        <v>#REF!</v>
      </c>
      <c r="R61" s="40" t="e">
        <f>#REF!-R30</f>
        <v>#REF!</v>
      </c>
      <c r="S61" s="40" t="e">
        <f>#REF!-S30</f>
        <v>#REF!</v>
      </c>
      <c r="T61" s="40" t="e">
        <f>#REF!-T30</f>
        <v>#REF!</v>
      </c>
      <c r="U61" s="40" t="e">
        <f>#REF!-U30</f>
        <v>#REF!</v>
      </c>
      <c r="V61" s="40"/>
      <c r="W61" s="40"/>
      <c r="X61" s="40"/>
      <c r="Y61" s="40"/>
      <c r="Z61" s="40"/>
      <c r="AA61" s="40"/>
      <c r="AB61" s="40"/>
      <c r="AC61" s="40"/>
      <c r="AD61" s="40"/>
    </row>
    <row r="62" spans="17:35" x14ac:dyDescent="0.25">
      <c r="Q62" s="40" t="e">
        <f>#REF!-Q31</f>
        <v>#REF!</v>
      </c>
      <c r="R62" s="40" t="e">
        <f>#REF!-R31</f>
        <v>#REF!</v>
      </c>
      <c r="S62" s="40" t="e">
        <f>#REF!-S31</f>
        <v>#REF!</v>
      </c>
      <c r="T62" s="40" t="e">
        <f>#REF!-T31</f>
        <v>#REF!</v>
      </c>
      <c r="U62" s="40" t="e">
        <f>#REF!-U31</f>
        <v>#REF!</v>
      </c>
      <c r="V62" s="40"/>
      <c r="W62" s="40"/>
      <c r="X62" s="40"/>
      <c r="Y62" s="40"/>
      <c r="Z62" s="40"/>
      <c r="AA62" s="40"/>
      <c r="AB62" s="40"/>
      <c r="AC62" s="40"/>
      <c r="AD62" s="40"/>
    </row>
    <row r="63" spans="17:35" x14ac:dyDescent="0.25">
      <c r="Q63" s="40" t="e">
        <f>#REF!-Q32</f>
        <v>#REF!</v>
      </c>
      <c r="R63" s="40" t="e">
        <f>#REF!-R32</f>
        <v>#REF!</v>
      </c>
      <c r="S63" s="40" t="e">
        <f>#REF!-S32</f>
        <v>#REF!</v>
      </c>
      <c r="T63" s="40" t="e">
        <f>#REF!-T32</f>
        <v>#REF!</v>
      </c>
      <c r="U63" s="40" t="e">
        <f>#REF!-U32</f>
        <v>#REF!</v>
      </c>
      <c r="V63" s="40"/>
      <c r="W63" s="40"/>
      <c r="X63" s="40"/>
      <c r="Y63" s="40"/>
      <c r="Z63" s="40"/>
      <c r="AA63" s="40"/>
      <c r="AB63" s="40"/>
      <c r="AC63" s="40"/>
      <c r="AD63" s="40"/>
    </row>
    <row r="64" spans="17:35" x14ac:dyDescent="0.25">
      <c r="Q64" s="40">
        <f t="shared" ref="Q64:U77" si="6">Q4-Q33</f>
        <v>1</v>
      </c>
      <c r="R64" s="40">
        <f t="shared" si="6"/>
        <v>0.75976351265337994</v>
      </c>
      <c r="S64" s="40">
        <f t="shared" si="6"/>
        <v>1</v>
      </c>
      <c r="T64" s="40">
        <f t="shared" si="6"/>
        <v>0.94046424350494517</v>
      </c>
      <c r="U64" s="40">
        <f t="shared" si="6"/>
        <v>1</v>
      </c>
      <c r="V64" s="40"/>
      <c r="W64" s="40"/>
      <c r="X64" s="40"/>
      <c r="Y64" s="40"/>
      <c r="Z64" s="40"/>
      <c r="AA64" s="40"/>
      <c r="AB64" s="40"/>
      <c r="AC64" s="40"/>
      <c r="AD64" s="40"/>
    </row>
    <row r="65" spans="17:30" x14ac:dyDescent="0.25">
      <c r="Q65" s="40">
        <f t="shared" si="6"/>
        <v>0.63417483665493224</v>
      </c>
      <c r="R65" s="40">
        <f t="shared" si="6"/>
        <v>1</v>
      </c>
      <c r="S65" s="40">
        <f t="shared" si="6"/>
        <v>0.96415816903433971</v>
      </c>
      <c r="T65" s="40">
        <f t="shared" si="6"/>
        <v>1</v>
      </c>
      <c r="U65" s="40">
        <f t="shared" si="6"/>
        <v>0.80786007325687847</v>
      </c>
      <c r="V65" s="40"/>
      <c r="W65" s="40"/>
      <c r="X65" s="40"/>
      <c r="Y65" s="40"/>
      <c r="Z65" s="40"/>
      <c r="AA65" s="40"/>
      <c r="AB65" s="40"/>
      <c r="AC65" s="40"/>
      <c r="AD65" s="40"/>
    </row>
    <row r="66" spans="17:30" x14ac:dyDescent="0.25">
      <c r="Q66" s="40">
        <f t="shared" si="6"/>
        <v>0.97896433964616725</v>
      </c>
      <c r="R66" s="40">
        <f t="shared" si="6"/>
        <v>0.7800752267096922</v>
      </c>
      <c r="S66" s="40">
        <f t="shared" si="6"/>
        <v>0.93282760309143842</v>
      </c>
      <c r="T66" s="40">
        <f t="shared" si="6"/>
        <v>0.68656387251773687</v>
      </c>
      <c r="U66" s="40">
        <f t="shared" si="6"/>
        <v>0.71101801641256213</v>
      </c>
      <c r="V66" s="40"/>
      <c r="W66" s="40"/>
      <c r="X66" s="40"/>
      <c r="Y66" s="40"/>
      <c r="Z66" s="40"/>
      <c r="AA66" s="40"/>
      <c r="AB66" s="40"/>
      <c r="AC66" s="40"/>
      <c r="AD66" s="40"/>
    </row>
    <row r="67" spans="17:30" x14ac:dyDescent="0.25">
      <c r="Q67" s="40">
        <f t="shared" si="6"/>
        <v>0.58077090191699976</v>
      </c>
      <c r="R67" s="40">
        <f t="shared" si="6"/>
        <v>0.76289824900329328</v>
      </c>
      <c r="S67" s="40">
        <f t="shared" si="6"/>
        <v>0.90907821454451554</v>
      </c>
      <c r="T67" s="40">
        <f t="shared" si="6"/>
        <v>0.51971029073061115</v>
      </c>
      <c r="U67" s="40">
        <f t="shared" si="6"/>
        <v>0.68123146357931619</v>
      </c>
      <c r="V67" s="40"/>
      <c r="W67" s="40"/>
      <c r="X67" s="40"/>
      <c r="Y67" s="40"/>
      <c r="Z67" s="40"/>
      <c r="AA67" s="40"/>
      <c r="AB67" s="40"/>
      <c r="AC67" s="40"/>
      <c r="AD67" s="40"/>
    </row>
    <row r="68" spans="17:30" x14ac:dyDescent="0.25">
      <c r="Q68" s="40">
        <f t="shared" si="6"/>
        <v>0.76327169243228243</v>
      </c>
      <c r="R68" s="40">
        <f t="shared" si="6"/>
        <v>0.80156548665905236</v>
      </c>
      <c r="S68" s="40">
        <f t="shared" si="6"/>
        <v>0.88718734215198392</v>
      </c>
      <c r="T68" s="40">
        <f t="shared" si="6"/>
        <v>0.5425877339830204</v>
      </c>
      <c r="U68" s="40">
        <f t="shared" si="6"/>
        <v>0.67691005041215213</v>
      </c>
      <c r="V68" s="40"/>
      <c r="W68" s="40"/>
      <c r="X68" s="40"/>
      <c r="Y68" s="40"/>
      <c r="Z68" s="40"/>
      <c r="AA68" s="40"/>
      <c r="AB68" s="40"/>
      <c r="AC68" s="40"/>
      <c r="AD68" s="40"/>
    </row>
    <row r="69" spans="17:30" x14ac:dyDescent="0.25">
      <c r="Q69" s="40">
        <f t="shared" si="6"/>
        <v>0.7616452820590881</v>
      </c>
      <c r="R69" s="40">
        <f t="shared" si="6"/>
        <v>0.8589743609580236</v>
      </c>
      <c r="S69" s="40">
        <f t="shared" si="6"/>
        <v>1</v>
      </c>
      <c r="T69" s="40">
        <f t="shared" si="6"/>
        <v>0.75645287250221427</v>
      </c>
      <c r="U69" s="40">
        <f t="shared" si="6"/>
        <v>0.88064662565543173</v>
      </c>
      <c r="V69" s="40"/>
      <c r="W69" s="40"/>
      <c r="X69" s="40"/>
      <c r="Y69" s="40"/>
      <c r="Z69" s="40"/>
      <c r="AA69" s="40"/>
      <c r="AB69" s="40"/>
      <c r="AC69" s="40"/>
      <c r="AD69" s="40"/>
    </row>
    <row r="70" spans="17:30" x14ac:dyDescent="0.25">
      <c r="Q70" s="40">
        <f t="shared" si="6"/>
        <v>1</v>
      </c>
      <c r="R70" s="40">
        <f t="shared" si="6"/>
        <v>0.83136794393689606</v>
      </c>
      <c r="S70" s="40">
        <f t="shared" si="6"/>
        <v>0.81313933944917893</v>
      </c>
      <c r="T70" s="40">
        <f t="shared" si="6"/>
        <v>0.80120954285959389</v>
      </c>
      <c r="U70" s="40">
        <f t="shared" si="6"/>
        <v>0.96372436380636883</v>
      </c>
      <c r="V70" s="40"/>
      <c r="W70" s="40"/>
      <c r="X70" s="40"/>
      <c r="Y70" s="40"/>
      <c r="Z70" s="40"/>
      <c r="AA70" s="40"/>
      <c r="AB70" s="40"/>
      <c r="AC70" s="40"/>
      <c r="AD70" s="40"/>
    </row>
    <row r="71" spans="17:30" x14ac:dyDescent="0.25">
      <c r="Q71" s="40">
        <f t="shared" si="6"/>
        <v>0.91239174691132918</v>
      </c>
      <c r="R71" s="40">
        <f t="shared" si="6"/>
        <v>0.86739626539834569</v>
      </c>
      <c r="S71" s="40">
        <f t="shared" si="6"/>
        <v>0.99083885277641837</v>
      </c>
      <c r="T71" s="40">
        <f t="shared" si="6"/>
        <v>0.75442747466792182</v>
      </c>
      <c r="U71" s="40">
        <f t="shared" si="6"/>
        <v>0.70264521449413142</v>
      </c>
      <c r="V71" s="40"/>
      <c r="W71" s="40"/>
      <c r="X71" s="40"/>
      <c r="Y71" s="40"/>
      <c r="Z71" s="40"/>
      <c r="AA71" s="40"/>
      <c r="AB71" s="40"/>
      <c r="AC71" s="40"/>
      <c r="AD71" s="40"/>
    </row>
    <row r="72" spans="17:30" x14ac:dyDescent="0.25">
      <c r="Q72" s="40">
        <f t="shared" si="6"/>
        <v>0.68859071174815678</v>
      </c>
      <c r="R72" s="40">
        <f t="shared" si="6"/>
        <v>1</v>
      </c>
      <c r="S72" s="40">
        <f t="shared" si="6"/>
        <v>0.91722793833580629</v>
      </c>
      <c r="T72" s="40">
        <f t="shared" si="6"/>
        <v>1</v>
      </c>
      <c r="U72" s="40">
        <f t="shared" si="6"/>
        <v>1</v>
      </c>
      <c r="V72" s="40"/>
      <c r="W72" s="40"/>
      <c r="X72" s="40"/>
      <c r="Y72" s="40"/>
      <c r="Z72" s="40"/>
      <c r="AA72" s="40"/>
      <c r="AB72" s="40"/>
      <c r="AC72" s="40"/>
      <c r="AD72" s="40"/>
    </row>
    <row r="73" spans="17:30" x14ac:dyDescent="0.25">
      <c r="Q73" s="40">
        <f t="shared" si="6"/>
        <v>0</v>
      </c>
      <c r="R73" s="40">
        <f t="shared" si="6"/>
        <v>0</v>
      </c>
      <c r="S73" s="40">
        <f t="shared" si="6"/>
        <v>0</v>
      </c>
      <c r="T73" s="40">
        <f t="shared" si="6"/>
        <v>0</v>
      </c>
      <c r="U73" s="40">
        <f t="shared" si="6"/>
        <v>0</v>
      </c>
      <c r="V73" s="40"/>
      <c r="W73" s="40"/>
      <c r="X73" s="40"/>
      <c r="Y73" s="40"/>
      <c r="Z73" s="40"/>
      <c r="AA73" s="40"/>
      <c r="AB73" s="40"/>
      <c r="AC73" s="40"/>
      <c r="AD73" s="40"/>
    </row>
    <row r="74" spans="17:30" x14ac:dyDescent="0.25">
      <c r="Q74" s="40">
        <f t="shared" si="6"/>
        <v>0</v>
      </c>
      <c r="R74" s="40">
        <f t="shared" si="6"/>
        <v>0</v>
      </c>
      <c r="S74" s="40">
        <f t="shared" si="6"/>
        <v>0</v>
      </c>
      <c r="T74" s="40">
        <f t="shared" si="6"/>
        <v>0</v>
      </c>
      <c r="U74" s="40">
        <f t="shared" si="6"/>
        <v>0</v>
      </c>
      <c r="V74" s="40"/>
      <c r="W74" s="40"/>
      <c r="X74" s="40"/>
      <c r="Y74" s="40"/>
      <c r="Z74" s="40"/>
      <c r="AA74" s="40"/>
      <c r="AB74" s="40"/>
      <c r="AC74" s="40"/>
      <c r="AD74" s="40"/>
    </row>
    <row r="75" spans="17:30" x14ac:dyDescent="0.25">
      <c r="Q75" s="40">
        <f t="shared" si="6"/>
        <v>16</v>
      </c>
      <c r="R75" s="40">
        <f t="shared" si="6"/>
        <v>17</v>
      </c>
      <c r="S75" s="40">
        <f t="shared" si="6"/>
        <v>18</v>
      </c>
      <c r="T75" s="40">
        <f t="shared" si="6"/>
        <v>19</v>
      </c>
      <c r="U75" s="40">
        <f t="shared" si="6"/>
        <v>20</v>
      </c>
      <c r="V75" s="40"/>
      <c r="W75" s="40"/>
      <c r="X75" s="40"/>
      <c r="Y75" s="40"/>
      <c r="Z75" s="40"/>
      <c r="AA75" s="40"/>
      <c r="AB75" s="40"/>
      <c r="AC75" s="40"/>
      <c r="AD75" s="40"/>
    </row>
    <row r="76" spans="17:30" x14ac:dyDescent="0.25">
      <c r="Q76" s="40">
        <f t="shared" si="6"/>
        <v>0</v>
      </c>
      <c r="R76" s="40">
        <f t="shared" si="6"/>
        <v>0</v>
      </c>
      <c r="S76" s="40">
        <f t="shared" si="6"/>
        <v>0</v>
      </c>
      <c r="T76" s="40">
        <f t="shared" si="6"/>
        <v>0</v>
      </c>
      <c r="U76" s="40">
        <f t="shared" si="6"/>
        <v>0</v>
      </c>
      <c r="V76" s="40"/>
      <c r="W76" s="40"/>
      <c r="X76" s="40"/>
      <c r="Y76" s="40"/>
      <c r="Z76" s="40"/>
      <c r="AA76" s="40"/>
      <c r="AB76" s="40"/>
      <c r="AC76" s="40"/>
      <c r="AD76" s="40"/>
    </row>
    <row r="77" spans="17:30" x14ac:dyDescent="0.25">
      <c r="Q77" s="40">
        <f t="shared" si="6"/>
        <v>0</v>
      </c>
      <c r="R77" s="40">
        <f t="shared" si="6"/>
        <v>0</v>
      </c>
      <c r="S77" s="40">
        <f t="shared" si="6"/>
        <v>0</v>
      </c>
      <c r="T77" s="40">
        <f t="shared" si="6"/>
        <v>0</v>
      </c>
      <c r="U77" s="40">
        <f t="shared" si="6"/>
        <v>0</v>
      </c>
      <c r="V77" s="40"/>
      <c r="W77" s="40"/>
      <c r="X77" s="40"/>
      <c r="Y77" s="40"/>
      <c r="Z77" s="40"/>
      <c r="AA77" s="40"/>
      <c r="AB77" s="40"/>
      <c r="AC77" s="40"/>
      <c r="AD77" s="40"/>
    </row>
    <row r="78" spans="17:30" x14ac:dyDescent="0.25">
      <c r="Q78" s="40"/>
    </row>
    <row r="79" spans="17:30" x14ac:dyDescent="0.25">
      <c r="Q79" s="40"/>
    </row>
    <row r="80" spans="17:30" x14ac:dyDescent="0.25">
      <c r="Q80" s="40"/>
    </row>
    <row r="81" spans="17:17" x14ac:dyDescent="0.25">
      <c r="Q81" s="40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2:E15"/>
  <sheetViews>
    <sheetView workbookViewId="0">
      <selection activeCell="C12" sqref="C12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2" spans="1:5" ht="25.5" x14ac:dyDescent="0.25">
      <c r="A2" s="54" t="s">
        <v>8</v>
      </c>
      <c r="B2" s="55" t="s">
        <v>0</v>
      </c>
      <c r="C2" s="55" t="s">
        <v>129</v>
      </c>
      <c r="D2" s="55" t="s">
        <v>77</v>
      </c>
      <c r="E2" s="55" t="s">
        <v>78</v>
      </c>
    </row>
    <row r="3" spans="1:5" x14ac:dyDescent="0.25">
      <c r="A3" s="51" t="s">
        <v>9</v>
      </c>
      <c r="B3" s="51" t="s">
        <v>1</v>
      </c>
      <c r="C3" s="150">
        <v>2604</v>
      </c>
      <c r="D3" s="52">
        <f t="shared" ref="D3:D11" si="0">C3/$C$12</f>
        <v>0.34435334567574716</v>
      </c>
      <c r="E3" s="53">
        <f t="shared" ref="E3:E11" si="1">$B$15*D3</f>
        <v>706389.40782861679</v>
      </c>
    </row>
    <row r="4" spans="1:5" x14ac:dyDescent="0.25">
      <c r="A4" s="51" t="s">
        <v>10</v>
      </c>
      <c r="B4" s="51" t="s">
        <v>2</v>
      </c>
      <c r="C4" s="150">
        <v>1367</v>
      </c>
      <c r="D4" s="52">
        <f t="shared" si="0"/>
        <v>0.18077228246495636</v>
      </c>
      <c r="E4" s="53">
        <f t="shared" si="1"/>
        <v>370827.31202062947</v>
      </c>
    </row>
    <row r="5" spans="1:5" x14ac:dyDescent="0.25">
      <c r="A5" s="51" t="s">
        <v>11</v>
      </c>
      <c r="B5" s="51" t="s">
        <v>3</v>
      </c>
      <c r="C5" s="150">
        <v>816</v>
      </c>
      <c r="D5" s="52">
        <f t="shared" si="0"/>
        <v>0.10790796085691616</v>
      </c>
      <c r="E5" s="53">
        <f t="shared" si="1"/>
        <v>221357.04945781539</v>
      </c>
    </row>
    <row r="6" spans="1:5" x14ac:dyDescent="0.25">
      <c r="A6" s="51" t="s">
        <v>12</v>
      </c>
      <c r="B6" s="51" t="s">
        <v>4</v>
      </c>
      <c r="C6" s="150">
        <v>750</v>
      </c>
      <c r="D6" s="52">
        <f t="shared" si="0"/>
        <v>9.9180111081724406E-2</v>
      </c>
      <c r="E6" s="53">
        <f t="shared" si="1"/>
        <v>203453.17045755091</v>
      </c>
    </row>
    <row r="7" spans="1:5" x14ac:dyDescent="0.25">
      <c r="A7" s="51" t="s">
        <v>14</v>
      </c>
      <c r="B7" s="51" t="s">
        <v>6</v>
      </c>
      <c r="C7" s="150">
        <v>481</v>
      </c>
      <c r="D7" s="52">
        <f t="shared" si="0"/>
        <v>6.3607511240412584E-2</v>
      </c>
      <c r="E7" s="53">
        <f t="shared" si="1"/>
        <v>130481.29998677598</v>
      </c>
    </row>
    <row r="8" spans="1:5" x14ac:dyDescent="0.25">
      <c r="A8" s="51" t="s">
        <v>13</v>
      </c>
      <c r="B8" s="51" t="s">
        <v>5</v>
      </c>
      <c r="C8" s="150">
        <v>711</v>
      </c>
      <c r="D8" s="52">
        <f t="shared" si="0"/>
        <v>9.4022745305474748E-2</v>
      </c>
      <c r="E8" s="53">
        <f t="shared" si="1"/>
        <v>192873.60559375829</v>
      </c>
    </row>
    <row r="9" spans="1:5" x14ac:dyDescent="0.25">
      <c r="A9" s="51" t="s">
        <v>15</v>
      </c>
      <c r="B9" s="51" t="s">
        <v>7</v>
      </c>
      <c r="C9" s="150">
        <v>256</v>
      </c>
      <c r="D9" s="52">
        <f t="shared" si="0"/>
        <v>3.3853477915895269E-2</v>
      </c>
      <c r="E9" s="53">
        <f t="shared" si="1"/>
        <v>69445.348849510716</v>
      </c>
    </row>
    <row r="10" spans="1:5" x14ac:dyDescent="0.25">
      <c r="A10" s="51" t="s">
        <v>20</v>
      </c>
      <c r="B10" s="51" t="s">
        <v>19</v>
      </c>
      <c r="C10" s="150">
        <v>270</v>
      </c>
      <c r="D10" s="52">
        <f t="shared" si="0"/>
        <v>3.570483998942079E-2</v>
      </c>
      <c r="E10" s="53">
        <f t="shared" si="1"/>
        <v>73243.141364718336</v>
      </c>
    </row>
    <row r="11" spans="1:5" x14ac:dyDescent="0.25">
      <c r="A11" s="51" t="s">
        <v>21</v>
      </c>
      <c r="B11" s="51" t="s">
        <v>18</v>
      </c>
      <c r="C11" s="150">
        <v>307</v>
      </c>
      <c r="D11" s="52">
        <f t="shared" si="0"/>
        <v>4.0597725469452527E-2</v>
      </c>
      <c r="E11" s="53">
        <f t="shared" si="1"/>
        <v>83280.164440624168</v>
      </c>
    </row>
    <row r="12" spans="1:5" x14ac:dyDescent="0.25">
      <c r="C12" s="43">
        <f>SUM(C3:C11)</f>
        <v>7562</v>
      </c>
      <c r="D12" s="60">
        <f>SUM(D3:D11)</f>
        <v>0.99999999999999989</v>
      </c>
      <c r="E12" s="61">
        <f>SUM(E3:E11)</f>
        <v>2051350.5000000002</v>
      </c>
    </row>
    <row r="15" spans="1:5" x14ac:dyDescent="0.25">
      <c r="A15" t="s">
        <v>79</v>
      </c>
      <c r="B15" s="5">
        <f>'Montos BD 2021'!B30/6</f>
        <v>2051350.5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2:K15"/>
  <sheetViews>
    <sheetView workbookViewId="0">
      <selection activeCell="E12" sqref="E12"/>
    </sheetView>
  </sheetViews>
  <sheetFormatPr baseColWidth="10" defaultRowHeight="15" x14ac:dyDescent="0.25"/>
  <cols>
    <col min="1" max="1" width="44.7109375" bestFit="1" customWidth="1"/>
  </cols>
  <sheetData>
    <row r="2" spans="1:11" ht="51" x14ac:dyDescent="0.25">
      <c r="A2" s="58" t="s">
        <v>8</v>
      </c>
      <c r="B2" s="59" t="s">
        <v>0</v>
      </c>
      <c r="C2" s="55" t="s">
        <v>130</v>
      </c>
      <c r="D2" s="55" t="s">
        <v>131</v>
      </c>
      <c r="E2" s="55" t="s">
        <v>132</v>
      </c>
      <c r="F2" s="55" t="s">
        <v>86</v>
      </c>
      <c r="G2" s="55" t="s">
        <v>87</v>
      </c>
      <c r="H2" s="55" t="s">
        <v>88</v>
      </c>
      <c r="I2" s="55" t="s">
        <v>89</v>
      </c>
      <c r="J2" s="55" t="s">
        <v>91</v>
      </c>
      <c r="K2" s="55" t="s">
        <v>90</v>
      </c>
    </row>
    <row r="3" spans="1:11" x14ac:dyDescent="0.25">
      <c r="A3" s="51" t="s">
        <v>9</v>
      </c>
      <c r="B3" s="51" t="s">
        <v>1</v>
      </c>
      <c r="C3" s="151">
        <v>1</v>
      </c>
      <c r="D3" s="151">
        <v>1</v>
      </c>
      <c r="E3" s="151">
        <v>7</v>
      </c>
      <c r="F3" s="131">
        <f>C3*100</f>
        <v>100</v>
      </c>
      <c r="G3" s="131">
        <f>D3*100</f>
        <v>100</v>
      </c>
      <c r="H3" s="131">
        <f>E3/7*100</f>
        <v>100</v>
      </c>
      <c r="I3" s="131">
        <f>F3+G3+H3</f>
        <v>300</v>
      </c>
      <c r="J3" s="132">
        <f t="shared" ref="J3:J11" si="0">I3/$I$12</f>
        <v>0.14685314685314682</v>
      </c>
      <c r="K3" s="133">
        <f t="shared" ref="K3:K11" si="1">J3*$B$15</f>
        <v>301247.27622377616</v>
      </c>
    </row>
    <row r="4" spans="1:11" x14ac:dyDescent="0.25">
      <c r="A4" s="51" t="s">
        <v>10</v>
      </c>
      <c r="B4" s="51" t="s">
        <v>2</v>
      </c>
      <c r="C4" s="151">
        <v>1</v>
      </c>
      <c r="D4" s="151">
        <v>1</v>
      </c>
      <c r="E4" s="151">
        <v>7</v>
      </c>
      <c r="F4" s="131">
        <f t="shared" ref="F4:F11" si="2">C4*100</f>
        <v>100</v>
      </c>
      <c r="G4" s="131">
        <f t="shared" ref="G4:G11" si="3">D4*100</f>
        <v>100</v>
      </c>
      <c r="H4" s="131">
        <f t="shared" ref="H4:H11" si="4">E4/7*100</f>
        <v>100</v>
      </c>
      <c r="I4" s="131">
        <f t="shared" ref="I4:I11" si="5">F4+G4+H4</f>
        <v>300</v>
      </c>
      <c r="J4" s="132">
        <f t="shared" si="0"/>
        <v>0.14685314685314682</v>
      </c>
      <c r="K4" s="133">
        <f t="shared" si="1"/>
        <v>301247.27622377616</v>
      </c>
    </row>
    <row r="5" spans="1:11" x14ac:dyDescent="0.25">
      <c r="A5" s="51" t="s">
        <v>11</v>
      </c>
      <c r="B5" s="51" t="s">
        <v>3</v>
      </c>
      <c r="C5" s="151">
        <v>1</v>
      </c>
      <c r="D5" s="151">
        <v>1</v>
      </c>
      <c r="E5" s="151">
        <v>6</v>
      </c>
      <c r="F5" s="131">
        <f t="shared" si="2"/>
        <v>100</v>
      </c>
      <c r="G5" s="131">
        <f t="shared" si="3"/>
        <v>100</v>
      </c>
      <c r="H5" s="131">
        <f t="shared" si="4"/>
        <v>85.714285714285708</v>
      </c>
      <c r="I5" s="131">
        <f t="shared" si="5"/>
        <v>285.71428571428572</v>
      </c>
      <c r="J5" s="132">
        <f t="shared" si="0"/>
        <v>0.13986013986013984</v>
      </c>
      <c r="K5" s="133">
        <f t="shared" si="1"/>
        <v>286902.16783216782</v>
      </c>
    </row>
    <row r="6" spans="1:11" x14ac:dyDescent="0.25">
      <c r="A6" s="51" t="s">
        <v>12</v>
      </c>
      <c r="B6" s="51" t="s">
        <v>4</v>
      </c>
      <c r="C6" s="151">
        <v>1</v>
      </c>
      <c r="D6" s="151">
        <v>1</v>
      </c>
      <c r="E6" s="151">
        <v>6</v>
      </c>
      <c r="F6" s="131">
        <f t="shared" si="2"/>
        <v>100</v>
      </c>
      <c r="G6" s="131">
        <f t="shared" si="3"/>
        <v>100</v>
      </c>
      <c r="H6" s="131">
        <f t="shared" si="4"/>
        <v>85.714285714285708</v>
      </c>
      <c r="I6" s="131">
        <f t="shared" si="5"/>
        <v>285.71428571428572</v>
      </c>
      <c r="J6" s="132">
        <f t="shared" si="0"/>
        <v>0.13986013986013984</v>
      </c>
      <c r="K6" s="133">
        <f t="shared" si="1"/>
        <v>286902.16783216782</v>
      </c>
    </row>
    <row r="7" spans="1:11" x14ac:dyDescent="0.25">
      <c r="A7" s="51" t="s">
        <v>14</v>
      </c>
      <c r="B7" s="51" t="s">
        <v>6</v>
      </c>
      <c r="C7" s="151">
        <v>1</v>
      </c>
      <c r="D7" s="151">
        <v>1</v>
      </c>
      <c r="E7" s="151">
        <v>6</v>
      </c>
      <c r="F7" s="131">
        <f t="shared" si="2"/>
        <v>100</v>
      </c>
      <c r="G7" s="131">
        <f t="shared" si="3"/>
        <v>100</v>
      </c>
      <c r="H7" s="131">
        <f t="shared" si="4"/>
        <v>85.714285714285708</v>
      </c>
      <c r="I7" s="131">
        <f t="shared" si="5"/>
        <v>285.71428571428572</v>
      </c>
      <c r="J7" s="132">
        <f t="shared" si="0"/>
        <v>0.13986013986013984</v>
      </c>
      <c r="K7" s="133">
        <f t="shared" si="1"/>
        <v>286902.16783216782</v>
      </c>
    </row>
    <row r="8" spans="1:11" x14ac:dyDescent="0.25">
      <c r="A8" s="51" t="s">
        <v>13</v>
      </c>
      <c r="B8" s="51" t="s">
        <v>5</v>
      </c>
      <c r="C8" s="151">
        <v>1</v>
      </c>
      <c r="D8" s="151">
        <v>1</v>
      </c>
      <c r="E8" s="151">
        <v>6</v>
      </c>
      <c r="F8" s="131">
        <f t="shared" si="2"/>
        <v>100</v>
      </c>
      <c r="G8" s="131">
        <f t="shared" si="3"/>
        <v>100</v>
      </c>
      <c r="H8" s="131">
        <f t="shared" si="4"/>
        <v>85.714285714285708</v>
      </c>
      <c r="I8" s="131">
        <f t="shared" si="5"/>
        <v>285.71428571428572</v>
      </c>
      <c r="J8" s="132">
        <f t="shared" si="0"/>
        <v>0.13986013986013984</v>
      </c>
      <c r="K8" s="133">
        <f t="shared" si="1"/>
        <v>286902.16783216782</v>
      </c>
    </row>
    <row r="9" spans="1:11" x14ac:dyDescent="0.25">
      <c r="A9" s="51" t="s">
        <v>15</v>
      </c>
      <c r="B9" s="51" t="s">
        <v>7</v>
      </c>
      <c r="C9" s="151">
        <v>1</v>
      </c>
      <c r="D9" s="151">
        <v>0</v>
      </c>
      <c r="E9" s="151">
        <v>5</v>
      </c>
      <c r="F9" s="131">
        <f t="shared" si="2"/>
        <v>100</v>
      </c>
      <c r="G9" s="131">
        <f t="shared" si="3"/>
        <v>0</v>
      </c>
      <c r="H9" s="131">
        <f t="shared" si="4"/>
        <v>71.428571428571431</v>
      </c>
      <c r="I9" s="131">
        <f t="shared" si="5"/>
        <v>171.42857142857144</v>
      </c>
      <c r="J9" s="132">
        <f t="shared" si="0"/>
        <v>8.3916083916083919E-2</v>
      </c>
      <c r="K9" s="133">
        <f t="shared" si="1"/>
        <v>172141.30069930071</v>
      </c>
    </row>
    <row r="10" spans="1:11" x14ac:dyDescent="0.25">
      <c r="A10" s="51" t="s">
        <v>20</v>
      </c>
      <c r="B10" s="51" t="s">
        <v>19</v>
      </c>
      <c r="C10" s="151">
        <v>0</v>
      </c>
      <c r="D10" s="151">
        <v>0</v>
      </c>
      <c r="E10" s="151">
        <v>4</v>
      </c>
      <c r="F10" s="131">
        <f t="shared" si="2"/>
        <v>0</v>
      </c>
      <c r="G10" s="131">
        <f t="shared" si="3"/>
        <v>0</v>
      </c>
      <c r="H10" s="131">
        <f t="shared" si="4"/>
        <v>57.142857142857139</v>
      </c>
      <c r="I10" s="131">
        <f t="shared" si="5"/>
        <v>57.142857142857139</v>
      </c>
      <c r="J10" s="132">
        <f t="shared" si="0"/>
        <v>2.7972027972027965E-2</v>
      </c>
      <c r="K10" s="133">
        <f t="shared" si="1"/>
        <v>57380.433566433552</v>
      </c>
    </row>
    <row r="11" spans="1:11" x14ac:dyDescent="0.25">
      <c r="A11" s="51" t="s">
        <v>21</v>
      </c>
      <c r="B11" s="51" t="s">
        <v>18</v>
      </c>
      <c r="C11" s="151">
        <v>0</v>
      </c>
      <c r="D11" s="151">
        <v>0</v>
      </c>
      <c r="E11" s="151">
        <v>5</v>
      </c>
      <c r="F11" s="131">
        <f t="shared" si="2"/>
        <v>0</v>
      </c>
      <c r="G11" s="131">
        <f t="shared" si="3"/>
        <v>0</v>
      </c>
      <c r="H11" s="131">
        <f t="shared" si="4"/>
        <v>71.428571428571431</v>
      </c>
      <c r="I11" s="131">
        <f t="shared" si="5"/>
        <v>71.428571428571431</v>
      </c>
      <c r="J11" s="132">
        <f t="shared" si="0"/>
        <v>3.4965034965034961E-2</v>
      </c>
      <c r="K11" s="133">
        <f t="shared" si="1"/>
        <v>71725.541958041955</v>
      </c>
    </row>
    <row r="12" spans="1:11" x14ac:dyDescent="0.25">
      <c r="C12" s="62">
        <f t="shared" ref="C12:K12" si="6">SUM(C3:C11)</f>
        <v>7</v>
      </c>
      <c r="D12" s="62">
        <f t="shared" si="6"/>
        <v>6</v>
      </c>
      <c r="E12" s="62">
        <f t="shared" si="6"/>
        <v>52</v>
      </c>
      <c r="F12" s="62">
        <f t="shared" si="6"/>
        <v>700</v>
      </c>
      <c r="G12" s="62">
        <f t="shared" si="6"/>
        <v>600</v>
      </c>
      <c r="H12" s="62">
        <f t="shared" si="6"/>
        <v>742.85714285714289</v>
      </c>
      <c r="I12" s="62">
        <f t="shared" si="6"/>
        <v>2042.8571428571431</v>
      </c>
      <c r="J12" s="62">
        <f t="shared" si="6"/>
        <v>0.99999999999999978</v>
      </c>
      <c r="K12" s="62">
        <f t="shared" si="6"/>
        <v>2051350.4999999998</v>
      </c>
    </row>
    <row r="15" spans="1:11" x14ac:dyDescent="0.25">
      <c r="A15" t="s">
        <v>92</v>
      </c>
      <c r="B15" s="5">
        <f>'Montos BD 2021'!B30/6</f>
        <v>2051350.5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6" tint="-0.249977111117893"/>
  </sheetPr>
  <dimension ref="A2:E15"/>
  <sheetViews>
    <sheetView workbookViewId="0">
      <selection activeCell="C12" sqref="C12"/>
    </sheetView>
  </sheetViews>
  <sheetFormatPr baseColWidth="10" defaultRowHeight="15" x14ac:dyDescent="0.25"/>
  <cols>
    <col min="1" max="1" width="50" bestFit="1" customWidth="1"/>
    <col min="5" max="5" width="12.140625" bestFit="1" customWidth="1"/>
  </cols>
  <sheetData>
    <row r="2" spans="1:5" ht="25.5" x14ac:dyDescent="0.25">
      <c r="A2" s="54" t="s">
        <v>8</v>
      </c>
      <c r="B2" s="55" t="s">
        <v>0</v>
      </c>
      <c r="C2" s="55" t="s">
        <v>133</v>
      </c>
      <c r="D2" s="55" t="s">
        <v>91</v>
      </c>
      <c r="E2" s="55" t="s">
        <v>90</v>
      </c>
    </row>
    <row r="3" spans="1:5" x14ac:dyDescent="0.25">
      <c r="A3" s="51" t="s">
        <v>94</v>
      </c>
      <c r="B3" s="51" t="s">
        <v>1</v>
      </c>
      <c r="C3" s="152">
        <v>969</v>
      </c>
      <c r="D3" s="56">
        <f t="shared" ref="D3:D11" si="0">C3/$C$12</f>
        <v>0.2704437622104382</v>
      </c>
      <c r="E3" s="63">
        <f t="shared" ref="E3:E11" si="1">D3*$B$15</f>
        <v>554774.94683226349</v>
      </c>
    </row>
    <row r="4" spans="1:5" x14ac:dyDescent="0.25">
      <c r="A4" s="51" t="s">
        <v>95</v>
      </c>
      <c r="B4" s="51" t="s">
        <v>2</v>
      </c>
      <c r="C4" s="152">
        <v>762</v>
      </c>
      <c r="D4" s="56">
        <f t="shared" si="0"/>
        <v>0.21267094613452414</v>
      </c>
      <c r="E4" s="63">
        <f t="shared" si="1"/>
        <v>436262.65168852918</v>
      </c>
    </row>
    <row r="5" spans="1:5" x14ac:dyDescent="0.25">
      <c r="A5" s="51" t="s">
        <v>96</v>
      </c>
      <c r="B5" s="51" t="s">
        <v>3</v>
      </c>
      <c r="C5" s="152">
        <v>412</v>
      </c>
      <c r="D5" s="56">
        <f t="shared" si="0"/>
        <v>0.11498744069215741</v>
      </c>
      <c r="E5" s="63">
        <f t="shared" si="1"/>
        <v>235879.54395757747</v>
      </c>
    </row>
    <row r="6" spans="1:5" x14ac:dyDescent="0.25">
      <c r="A6" s="51" t="s">
        <v>12</v>
      </c>
      <c r="B6" s="51" t="s">
        <v>4</v>
      </c>
      <c r="C6" s="152">
        <v>459</v>
      </c>
      <c r="D6" s="56">
        <f t="shared" si="0"/>
        <v>0.12810493999441808</v>
      </c>
      <c r="E6" s="63">
        <f t="shared" si="1"/>
        <v>262788.13271001953</v>
      </c>
    </row>
    <row r="7" spans="1:5" x14ac:dyDescent="0.25">
      <c r="A7" s="51" t="s">
        <v>97</v>
      </c>
      <c r="B7" s="51" t="s">
        <v>6</v>
      </c>
      <c r="C7" s="152">
        <v>224</v>
      </c>
      <c r="D7" s="56">
        <f t="shared" si="0"/>
        <v>6.2517443483114707E-2</v>
      </c>
      <c r="E7" s="63">
        <f t="shared" si="1"/>
        <v>128245.18894780909</v>
      </c>
    </row>
    <row r="8" spans="1:5" x14ac:dyDescent="0.25">
      <c r="A8" s="51" t="s">
        <v>98</v>
      </c>
      <c r="B8" s="51" t="s">
        <v>5</v>
      </c>
      <c r="C8" s="152">
        <v>286</v>
      </c>
      <c r="D8" s="56">
        <f t="shared" si="0"/>
        <v>7.9821378732905388E-2</v>
      </c>
      <c r="E8" s="63">
        <f t="shared" si="1"/>
        <v>163741.62517443483</v>
      </c>
    </row>
    <row r="9" spans="1:5" x14ac:dyDescent="0.25">
      <c r="A9" s="51" t="s">
        <v>99</v>
      </c>
      <c r="B9" s="51" t="s">
        <v>7</v>
      </c>
      <c r="C9" s="152">
        <v>176</v>
      </c>
      <c r="D9" s="56">
        <f t="shared" si="0"/>
        <v>4.9120848451018696E-2</v>
      </c>
      <c r="E9" s="63">
        <f t="shared" si="1"/>
        <v>100764.07703042142</v>
      </c>
    </row>
    <row r="10" spans="1:5" x14ac:dyDescent="0.25">
      <c r="A10" s="51" t="s">
        <v>100</v>
      </c>
      <c r="B10" s="51" t="s">
        <v>19</v>
      </c>
      <c r="C10" s="152">
        <v>165</v>
      </c>
      <c r="D10" s="56">
        <f t="shared" si="0"/>
        <v>4.6050795422830033E-2</v>
      </c>
      <c r="E10" s="63">
        <f t="shared" si="1"/>
        <v>94466.322216020097</v>
      </c>
    </row>
    <row r="11" spans="1:5" x14ac:dyDescent="0.25">
      <c r="A11" s="51" t="s">
        <v>101</v>
      </c>
      <c r="B11" s="51" t="s">
        <v>18</v>
      </c>
      <c r="C11" s="152">
        <v>130</v>
      </c>
      <c r="D11" s="56">
        <f t="shared" si="0"/>
        <v>3.6282444878593355E-2</v>
      </c>
      <c r="E11" s="63">
        <f t="shared" si="1"/>
        <v>74428.011442924922</v>
      </c>
    </row>
    <row r="12" spans="1:5" x14ac:dyDescent="0.25">
      <c r="C12" s="64">
        <f>SUM(C3:C11)</f>
        <v>3583</v>
      </c>
      <c r="D12" s="65">
        <f>SUM(D3:D11)</f>
        <v>1.0000000000000002</v>
      </c>
      <c r="E12" s="66">
        <f>SUM(E3:E11)</f>
        <v>2051350.5000000002</v>
      </c>
    </row>
    <row r="15" spans="1:5" x14ac:dyDescent="0.25">
      <c r="A15" t="s">
        <v>93</v>
      </c>
      <c r="B15" s="5">
        <f>'Montos BD 2021'!B30/6</f>
        <v>2051350.5</v>
      </c>
    </row>
  </sheetData>
  <autoFilter ref="A2:C11" xr:uid="{8ABAA2A2-4EA5-4CA7-A3F1-190DB176F36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6" tint="-0.249977111117893"/>
  </sheetPr>
  <dimension ref="A2:E15"/>
  <sheetViews>
    <sheetView workbookViewId="0">
      <selection activeCell="C12" sqref="C12"/>
    </sheetView>
  </sheetViews>
  <sheetFormatPr baseColWidth="10" defaultRowHeight="15" x14ac:dyDescent="0.25"/>
  <cols>
    <col min="1" max="1" width="50" bestFit="1" customWidth="1"/>
    <col min="5" max="5" width="13.140625" bestFit="1" customWidth="1"/>
  </cols>
  <sheetData>
    <row r="2" spans="1:5" ht="51" x14ac:dyDescent="0.25">
      <c r="A2" s="54" t="s">
        <v>8</v>
      </c>
      <c r="B2" s="55" t="s">
        <v>0</v>
      </c>
      <c r="C2" s="55" t="s">
        <v>137</v>
      </c>
      <c r="D2" s="55" t="s">
        <v>91</v>
      </c>
      <c r="E2" s="55" t="s">
        <v>90</v>
      </c>
    </row>
    <row r="3" spans="1:5" x14ac:dyDescent="0.25">
      <c r="A3" s="51" t="s">
        <v>9</v>
      </c>
      <c r="B3" s="67" t="s">
        <v>1</v>
      </c>
      <c r="C3" s="151">
        <v>36</v>
      </c>
      <c r="D3" s="56">
        <f t="shared" ref="D3:D11" si="0">C3/$C$12</f>
        <v>0.34615384615384615</v>
      </c>
      <c r="E3" s="63">
        <f t="shared" ref="E3:E11" si="1">D3*$B$15</f>
        <v>710082.86538461538</v>
      </c>
    </row>
    <row r="4" spans="1:5" x14ac:dyDescent="0.25">
      <c r="A4" s="51" t="s">
        <v>10</v>
      </c>
      <c r="B4" s="67" t="s">
        <v>2</v>
      </c>
      <c r="C4" s="151">
        <v>28</v>
      </c>
      <c r="D4" s="56">
        <f t="shared" si="0"/>
        <v>0.26923076923076922</v>
      </c>
      <c r="E4" s="63">
        <f t="shared" si="1"/>
        <v>552286.67307692301</v>
      </c>
    </row>
    <row r="5" spans="1:5" x14ac:dyDescent="0.25">
      <c r="A5" s="51" t="s">
        <v>11</v>
      </c>
      <c r="B5" s="67" t="s">
        <v>3</v>
      </c>
      <c r="C5" s="151">
        <v>14</v>
      </c>
      <c r="D5" s="56">
        <f t="shared" si="0"/>
        <v>0.13461538461538461</v>
      </c>
      <c r="E5" s="63">
        <f t="shared" si="1"/>
        <v>276143.3365384615</v>
      </c>
    </row>
    <row r="6" spans="1:5" x14ac:dyDescent="0.25">
      <c r="A6" s="51" t="s">
        <v>12</v>
      </c>
      <c r="B6" s="67" t="s">
        <v>4</v>
      </c>
      <c r="C6" s="151">
        <v>10</v>
      </c>
      <c r="D6" s="56">
        <f t="shared" si="0"/>
        <v>9.6153846153846159E-2</v>
      </c>
      <c r="E6" s="63">
        <f t="shared" si="1"/>
        <v>197245.2403846154</v>
      </c>
    </row>
    <row r="7" spans="1:5" x14ac:dyDescent="0.25">
      <c r="A7" s="51" t="s">
        <v>14</v>
      </c>
      <c r="B7" s="67" t="s">
        <v>6</v>
      </c>
      <c r="C7" s="151">
        <v>6</v>
      </c>
      <c r="D7" s="56">
        <f t="shared" si="0"/>
        <v>5.7692307692307696E-2</v>
      </c>
      <c r="E7" s="63">
        <f t="shared" si="1"/>
        <v>118347.14423076923</v>
      </c>
    </row>
    <row r="8" spans="1:5" x14ac:dyDescent="0.25">
      <c r="A8" s="51" t="s">
        <v>13</v>
      </c>
      <c r="B8" s="67" t="s">
        <v>5</v>
      </c>
      <c r="C8" s="151">
        <v>5</v>
      </c>
      <c r="D8" s="56">
        <f t="shared" si="0"/>
        <v>4.807692307692308E-2</v>
      </c>
      <c r="E8" s="63">
        <f t="shared" si="1"/>
        <v>98622.620192307702</v>
      </c>
    </row>
    <row r="9" spans="1:5" x14ac:dyDescent="0.25">
      <c r="A9" s="51" t="s">
        <v>15</v>
      </c>
      <c r="B9" s="67" t="s">
        <v>7</v>
      </c>
      <c r="C9" s="151">
        <v>2</v>
      </c>
      <c r="D9" s="56">
        <f t="shared" si="0"/>
        <v>1.9230769230769232E-2</v>
      </c>
      <c r="E9" s="63">
        <f t="shared" si="1"/>
        <v>39449.048076923078</v>
      </c>
    </row>
    <row r="10" spans="1:5" x14ac:dyDescent="0.25">
      <c r="A10" s="51" t="s">
        <v>20</v>
      </c>
      <c r="B10" s="67" t="s">
        <v>19</v>
      </c>
      <c r="C10" s="151">
        <v>1</v>
      </c>
      <c r="D10" s="56">
        <f t="shared" si="0"/>
        <v>9.6153846153846159E-3</v>
      </c>
      <c r="E10" s="63">
        <f t="shared" si="1"/>
        <v>19724.524038461539</v>
      </c>
    </row>
    <row r="11" spans="1:5" x14ac:dyDescent="0.25">
      <c r="A11" s="51" t="s">
        <v>21</v>
      </c>
      <c r="B11" s="67" t="s">
        <v>18</v>
      </c>
      <c r="C11" s="151">
        <v>2</v>
      </c>
      <c r="D11" s="56">
        <f t="shared" si="0"/>
        <v>1.9230769230769232E-2</v>
      </c>
      <c r="E11" s="63">
        <f t="shared" si="1"/>
        <v>39449.048076923078</v>
      </c>
    </row>
    <row r="12" spans="1:5" x14ac:dyDescent="0.25">
      <c r="C12" s="68">
        <f>SUM(C3:C11)</f>
        <v>104</v>
      </c>
      <c r="D12" s="69">
        <f>SUM(D3:D11)</f>
        <v>1</v>
      </c>
      <c r="E12" s="66">
        <f>SUM(E3:E11)</f>
        <v>2051350.5</v>
      </c>
    </row>
    <row r="15" spans="1:5" x14ac:dyDescent="0.25">
      <c r="A15" t="s">
        <v>104</v>
      </c>
      <c r="B15" s="5">
        <f>'Montos BD 2021'!B30/6</f>
        <v>2051350.5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6" tint="-0.249977111117893"/>
  </sheetPr>
  <dimension ref="A2:E15"/>
  <sheetViews>
    <sheetView workbookViewId="0">
      <selection activeCell="C12" sqref="C12"/>
    </sheetView>
  </sheetViews>
  <sheetFormatPr baseColWidth="10" defaultRowHeight="15" x14ac:dyDescent="0.25"/>
  <cols>
    <col min="1" max="1" width="50" bestFit="1" customWidth="1"/>
    <col min="5" max="5" width="12" bestFit="1" customWidth="1"/>
  </cols>
  <sheetData>
    <row r="2" spans="1:5" ht="25.5" x14ac:dyDescent="0.25">
      <c r="A2" s="54" t="s">
        <v>8</v>
      </c>
      <c r="B2" s="55" t="s">
        <v>0</v>
      </c>
      <c r="C2" s="55" t="s">
        <v>135</v>
      </c>
      <c r="D2" s="55" t="s">
        <v>91</v>
      </c>
      <c r="E2" s="55" t="s">
        <v>90</v>
      </c>
    </row>
    <row r="3" spans="1:5" x14ac:dyDescent="0.25">
      <c r="A3" s="51" t="s">
        <v>94</v>
      </c>
      <c r="B3" s="67" t="s">
        <v>1</v>
      </c>
      <c r="C3" s="152">
        <v>1585</v>
      </c>
      <c r="D3" s="56">
        <f t="shared" ref="D3:D11" si="0">C3/$C$12</f>
        <v>0.26381491344873503</v>
      </c>
      <c r="E3" s="63">
        <f t="shared" ref="E3:E11" si="1">D3*$B$15</f>
        <v>541176.85461051937</v>
      </c>
    </row>
    <row r="4" spans="1:5" x14ac:dyDescent="0.25">
      <c r="A4" s="51" t="s">
        <v>95</v>
      </c>
      <c r="B4" s="67" t="s">
        <v>2</v>
      </c>
      <c r="C4" s="152">
        <v>1151</v>
      </c>
      <c r="D4" s="56">
        <f t="shared" si="0"/>
        <v>0.19157789613848203</v>
      </c>
      <c r="E4" s="63">
        <f t="shared" si="1"/>
        <v>392993.41303262318</v>
      </c>
    </row>
    <row r="5" spans="1:5" x14ac:dyDescent="0.25">
      <c r="A5" s="51" t="s">
        <v>96</v>
      </c>
      <c r="B5" s="67" t="s">
        <v>3</v>
      </c>
      <c r="C5" s="152">
        <v>532</v>
      </c>
      <c r="D5" s="56">
        <f t="shared" si="0"/>
        <v>8.8548601864181092E-2</v>
      </c>
      <c r="E5" s="63">
        <f t="shared" si="1"/>
        <v>181644.21870838883</v>
      </c>
    </row>
    <row r="6" spans="1:5" x14ac:dyDescent="0.25">
      <c r="A6" s="51" t="s">
        <v>12</v>
      </c>
      <c r="B6" s="67" t="s">
        <v>4</v>
      </c>
      <c r="C6" s="152">
        <v>799</v>
      </c>
      <c r="D6" s="56">
        <f t="shared" si="0"/>
        <v>0.13298934753661784</v>
      </c>
      <c r="E6" s="63">
        <f t="shared" si="1"/>
        <v>272807.7645639148</v>
      </c>
    </row>
    <row r="7" spans="1:5" x14ac:dyDescent="0.25">
      <c r="A7" s="51" t="s">
        <v>97</v>
      </c>
      <c r="B7" s="67" t="s">
        <v>6</v>
      </c>
      <c r="C7" s="152">
        <v>423</v>
      </c>
      <c r="D7" s="56">
        <f t="shared" si="0"/>
        <v>7.0406125166444747E-2</v>
      </c>
      <c r="E7" s="63">
        <f t="shared" si="1"/>
        <v>144427.64006324901</v>
      </c>
    </row>
    <row r="8" spans="1:5" x14ac:dyDescent="0.25">
      <c r="A8" s="51" t="s">
        <v>98</v>
      </c>
      <c r="B8" s="67" t="s">
        <v>5</v>
      </c>
      <c r="C8" s="152">
        <v>477</v>
      </c>
      <c r="D8" s="56">
        <f t="shared" si="0"/>
        <v>7.9394141145139818E-2</v>
      </c>
      <c r="E8" s="63">
        <f t="shared" si="1"/>
        <v>162865.21113515313</v>
      </c>
    </row>
    <row r="9" spans="1:5" x14ac:dyDescent="0.25">
      <c r="A9" s="51" t="s">
        <v>99</v>
      </c>
      <c r="B9" s="67" t="s">
        <v>7</v>
      </c>
      <c r="C9" s="152">
        <v>357</v>
      </c>
      <c r="D9" s="56">
        <f t="shared" si="0"/>
        <v>5.9420772303595208E-2</v>
      </c>
      <c r="E9" s="63">
        <f t="shared" si="1"/>
        <v>121892.83097536619</v>
      </c>
    </row>
    <row r="10" spans="1:5" x14ac:dyDescent="0.25">
      <c r="A10" s="51" t="s">
        <v>100</v>
      </c>
      <c r="B10" s="67" t="s">
        <v>19</v>
      </c>
      <c r="C10" s="152">
        <v>336</v>
      </c>
      <c r="D10" s="56">
        <f t="shared" si="0"/>
        <v>5.5925432756324903E-2</v>
      </c>
      <c r="E10" s="63">
        <f t="shared" si="1"/>
        <v>114722.66444740347</v>
      </c>
    </row>
    <row r="11" spans="1:5" x14ac:dyDescent="0.25">
      <c r="A11" s="51" t="s">
        <v>101</v>
      </c>
      <c r="B11" s="67" t="s">
        <v>18</v>
      </c>
      <c r="C11" s="152">
        <v>348</v>
      </c>
      <c r="D11" s="56">
        <f t="shared" si="0"/>
        <v>5.7922769640479363E-2</v>
      </c>
      <c r="E11" s="63">
        <f t="shared" si="1"/>
        <v>118819.90246338217</v>
      </c>
    </row>
    <row r="12" spans="1:5" x14ac:dyDescent="0.25">
      <c r="C12" s="64">
        <f>SUM(C3:C11)</f>
        <v>6008</v>
      </c>
      <c r="D12" s="69">
        <f>SUM(D3:D11)</f>
        <v>1</v>
      </c>
      <c r="E12" s="64">
        <f>SUM(E3:E11)</f>
        <v>2051350.5000000002</v>
      </c>
    </row>
    <row r="15" spans="1:5" x14ac:dyDescent="0.25">
      <c r="A15" t="s">
        <v>103</v>
      </c>
      <c r="B15" s="5">
        <f>'Montos BD 2021'!B30/6</f>
        <v>2051350.5</v>
      </c>
    </row>
  </sheetData>
  <autoFilter ref="A2:C11" xr:uid="{F104A81B-AC08-48F4-A852-4A21590014B4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6" tint="-0.249977111117893"/>
  </sheetPr>
  <dimension ref="A2:E15"/>
  <sheetViews>
    <sheetView workbookViewId="0">
      <selection activeCell="C12" sqref="C12"/>
    </sheetView>
  </sheetViews>
  <sheetFormatPr baseColWidth="10" defaultRowHeight="15" x14ac:dyDescent="0.25"/>
  <cols>
    <col min="1" max="1" width="50" bestFit="1" customWidth="1"/>
  </cols>
  <sheetData>
    <row r="2" spans="1:5" ht="51" x14ac:dyDescent="0.25">
      <c r="A2" s="54" t="s">
        <v>8</v>
      </c>
      <c r="B2" s="55" t="s">
        <v>0</v>
      </c>
      <c r="C2" s="55" t="s">
        <v>136</v>
      </c>
      <c r="D2" s="55" t="s">
        <v>91</v>
      </c>
      <c r="E2" s="55" t="s">
        <v>90</v>
      </c>
    </row>
    <row r="3" spans="1:5" x14ac:dyDescent="0.25">
      <c r="A3" s="51" t="s">
        <v>94</v>
      </c>
      <c r="B3" s="67" t="s">
        <v>1</v>
      </c>
      <c r="C3" s="152">
        <v>29045</v>
      </c>
      <c r="D3" s="56">
        <f t="shared" ref="D3:D11" si="0">C3/$C$12</f>
        <v>0.19519751609564645</v>
      </c>
      <c r="E3" s="57">
        <f t="shared" ref="E3:E11" si="1">D3*$B$15</f>
        <v>400418.52224156237</v>
      </c>
    </row>
    <row r="4" spans="1:5" x14ac:dyDescent="0.25">
      <c r="A4" s="51" t="s">
        <v>96</v>
      </c>
      <c r="B4" s="67" t="s">
        <v>3</v>
      </c>
      <c r="C4" s="152">
        <v>16548</v>
      </c>
      <c r="D4" s="56">
        <f t="shared" si="0"/>
        <v>0.11121117219317464</v>
      </c>
      <c r="E4" s="57">
        <f t="shared" si="1"/>
        <v>228133.09368405488</v>
      </c>
    </row>
    <row r="5" spans="1:5" x14ac:dyDescent="0.25">
      <c r="A5" s="51" t="s">
        <v>12</v>
      </c>
      <c r="B5" s="67" t="s">
        <v>4</v>
      </c>
      <c r="C5" s="152">
        <v>16906</v>
      </c>
      <c r="D5" s="56">
        <f t="shared" si="0"/>
        <v>0.11361711850965739</v>
      </c>
      <c r="E5" s="57">
        <f t="shared" si="1"/>
        <v>233068.53286334494</v>
      </c>
    </row>
    <row r="6" spans="1:5" x14ac:dyDescent="0.25">
      <c r="A6" s="51" t="s">
        <v>100</v>
      </c>
      <c r="B6" s="67" t="s">
        <v>19</v>
      </c>
      <c r="C6" s="152">
        <v>12641</v>
      </c>
      <c r="D6" s="56">
        <f t="shared" si="0"/>
        <v>8.4954098845414591E-2</v>
      </c>
      <c r="E6" s="57">
        <f t="shared" si="1"/>
        <v>174270.63314359065</v>
      </c>
    </row>
    <row r="7" spans="1:5" x14ac:dyDescent="0.25">
      <c r="A7" s="51" t="s">
        <v>99</v>
      </c>
      <c r="B7" s="67" t="s">
        <v>7</v>
      </c>
      <c r="C7" s="152">
        <v>11460</v>
      </c>
      <c r="D7" s="56">
        <f t="shared" si="0"/>
        <v>7.7017164209196354E-2</v>
      </c>
      <c r="E7" s="57">
        <f t="shared" si="1"/>
        <v>157989.19830911706</v>
      </c>
    </row>
    <row r="8" spans="1:5" x14ac:dyDescent="0.25">
      <c r="A8" s="51" t="s">
        <v>101</v>
      </c>
      <c r="B8" s="67" t="s">
        <v>18</v>
      </c>
      <c r="C8" s="152">
        <v>9869</v>
      </c>
      <c r="D8" s="56">
        <f t="shared" si="0"/>
        <v>6.632481619376604E-2</v>
      </c>
      <c r="E8" s="57">
        <f t="shared" si="1"/>
        <v>136055.44486149008</v>
      </c>
    </row>
    <row r="9" spans="1:5" x14ac:dyDescent="0.25">
      <c r="A9" s="51" t="s">
        <v>97</v>
      </c>
      <c r="B9" s="67" t="s">
        <v>6</v>
      </c>
      <c r="C9" s="152">
        <v>10573</v>
      </c>
      <c r="D9" s="56">
        <f t="shared" si="0"/>
        <v>7.1056062581486307E-2</v>
      </c>
      <c r="E9" s="57">
        <f t="shared" si="1"/>
        <v>145760.88950456324</v>
      </c>
    </row>
    <row r="10" spans="1:5" x14ac:dyDescent="0.25">
      <c r="A10" s="51" t="s">
        <v>95</v>
      </c>
      <c r="B10" s="67" t="s">
        <v>2</v>
      </c>
      <c r="C10" s="152">
        <v>25870</v>
      </c>
      <c r="D10" s="56">
        <f t="shared" si="0"/>
        <v>0.17385986370784554</v>
      </c>
      <c r="E10" s="57">
        <f t="shared" si="1"/>
        <v>356647.51834702078</v>
      </c>
    </row>
    <row r="11" spans="1:5" x14ac:dyDescent="0.25">
      <c r="A11" s="51" t="s">
        <v>98</v>
      </c>
      <c r="B11" s="67" t="s">
        <v>5</v>
      </c>
      <c r="C11" s="152">
        <v>15886</v>
      </c>
      <c r="D11" s="56">
        <f t="shared" si="0"/>
        <v>0.10676218766381268</v>
      </c>
      <c r="E11" s="57">
        <f t="shared" si="1"/>
        <v>219006.66704525598</v>
      </c>
    </row>
    <row r="12" spans="1:5" x14ac:dyDescent="0.25">
      <c r="C12" s="64">
        <f>SUM(C3:C11)</f>
        <v>148798</v>
      </c>
      <c r="D12" s="64">
        <f>SUM(D3:D11)</f>
        <v>1</v>
      </c>
      <c r="E12" s="64">
        <f>SUM(E3:E11)</f>
        <v>2051350.5</v>
      </c>
    </row>
    <row r="15" spans="1:5" x14ac:dyDescent="0.25">
      <c r="A15" t="s">
        <v>102</v>
      </c>
      <c r="B15" s="5">
        <f>'Montos BD 2021'!B30/6</f>
        <v>2051350.5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Montos BD 2021</vt:lpstr>
      <vt:lpstr>Montos Anticipo BD 2021</vt:lpstr>
      <vt:lpstr>Categorías</vt:lpstr>
      <vt:lpstr>Valores</vt:lpstr>
      <vt:lpstr>Indicadores</vt:lpstr>
      <vt:lpstr>Publicaciones BD</vt:lpstr>
      <vt:lpstr>Acreditación BD</vt:lpstr>
      <vt:lpstr>Doctorado JC BD</vt:lpstr>
      <vt:lpstr>Programas Doct. Acreditados BD</vt:lpstr>
      <vt:lpstr>Académicos JC BD</vt:lpstr>
      <vt:lpstr>Matrícula Regular Pre BD</vt:lpstr>
      <vt:lpstr>'Montos Anticipo BD 2021'!Títulos_a_imprimir</vt:lpstr>
      <vt:lpstr>'Montos BD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2021-08-12T19:32:20Z</cp:lastPrinted>
  <dcterms:created xsi:type="dcterms:W3CDTF">2016-05-30T15:19:10Z</dcterms:created>
  <dcterms:modified xsi:type="dcterms:W3CDTF">2021-08-12T19:43:36Z</dcterms:modified>
</cp:coreProperties>
</file>