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ca-my.sharepoint.com/personal/andrea_saavedra_mineduc_cl/Documents/2023/BD/"/>
    </mc:Choice>
  </mc:AlternateContent>
  <xr:revisionPtr revIDLastSave="0" documentId="8_{A0544F2F-19F0-45BC-8694-1F8F0F00101C}" xr6:coauthVersionLast="47" xr6:coauthVersionMax="47" xr10:uidLastSave="{00000000-0000-0000-0000-000000000000}"/>
  <bookViews>
    <workbookView xWindow="-20640" yWindow="1815" windowWidth="20160" windowHeight="10905" tabRatio="889" xr2:uid="{00000000-000D-0000-FFFF-FFFF00000000}"/>
  </bookViews>
  <sheets>
    <sheet name="Montos BD 2023" sheetId="4" r:id="rId1"/>
    <sheet name="Montos Anticipo BD 2023" sheetId="13" r:id="rId2"/>
    <sheet name="Categorías" sheetId="1" r:id="rId3"/>
    <sheet name="Valores" sheetId="2" r:id="rId4"/>
    <sheet name="Indicadores" sheetId="3" r:id="rId5"/>
    <sheet name="Publicaciones BD" sheetId="5" r:id="rId6"/>
    <sheet name="Acreditación BD" sheetId="6" r:id="rId7"/>
    <sheet name="Doctorado JC BD" sheetId="7" r:id="rId8"/>
    <sheet name="Programas Doct. Acreditados BD" sheetId="8" r:id="rId9"/>
    <sheet name="Académicos JC BD" sheetId="9" r:id="rId10"/>
    <sheet name="Matrícula Regular Pre BD" sheetId="10" r:id="rId11"/>
  </sheets>
  <definedNames>
    <definedName name="_xlnm._FilterDatabase" localSheetId="9" hidden="1">'Académicos JC BD'!$A$3:$C$12</definedName>
    <definedName name="_xlnm._FilterDatabase" localSheetId="2" hidden="1">Categorías!$A$4:$Z$14</definedName>
    <definedName name="_xlnm._FilterDatabase" localSheetId="7" hidden="1">'Doctorado JC BD'!$A$3:$C$12</definedName>
    <definedName name="_xlnm._FilterDatabase" localSheetId="4" hidden="1">Indicadores!$A$1:$AI$3</definedName>
    <definedName name="_xlnm._FilterDatabase" localSheetId="1" hidden="1">'Montos Anticipo BD 2023'!$A$5:$C$20</definedName>
    <definedName name="_xlnm._FilterDatabase" localSheetId="0" hidden="1">'Montos BD 2023'!$A$7:$P$23</definedName>
    <definedName name="_xlnm._FilterDatabase" localSheetId="3" hidden="1">Valores!$A$1:$Y$17</definedName>
    <definedName name="_xlnm.Print_Titles" localSheetId="1">'Montos Anticipo BD 2023'!$A:$A</definedName>
    <definedName name="_xlnm.Print_Titles" localSheetId="0">'Montos BD 2023'!$A:$A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4" l="1"/>
  <c r="G38" i="4"/>
  <c r="G36" i="4"/>
  <c r="Y18" i="4"/>
  <c r="Z18" i="4" s="1"/>
  <c r="Y14" i="4"/>
  <c r="Y15" i="4"/>
  <c r="Y16" i="4"/>
  <c r="Y17" i="4"/>
  <c r="Y19" i="4"/>
  <c r="Z19" i="4" s="1"/>
  <c r="Y20" i="4"/>
  <c r="Z20" i="4" s="1"/>
  <c r="Y21" i="4"/>
  <c r="Z21" i="4" s="1"/>
  <c r="Y13" i="4"/>
  <c r="Z13" i="4" s="1"/>
  <c r="Z14" i="4"/>
  <c r="Z17" i="4"/>
  <c r="Z15" i="4"/>
  <c r="Z16" i="4"/>
  <c r="X13" i="4"/>
  <c r="E37" i="4"/>
  <c r="E36" i="4"/>
  <c r="D37" i="4"/>
  <c r="D38" i="4"/>
  <c r="D36" i="4"/>
  <c r="C38" i="4"/>
  <c r="C37" i="4"/>
  <c r="C36" i="4"/>
  <c r="B38" i="4"/>
  <c r="R23" i="4"/>
  <c r="B26" i="13" l="1"/>
  <c r="B27" i="13" s="1"/>
  <c r="C25" i="13"/>
  <c r="C24" i="13"/>
  <c r="F19" i="13"/>
  <c r="G19" i="13" s="1"/>
  <c r="H19" i="13" s="1"/>
  <c r="F18" i="13"/>
  <c r="G18" i="13" s="1"/>
  <c r="H18" i="13" s="1"/>
  <c r="F17" i="13"/>
  <c r="F16" i="13"/>
  <c r="G16" i="13" s="1"/>
  <c r="H16" i="13" s="1"/>
  <c r="F15" i="13"/>
  <c r="G15" i="13" s="1"/>
  <c r="H15" i="13" s="1"/>
  <c r="F14" i="13"/>
  <c r="G14" i="13" s="1"/>
  <c r="H14" i="13" s="1"/>
  <c r="F13" i="13"/>
  <c r="F12" i="13"/>
  <c r="G12" i="13" s="1"/>
  <c r="H12" i="13" s="1"/>
  <c r="F11" i="13"/>
  <c r="F20" i="13" s="1"/>
  <c r="I19" i="13" l="1"/>
  <c r="J19" i="13" s="1"/>
  <c r="I15" i="13"/>
  <c r="J15" i="13" s="1"/>
  <c r="I12" i="13"/>
  <c r="J12" i="13" s="1"/>
  <c r="I14" i="13"/>
  <c r="J14" i="13"/>
  <c r="I16" i="13"/>
  <c r="J16" i="13" s="1"/>
  <c r="I18" i="13"/>
  <c r="J18" i="13"/>
  <c r="G17" i="13"/>
  <c r="H17" i="13" s="1"/>
  <c r="G13" i="13"/>
  <c r="H13" i="13" s="1"/>
  <c r="G11" i="13"/>
  <c r="I13" i="13" l="1"/>
  <c r="J13" i="13" s="1"/>
  <c r="G20" i="13"/>
  <c r="H11" i="13"/>
  <c r="I17" i="13"/>
  <c r="J17" i="13" s="1"/>
  <c r="H20" i="13" l="1"/>
  <c r="I11" i="13"/>
  <c r="I20" i="13" s="1"/>
  <c r="E24" i="13" s="1"/>
  <c r="F24" i="13" l="1"/>
  <c r="J21" i="13"/>
  <c r="H21" i="13"/>
  <c r="J11" i="13"/>
  <c r="J20" i="13" s="1"/>
  <c r="E25" i="13" s="1"/>
  <c r="F25" i="13" s="1"/>
  <c r="E26" i="13" l="1"/>
  <c r="F26" i="13"/>
  <c r="H25" i="13" s="1"/>
  <c r="H24" i="13" l="1"/>
  <c r="I14" i="1" l="1"/>
  <c r="V5" i="1" l="1"/>
  <c r="Y22" i="4"/>
  <c r="F36" i="4" s="1"/>
  <c r="D27" i="4"/>
  <c r="B30" i="4" s="1"/>
  <c r="W22" i="4" l="1"/>
  <c r="Z22" i="4"/>
  <c r="F37" i="4" s="1"/>
  <c r="F38" i="4" s="1"/>
  <c r="V22" i="4" l="1"/>
  <c r="U22" i="4"/>
  <c r="T5" i="1" l="1"/>
  <c r="W5" i="1" s="1"/>
  <c r="V7" i="1"/>
  <c r="V11" i="1"/>
  <c r="V10" i="1" l="1"/>
  <c r="K7" i="1"/>
  <c r="K11" i="1"/>
  <c r="K12" i="1"/>
  <c r="K6" i="1"/>
  <c r="V12" i="1"/>
  <c r="V13" i="1"/>
  <c r="V9" i="1"/>
  <c r="K8" i="1"/>
  <c r="V8" i="1"/>
  <c r="K10" i="1"/>
  <c r="V6" i="1"/>
  <c r="J14" i="1"/>
  <c r="K13" i="1"/>
  <c r="K9" i="1"/>
  <c r="K5" i="1" l="1"/>
  <c r="U5" i="1" s="1"/>
  <c r="N22" i="4" l="1"/>
  <c r="E14" i="1" l="1"/>
  <c r="F14" i="1"/>
  <c r="G14" i="1"/>
  <c r="H14" i="1"/>
  <c r="D14" i="1"/>
  <c r="U13" i="2" l="1"/>
  <c r="V13" i="2"/>
  <c r="F13" i="4" l="1"/>
  <c r="F14" i="4"/>
  <c r="F17" i="4"/>
  <c r="F15" i="4"/>
  <c r="F16" i="4"/>
  <c r="F18" i="4"/>
  <c r="F19" i="4"/>
  <c r="F20" i="4"/>
  <c r="F21" i="4"/>
  <c r="E22" i="4"/>
  <c r="F22" i="4" l="1"/>
  <c r="E27" i="4" s="1"/>
  <c r="T10" i="1" l="1"/>
  <c r="T6" i="1"/>
  <c r="T13" i="1"/>
  <c r="T9" i="1"/>
  <c r="T12" i="1"/>
  <c r="T8" i="1"/>
  <c r="T11" i="1"/>
  <c r="T7" i="1"/>
  <c r="K14" i="1" l="1"/>
  <c r="W11" i="1"/>
  <c r="W12" i="1"/>
  <c r="W10" i="1"/>
  <c r="W7" i="1"/>
  <c r="U12" i="1"/>
  <c r="W8" i="1"/>
  <c r="W9" i="1"/>
  <c r="U13" i="1"/>
  <c r="U10" i="1"/>
  <c r="W6" i="1"/>
  <c r="U9" i="1"/>
  <c r="W13" i="1"/>
  <c r="U6" i="1"/>
  <c r="U8" i="1"/>
  <c r="U7" i="1"/>
  <c r="U11" i="1"/>
  <c r="U14" i="1" l="1"/>
  <c r="H12" i="6" l="1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H7" i="6"/>
  <c r="G7" i="6"/>
  <c r="F7" i="6"/>
  <c r="H6" i="6"/>
  <c r="G6" i="6"/>
  <c r="F6" i="6"/>
  <c r="H5" i="6"/>
  <c r="G5" i="6"/>
  <c r="F5" i="6"/>
  <c r="G4" i="6"/>
  <c r="F4" i="6"/>
  <c r="C13" i="5"/>
  <c r="D12" i="5" s="1"/>
  <c r="U77" i="3"/>
  <c r="T77" i="3"/>
  <c r="S77" i="3"/>
  <c r="R77" i="3"/>
  <c r="Q77" i="3"/>
  <c r="U76" i="3"/>
  <c r="T76" i="3"/>
  <c r="S76" i="3"/>
  <c r="R76" i="3"/>
  <c r="Q76" i="3"/>
  <c r="U75" i="3"/>
  <c r="T75" i="3"/>
  <c r="S75" i="3"/>
  <c r="R75" i="3"/>
  <c r="Q75" i="3"/>
  <c r="U74" i="3"/>
  <c r="T74" i="3"/>
  <c r="S74" i="3"/>
  <c r="R74" i="3"/>
  <c r="Q74" i="3"/>
  <c r="U73" i="3"/>
  <c r="T73" i="3"/>
  <c r="S73" i="3"/>
  <c r="R73" i="3"/>
  <c r="Q73" i="3"/>
  <c r="U63" i="3"/>
  <c r="T63" i="3"/>
  <c r="S63" i="3"/>
  <c r="R63" i="3"/>
  <c r="Q63" i="3"/>
  <c r="U62" i="3"/>
  <c r="T62" i="3"/>
  <c r="S62" i="3"/>
  <c r="R62" i="3"/>
  <c r="Q62" i="3"/>
  <c r="U61" i="3"/>
  <c r="T61" i="3"/>
  <c r="S61" i="3"/>
  <c r="R61" i="3"/>
  <c r="Q61" i="3"/>
  <c r="U60" i="3"/>
  <c r="T60" i="3"/>
  <c r="S60" i="3"/>
  <c r="R60" i="3"/>
  <c r="Q60" i="3"/>
  <c r="U59" i="3"/>
  <c r="T59" i="3"/>
  <c r="S59" i="3"/>
  <c r="R59" i="3"/>
  <c r="Q59" i="3"/>
  <c r="U58" i="3"/>
  <c r="T58" i="3"/>
  <c r="S58" i="3"/>
  <c r="R58" i="3"/>
  <c r="Q58" i="3"/>
  <c r="U57" i="3"/>
  <c r="T57" i="3"/>
  <c r="S57" i="3"/>
  <c r="R57" i="3"/>
  <c r="Q57" i="3"/>
  <c r="U56" i="3"/>
  <c r="T56" i="3"/>
  <c r="S56" i="3"/>
  <c r="R56" i="3"/>
  <c r="Q56" i="3"/>
  <c r="U55" i="3"/>
  <c r="T55" i="3"/>
  <c r="S55" i="3"/>
  <c r="R55" i="3"/>
  <c r="Q55" i="3"/>
  <c r="U54" i="3"/>
  <c r="T54" i="3"/>
  <c r="S54" i="3"/>
  <c r="R54" i="3"/>
  <c r="Q54" i="3"/>
  <c r="U53" i="3"/>
  <c r="T53" i="3"/>
  <c r="S53" i="3"/>
  <c r="R53" i="3"/>
  <c r="Q53" i="3"/>
  <c r="U52" i="3"/>
  <c r="T52" i="3"/>
  <c r="S52" i="3"/>
  <c r="R52" i="3"/>
  <c r="Q52" i="3"/>
  <c r="U51" i="3"/>
  <c r="T51" i="3"/>
  <c r="S51" i="3"/>
  <c r="R51" i="3"/>
  <c r="Q51" i="3"/>
  <c r="U50" i="3"/>
  <c r="T50" i="3"/>
  <c r="S50" i="3"/>
  <c r="R50" i="3"/>
  <c r="Q50" i="3"/>
  <c r="U49" i="3"/>
  <c r="T49" i="3"/>
  <c r="S49" i="3"/>
  <c r="R49" i="3"/>
  <c r="Q49" i="3"/>
  <c r="U48" i="3"/>
  <c r="T48" i="3"/>
  <c r="S48" i="3"/>
  <c r="R48" i="3"/>
  <c r="Q48" i="3"/>
  <c r="C12" i="2"/>
  <c r="C12" i="3" s="1"/>
  <c r="B12" i="2"/>
  <c r="A12" i="2"/>
  <c r="A12" i="3" s="1"/>
  <c r="C11" i="2"/>
  <c r="C11" i="3" s="1"/>
  <c r="B11" i="2"/>
  <c r="A11" i="2"/>
  <c r="A11" i="3" s="1"/>
  <c r="C10" i="2"/>
  <c r="C10" i="3" s="1"/>
  <c r="B10" i="2"/>
  <c r="A10" i="2"/>
  <c r="A10" i="3" s="1"/>
  <c r="C9" i="2"/>
  <c r="C9" i="3" s="1"/>
  <c r="B9" i="2"/>
  <c r="A9" i="2"/>
  <c r="A9" i="3" s="1"/>
  <c r="C8" i="2"/>
  <c r="C8" i="3" s="1"/>
  <c r="B8" i="2"/>
  <c r="A8" i="2"/>
  <c r="A8" i="3" s="1"/>
  <c r="C7" i="2"/>
  <c r="C7" i="3" s="1"/>
  <c r="B7" i="2"/>
  <c r="A7" i="2"/>
  <c r="A7" i="3" s="1"/>
  <c r="C6" i="2"/>
  <c r="C6" i="3" s="1"/>
  <c r="B6" i="2"/>
  <c r="A6" i="2"/>
  <c r="A6" i="3" s="1"/>
  <c r="C5" i="2"/>
  <c r="C5" i="3" s="1"/>
  <c r="B5" i="2"/>
  <c r="A5" i="2"/>
  <c r="A5" i="3" s="1"/>
  <c r="C4" i="2"/>
  <c r="C4" i="3" s="1"/>
  <c r="B4" i="2"/>
  <c r="A4" i="2"/>
  <c r="A4" i="3" s="1"/>
  <c r="T14" i="1"/>
  <c r="Q14" i="1"/>
  <c r="Y13" i="1"/>
  <c r="D17" i="4" s="1"/>
  <c r="Y12" i="1"/>
  <c r="D14" i="4" s="1"/>
  <c r="Y11" i="1"/>
  <c r="D18" i="4" s="1"/>
  <c r="Y10" i="1"/>
  <c r="D20" i="4" s="1"/>
  <c r="Y9" i="1"/>
  <c r="D19" i="4" s="1"/>
  <c r="Y8" i="1"/>
  <c r="D21" i="4" s="1"/>
  <c r="Y7" i="1"/>
  <c r="D16" i="4" s="1"/>
  <c r="Y6" i="1"/>
  <c r="D15" i="4" s="1"/>
  <c r="Y5" i="1"/>
  <c r="D13" i="4" s="1"/>
  <c r="D5" i="5" l="1"/>
  <c r="D9" i="5"/>
  <c r="D6" i="5"/>
  <c r="D10" i="5"/>
  <c r="D7" i="5"/>
  <c r="D11" i="5"/>
  <c r="D4" i="5"/>
  <c r="D8" i="5"/>
  <c r="B9" i="3"/>
  <c r="B11" i="3"/>
  <c r="B5" i="3"/>
  <c r="B12" i="3"/>
  <c r="B7" i="3"/>
  <c r="L14" i="1"/>
  <c r="I5" i="6"/>
  <c r="I11" i="6"/>
  <c r="D13" i="6"/>
  <c r="B16" i="10"/>
  <c r="B16" i="8"/>
  <c r="B16" i="5"/>
  <c r="B16" i="7"/>
  <c r="B16" i="9"/>
  <c r="B16" i="6"/>
  <c r="B4" i="3"/>
  <c r="B8" i="3"/>
  <c r="R14" i="1"/>
  <c r="B6" i="3"/>
  <c r="B10" i="3"/>
  <c r="I7" i="6"/>
  <c r="I9" i="6"/>
  <c r="O14" i="1"/>
  <c r="I8" i="6"/>
  <c r="N14" i="1"/>
  <c r="X14" i="1"/>
  <c r="W14" i="1"/>
  <c r="V14" i="1"/>
  <c r="H4" i="6"/>
  <c r="E13" i="6"/>
  <c r="I10" i="6"/>
  <c r="I12" i="6"/>
  <c r="C13" i="10"/>
  <c r="D9" i="10" s="1"/>
  <c r="S14" i="1"/>
  <c r="I6" i="6"/>
  <c r="F13" i="6"/>
  <c r="C13" i="9"/>
  <c r="D8" i="9" s="1"/>
  <c r="C13" i="6"/>
  <c r="G13" i="6"/>
  <c r="C13" i="7"/>
  <c r="D7" i="7" s="1"/>
  <c r="L6" i="3" l="1"/>
  <c r="N4" i="3"/>
  <c r="J8" i="3"/>
  <c r="J6" i="3"/>
  <c r="G4" i="3"/>
  <c r="M5" i="3"/>
  <c r="N9" i="3"/>
  <c r="J10" i="3"/>
  <c r="G7" i="3"/>
  <c r="J4" i="3"/>
  <c r="N8" i="3"/>
  <c r="I7" i="3"/>
  <c r="N10" i="3"/>
  <c r="M6" i="3"/>
  <c r="N5" i="3"/>
  <c r="O7" i="3"/>
  <c r="K4" i="3"/>
  <c r="F12" i="3"/>
  <c r="G12" i="3"/>
  <c r="G8" i="3"/>
  <c r="F10" i="3"/>
  <c r="I12" i="3"/>
  <c r="W13" i="2"/>
  <c r="D13" i="5"/>
  <c r="K7" i="3"/>
  <c r="L12" i="3"/>
  <c r="P8" i="3"/>
  <c r="I11" i="3"/>
  <c r="L11" i="3"/>
  <c r="L5" i="3"/>
  <c r="M10" i="3"/>
  <c r="P11" i="3"/>
  <c r="M9" i="3"/>
  <c r="M7" i="3"/>
  <c r="P9" i="3"/>
  <c r="F5" i="3"/>
  <c r="G11" i="3"/>
  <c r="F9" i="3"/>
  <c r="N7" i="3"/>
  <c r="K10" i="3"/>
  <c r="N6" i="3"/>
  <c r="K5" i="3"/>
  <c r="M12" i="3"/>
  <c r="P10" i="3"/>
  <c r="F11" i="3"/>
  <c r="F7" i="3"/>
  <c r="K9" i="3"/>
  <c r="P5" i="3"/>
  <c r="L9" i="3"/>
  <c r="P12" i="3"/>
  <c r="K11" i="3"/>
  <c r="L7" i="3"/>
  <c r="K6" i="3"/>
  <c r="H10" i="3"/>
  <c r="L10" i="3"/>
  <c r="K8" i="3"/>
  <c r="R13" i="2"/>
  <c r="M11" i="3"/>
  <c r="P7" i="3"/>
  <c r="Y13" i="2"/>
  <c r="P6" i="3"/>
  <c r="M4" i="3"/>
  <c r="L13" i="2"/>
  <c r="H8" i="3"/>
  <c r="P4" i="3"/>
  <c r="I8" i="3"/>
  <c r="N11" i="3"/>
  <c r="M8" i="3"/>
  <c r="F6" i="3"/>
  <c r="X13" i="2"/>
  <c r="K12" i="3"/>
  <c r="I5" i="3"/>
  <c r="N12" i="3"/>
  <c r="H9" i="3"/>
  <c r="H5" i="3"/>
  <c r="D11" i="10"/>
  <c r="E11" i="10" s="1"/>
  <c r="J11" i="3"/>
  <c r="J13" i="2"/>
  <c r="J5" i="3"/>
  <c r="J7" i="3"/>
  <c r="F13" i="2"/>
  <c r="D4" i="9"/>
  <c r="E4" i="9" s="1"/>
  <c r="G9" i="3"/>
  <c r="H11" i="3"/>
  <c r="E9" i="10"/>
  <c r="E8" i="9"/>
  <c r="E7" i="7"/>
  <c r="D7" i="10"/>
  <c r="E7" i="10" s="1"/>
  <c r="D8" i="10"/>
  <c r="E8" i="10" s="1"/>
  <c r="G13" i="2"/>
  <c r="H13" i="2"/>
  <c r="P14" i="1"/>
  <c r="H7" i="3"/>
  <c r="H6" i="3"/>
  <c r="O13" i="2"/>
  <c r="H4" i="3"/>
  <c r="J12" i="3"/>
  <c r="S13" i="2"/>
  <c r="G6" i="3"/>
  <c r="D5" i="9"/>
  <c r="E5" i="9" s="1"/>
  <c r="D12" i="10"/>
  <c r="E12" i="10" s="1"/>
  <c r="D12" i="9"/>
  <c r="E12" i="9" s="1"/>
  <c r="G5" i="3"/>
  <c r="G10" i="3"/>
  <c r="F4" i="3"/>
  <c r="E13" i="2"/>
  <c r="I10" i="3"/>
  <c r="E12" i="5"/>
  <c r="E10" i="5"/>
  <c r="E8" i="5"/>
  <c r="E6" i="5"/>
  <c r="E4" i="5"/>
  <c r="E11" i="5"/>
  <c r="E9" i="5"/>
  <c r="E7" i="5"/>
  <c r="E5" i="5"/>
  <c r="H12" i="3"/>
  <c r="D8" i="7"/>
  <c r="E8" i="7" s="1"/>
  <c r="P13" i="2"/>
  <c r="D4" i="7"/>
  <c r="E4" i="7" s="1"/>
  <c r="D4" i="10"/>
  <c r="E4" i="10" s="1"/>
  <c r="I4" i="3"/>
  <c r="M14" i="1"/>
  <c r="K13" i="2"/>
  <c r="I9" i="3"/>
  <c r="J9" i="3"/>
  <c r="I13" i="2"/>
  <c r="D9" i="9"/>
  <c r="E9" i="9" s="1"/>
  <c r="I6" i="3"/>
  <c r="D5" i="10"/>
  <c r="E5" i="10" s="1"/>
  <c r="N13" i="2"/>
  <c r="M13" i="2"/>
  <c r="F8" i="3"/>
  <c r="L4" i="3"/>
  <c r="L8" i="3"/>
  <c r="Q13" i="2"/>
  <c r="D10" i="7"/>
  <c r="E10" i="7" s="1"/>
  <c r="D6" i="7"/>
  <c r="E6" i="7" s="1"/>
  <c r="D5" i="7"/>
  <c r="E5" i="7" s="1"/>
  <c r="D9" i="7"/>
  <c r="E9" i="7" s="1"/>
  <c r="D12" i="7"/>
  <c r="E12" i="7" s="1"/>
  <c r="D10" i="10"/>
  <c r="E10" i="10" s="1"/>
  <c r="D6" i="10"/>
  <c r="E6" i="10" s="1"/>
  <c r="D11" i="7"/>
  <c r="E11" i="7" s="1"/>
  <c r="D11" i="9"/>
  <c r="E11" i="9" s="1"/>
  <c r="D7" i="9"/>
  <c r="E7" i="9" s="1"/>
  <c r="D6" i="9"/>
  <c r="E6" i="9" s="1"/>
  <c r="D10" i="9"/>
  <c r="E10" i="9" s="1"/>
  <c r="H13" i="6"/>
  <c r="I4" i="6"/>
  <c r="G13" i="3" l="1"/>
  <c r="L13" i="3"/>
  <c r="I13" i="3"/>
  <c r="N13" i="3"/>
  <c r="M13" i="3"/>
  <c r="H13" i="3"/>
  <c r="P13" i="3"/>
  <c r="K13" i="3"/>
  <c r="J13" i="3"/>
  <c r="F13" i="3"/>
  <c r="I17" i="4"/>
  <c r="G14" i="4"/>
  <c r="K14" i="4"/>
  <c r="K15" i="4"/>
  <c r="L16" i="4"/>
  <c r="I14" i="4"/>
  <c r="G16" i="4"/>
  <c r="G15" i="4"/>
  <c r="I16" i="4"/>
  <c r="L14" i="4"/>
  <c r="I21" i="4"/>
  <c r="I13" i="4"/>
  <c r="G13" i="4"/>
  <c r="L21" i="4"/>
  <c r="I15" i="4"/>
  <c r="G17" i="4"/>
  <c r="G18" i="4"/>
  <c r="K20" i="4"/>
  <c r="K18" i="4"/>
  <c r="K13" i="4"/>
  <c r="K19" i="4"/>
  <c r="K17" i="4"/>
  <c r="G20" i="4"/>
  <c r="K16" i="4"/>
  <c r="L18" i="4"/>
  <c r="L15" i="4"/>
  <c r="I18" i="4"/>
  <c r="K21" i="4"/>
  <c r="I20" i="4"/>
  <c r="I19" i="4"/>
  <c r="L13" i="4"/>
  <c r="G21" i="4"/>
  <c r="G19" i="4"/>
  <c r="L17" i="4"/>
  <c r="L19" i="4"/>
  <c r="L20" i="4"/>
  <c r="D6" i="2"/>
  <c r="D6" i="3" s="1"/>
  <c r="Z8" i="1"/>
  <c r="Z11" i="1"/>
  <c r="E13" i="5"/>
  <c r="Z9" i="1"/>
  <c r="D8" i="2"/>
  <c r="D8" i="3" s="1"/>
  <c r="D13" i="10"/>
  <c r="E13" i="9"/>
  <c r="E13" i="10"/>
  <c r="D13" i="7"/>
  <c r="Z12" i="1"/>
  <c r="D11" i="2"/>
  <c r="D11" i="3" s="1"/>
  <c r="D13" i="9"/>
  <c r="I13" i="6"/>
  <c r="J4" i="6" s="1"/>
  <c r="E13" i="7"/>
  <c r="K22" i="4" l="1"/>
  <c r="I22" i="4"/>
  <c r="L22" i="4"/>
  <c r="G22" i="4"/>
  <c r="Z7" i="1"/>
  <c r="D10" i="2"/>
  <c r="D10" i="3" s="1"/>
  <c r="D7" i="2"/>
  <c r="D7" i="3" s="1"/>
  <c r="D9" i="2"/>
  <c r="D9" i="3" s="1"/>
  <c r="Z10" i="1"/>
  <c r="E11" i="3"/>
  <c r="D5" i="2"/>
  <c r="D5" i="3" s="1"/>
  <c r="Z6" i="1"/>
  <c r="K4" i="6"/>
  <c r="J11" i="6"/>
  <c r="K11" i="6" s="1"/>
  <c r="J8" i="6"/>
  <c r="K8" i="6" s="1"/>
  <c r="J5" i="6"/>
  <c r="K5" i="6" s="1"/>
  <c r="J9" i="6"/>
  <c r="K9" i="6" s="1"/>
  <c r="J7" i="6"/>
  <c r="K7" i="6" s="1"/>
  <c r="J12" i="6"/>
  <c r="K12" i="6" s="1"/>
  <c r="J6" i="6"/>
  <c r="K6" i="6" s="1"/>
  <c r="J10" i="6"/>
  <c r="K10" i="6" s="1"/>
  <c r="Z13" i="1"/>
  <c r="D12" i="2"/>
  <c r="D12" i="3" s="1"/>
  <c r="Z5" i="1"/>
  <c r="D4" i="2"/>
  <c r="D4" i="3" s="1"/>
  <c r="E8" i="3"/>
  <c r="C13" i="8"/>
  <c r="D5" i="8" s="1"/>
  <c r="E5" i="8" s="1"/>
  <c r="E6" i="3"/>
  <c r="B18" i="1" l="1"/>
  <c r="H14" i="4"/>
  <c r="H16" i="4"/>
  <c r="H21" i="4"/>
  <c r="H15" i="4"/>
  <c r="H19" i="4"/>
  <c r="H17" i="4"/>
  <c r="H13" i="4"/>
  <c r="J14" i="4"/>
  <c r="H20" i="4"/>
  <c r="H18" i="4"/>
  <c r="E10" i="3"/>
  <c r="E7" i="3"/>
  <c r="D12" i="8"/>
  <c r="E12" i="8" s="1"/>
  <c r="D9" i="8"/>
  <c r="E9" i="8" s="1"/>
  <c r="D4" i="8"/>
  <c r="E4" i="8" s="1"/>
  <c r="E4" i="3"/>
  <c r="D8" i="8"/>
  <c r="E8" i="8" s="1"/>
  <c r="D6" i="8"/>
  <c r="E6" i="8" s="1"/>
  <c r="D10" i="8"/>
  <c r="E10" i="8" s="1"/>
  <c r="D11" i="8"/>
  <c r="E11" i="8" s="1"/>
  <c r="D7" i="8"/>
  <c r="E7" i="8" s="1"/>
  <c r="B20" i="1"/>
  <c r="B19" i="1"/>
  <c r="E5" i="3"/>
  <c r="J13" i="6"/>
  <c r="E12" i="3"/>
  <c r="K13" i="6"/>
  <c r="E9" i="3"/>
  <c r="M14" i="4" l="1"/>
  <c r="O14" i="4" s="1"/>
  <c r="C18" i="1"/>
  <c r="J21" i="4"/>
  <c r="M21" i="4" s="1"/>
  <c r="O21" i="4" s="1"/>
  <c r="J19" i="4"/>
  <c r="M19" i="4" s="1"/>
  <c r="O19" i="4" s="1"/>
  <c r="J13" i="4"/>
  <c r="M13" i="4" s="1"/>
  <c r="O13" i="4" s="1"/>
  <c r="H22" i="4"/>
  <c r="J15" i="4"/>
  <c r="M15" i="4" s="1"/>
  <c r="O15" i="4" s="1"/>
  <c r="J17" i="4"/>
  <c r="M17" i="4" s="1"/>
  <c r="O17" i="4" s="1"/>
  <c r="J16" i="4"/>
  <c r="M16" i="4" s="1"/>
  <c r="O16" i="4" s="1"/>
  <c r="J18" i="4"/>
  <c r="M18" i="4" s="1"/>
  <c r="O18" i="4" s="1"/>
  <c r="J20" i="4"/>
  <c r="M20" i="4" s="1"/>
  <c r="O20" i="4" s="1"/>
  <c r="AA10" i="3" a="1"/>
  <c r="AA10" i="3" s="1"/>
  <c r="AA7" i="3" a="1"/>
  <c r="AA7" i="3" s="1"/>
  <c r="AA11" i="3" a="1"/>
  <c r="AA11" i="3" s="1"/>
  <c r="Y6" i="3" a="1"/>
  <c r="Y6" i="3" s="1"/>
  <c r="AA8" i="3" a="1"/>
  <c r="AA8" i="3" s="1"/>
  <c r="D13" i="8"/>
  <c r="X11" i="3" a="1"/>
  <c r="X11" i="3" s="1"/>
  <c r="X6" i="3" a="1"/>
  <c r="X6" i="3" s="1"/>
  <c r="W7" i="3" a="1"/>
  <c r="W7" i="3" s="1"/>
  <c r="V7" i="3" a="1"/>
  <c r="V7" i="3" s="1"/>
  <c r="U8" i="3" a="1"/>
  <c r="U8" i="3" s="1"/>
  <c r="U68" i="3" s="1"/>
  <c r="X8" i="3" a="1"/>
  <c r="X8" i="3" s="1"/>
  <c r="T6" i="3" a="1"/>
  <c r="T6" i="3" s="1"/>
  <c r="T66" i="3" s="1"/>
  <c r="V5" i="3" a="1"/>
  <c r="V5" i="3" s="1"/>
  <c r="T5" i="3" a="1"/>
  <c r="T5" i="3" s="1"/>
  <c r="T65" i="3" s="1"/>
  <c r="W5" i="3" a="1"/>
  <c r="W5" i="3" s="1"/>
  <c r="AA5" i="3" a="1"/>
  <c r="AA5" i="3" s="1"/>
  <c r="Y5" i="3" a="1"/>
  <c r="Y5" i="3" s="1"/>
  <c r="X5" i="3" a="1"/>
  <c r="X5" i="3" s="1"/>
  <c r="S5" i="3" a="1"/>
  <c r="S5" i="3" s="1"/>
  <c r="S65" i="3" s="1"/>
  <c r="Q5" i="3" a="1"/>
  <c r="Q5" i="3" s="1"/>
  <c r="Q65" i="3" s="1"/>
  <c r="R5" i="3" a="1"/>
  <c r="R5" i="3" s="1"/>
  <c r="R65" i="3" s="1"/>
  <c r="U5" i="3" a="1"/>
  <c r="U5" i="3" s="1"/>
  <c r="U65" i="3" s="1"/>
  <c r="U10" i="3" a="1"/>
  <c r="U10" i="3" s="1"/>
  <c r="U70" i="3" s="1"/>
  <c r="X10" i="3" a="1"/>
  <c r="X10" i="3" s="1"/>
  <c r="U7" i="3" a="1"/>
  <c r="U7" i="3" s="1"/>
  <c r="U67" i="3" s="1"/>
  <c r="X7" i="3" a="1"/>
  <c r="X7" i="3" s="1"/>
  <c r="U11" i="3" a="1"/>
  <c r="U11" i="3" s="1"/>
  <c r="U71" i="3" s="1"/>
  <c r="S11" i="3" a="1"/>
  <c r="S11" i="3" s="1"/>
  <c r="S71" i="3" s="1"/>
  <c r="V11" i="3" a="1"/>
  <c r="V11" i="3" s="1"/>
  <c r="S8" i="3" a="1"/>
  <c r="S8" i="3" s="1"/>
  <c r="S68" i="3" s="1"/>
  <c r="W8" i="3" a="1"/>
  <c r="W8" i="3" s="1"/>
  <c r="AA6" i="3" a="1"/>
  <c r="AA6" i="3" s="1"/>
  <c r="R6" i="3" a="1"/>
  <c r="R6" i="3" s="1"/>
  <c r="R66" i="3" s="1"/>
  <c r="S10" i="3" a="1"/>
  <c r="S10" i="3" s="1"/>
  <c r="S70" i="3" s="1"/>
  <c r="T10" i="3" a="1"/>
  <c r="T10" i="3" s="1"/>
  <c r="T70" i="3" s="1"/>
  <c r="T9" i="3" a="1"/>
  <c r="T9" i="3" s="1"/>
  <c r="T69" i="3" s="1"/>
  <c r="W9" i="3" a="1"/>
  <c r="W9" i="3" s="1"/>
  <c r="AA9" i="3" a="1"/>
  <c r="AA9" i="3" s="1"/>
  <c r="Y9" i="3" a="1"/>
  <c r="Y9" i="3" s="1"/>
  <c r="Q9" i="3" a="1"/>
  <c r="Q9" i="3" s="1"/>
  <c r="Q69" i="3" s="1"/>
  <c r="U9" i="3" a="1"/>
  <c r="U9" i="3" s="1"/>
  <c r="U69" i="3" s="1"/>
  <c r="X9" i="3" a="1"/>
  <c r="X9" i="3" s="1"/>
  <c r="V9" i="3" a="1"/>
  <c r="V9" i="3" s="1"/>
  <c r="S9" i="3" a="1"/>
  <c r="S9" i="3" s="1"/>
  <c r="S69" i="3" s="1"/>
  <c r="R9" i="3" a="1"/>
  <c r="R9" i="3" s="1"/>
  <c r="R69" i="3" s="1"/>
  <c r="S7" i="3" a="1"/>
  <c r="S7" i="3" s="1"/>
  <c r="S67" i="3" s="1"/>
  <c r="R7" i="3" a="1"/>
  <c r="R7" i="3" s="1"/>
  <c r="R67" i="3" s="1"/>
  <c r="Q12" i="3" a="1"/>
  <c r="Q12" i="3" s="1"/>
  <c r="Q72" i="3" s="1"/>
  <c r="R12" i="3" a="1"/>
  <c r="R12" i="3" s="1"/>
  <c r="R72" i="3" s="1"/>
  <c r="Y12" i="3" a="1"/>
  <c r="Y12" i="3" s="1"/>
  <c r="W12" i="3" a="1"/>
  <c r="W12" i="3" s="1"/>
  <c r="V12" i="3" a="1"/>
  <c r="V12" i="3" s="1"/>
  <c r="S12" i="3" a="1"/>
  <c r="S12" i="3" s="1"/>
  <c r="S72" i="3" s="1"/>
  <c r="X12" i="3" a="1"/>
  <c r="X12" i="3" s="1"/>
  <c r="T12" i="3" a="1"/>
  <c r="T12" i="3" s="1"/>
  <c r="T72" i="3" s="1"/>
  <c r="AA12" i="3" a="1"/>
  <c r="AA12" i="3" s="1"/>
  <c r="U12" i="3" a="1"/>
  <c r="U12" i="3" s="1"/>
  <c r="U72" i="3" s="1"/>
  <c r="R11" i="3" a="1"/>
  <c r="R11" i="3" s="1"/>
  <c r="R71" i="3" s="1"/>
  <c r="T11" i="3" a="1"/>
  <c r="T11" i="3" s="1"/>
  <c r="T71" i="3" s="1"/>
  <c r="Q11" i="3" a="1"/>
  <c r="Q11" i="3" s="1"/>
  <c r="R8" i="3" a="1"/>
  <c r="R8" i="3" s="1"/>
  <c r="R68" i="3" s="1"/>
  <c r="Q8" i="3" a="1"/>
  <c r="Q8" i="3" s="1"/>
  <c r="Q68" i="3" s="1"/>
  <c r="Q6" i="3" a="1"/>
  <c r="Q6" i="3" s="1"/>
  <c r="Q66" i="3" s="1"/>
  <c r="U6" i="3" a="1"/>
  <c r="U6" i="3" s="1"/>
  <c r="U66" i="3" s="1"/>
  <c r="W6" i="3" a="1"/>
  <c r="W6" i="3" s="1"/>
  <c r="R10" i="3" a="1"/>
  <c r="R10" i="3" s="1"/>
  <c r="R70" i="3" s="1"/>
  <c r="V10" i="3" a="1"/>
  <c r="V10" i="3" s="1"/>
  <c r="Y10" i="3" a="1"/>
  <c r="Y10" i="3" s="1"/>
  <c r="C20" i="1"/>
  <c r="C19" i="1"/>
  <c r="B21" i="1"/>
  <c r="Y4" i="3" a="1"/>
  <c r="Y4" i="3" s="1"/>
  <c r="U4" i="3" a="1"/>
  <c r="U4" i="3" s="1"/>
  <c r="U64" i="3" s="1"/>
  <c r="S4" i="3" a="1"/>
  <c r="S4" i="3" s="1"/>
  <c r="S64" i="3" s="1"/>
  <c r="Q4" i="3" a="1"/>
  <c r="Q4" i="3" s="1"/>
  <c r="Q64" i="3" s="1"/>
  <c r="W4" i="3" a="1"/>
  <c r="W4" i="3" s="1"/>
  <c r="X4" i="3" a="1"/>
  <c r="X4" i="3" s="1"/>
  <c r="AA4" i="3" a="1"/>
  <c r="AA4" i="3" s="1"/>
  <c r="T4" i="3" a="1"/>
  <c r="T4" i="3" s="1"/>
  <c r="T64" i="3" s="1"/>
  <c r="R4" i="3" a="1"/>
  <c r="R4" i="3" s="1"/>
  <c r="R64" i="3" s="1"/>
  <c r="V4" i="3" a="1"/>
  <c r="V4" i="3" s="1"/>
  <c r="W10" i="3" a="1"/>
  <c r="W10" i="3" s="1"/>
  <c r="T7" i="3" a="1"/>
  <c r="T7" i="3" s="1"/>
  <c r="T67" i="3" s="1"/>
  <c r="Y7" i="3" a="1"/>
  <c r="Y7" i="3" s="1"/>
  <c r="Q7" i="3" a="1"/>
  <c r="Q7" i="3" s="1"/>
  <c r="Q67" i="3" s="1"/>
  <c r="E13" i="8"/>
  <c r="Y11" i="3" a="1"/>
  <c r="Y11" i="3" s="1"/>
  <c r="W11" i="3" a="1"/>
  <c r="W11" i="3" s="1"/>
  <c r="T8" i="3" a="1"/>
  <c r="T8" i="3" s="1"/>
  <c r="T68" i="3" s="1"/>
  <c r="V8" i="3" a="1"/>
  <c r="V8" i="3" s="1"/>
  <c r="Y8" i="3" a="1"/>
  <c r="Y8" i="3" s="1"/>
  <c r="V6" i="3" a="1"/>
  <c r="V6" i="3" s="1"/>
  <c r="S6" i="3" a="1"/>
  <c r="S6" i="3" s="1"/>
  <c r="S66" i="3" s="1"/>
  <c r="Q10" i="3" a="1"/>
  <c r="Q10" i="3" s="1"/>
  <c r="J22" i="4" l="1"/>
  <c r="M22" i="4"/>
  <c r="F27" i="4" s="1"/>
  <c r="H27" i="4" s="1"/>
  <c r="Q70" i="3"/>
  <c r="Q71" i="3"/>
  <c r="I27" i="4" l="1"/>
  <c r="O22" i="4"/>
  <c r="B24" i="1" l="1"/>
  <c r="B28" i="1" l="1"/>
  <c r="B27" i="1"/>
  <c r="B26" i="1"/>
  <c r="B29" i="1" l="1"/>
  <c r="C26" i="1"/>
  <c r="C27" i="1"/>
  <c r="C28" i="1"/>
  <c r="AE8" i="3" l="1"/>
  <c r="AE12" i="3"/>
  <c r="AE9" i="3"/>
  <c r="AE10" i="3"/>
  <c r="AE7" i="3"/>
  <c r="AE5" i="3"/>
  <c r="AE4" i="3"/>
  <c r="AE6" i="3"/>
  <c r="AE11" i="3"/>
  <c r="C29" i="1"/>
  <c r="O5" i="3" l="1"/>
  <c r="O6" i="3"/>
  <c r="O8" i="3"/>
  <c r="O9" i="3"/>
  <c r="O10" i="3"/>
  <c r="O11" i="3"/>
  <c r="O12" i="3"/>
  <c r="O4" i="3" l="1"/>
  <c r="T13" i="2"/>
  <c r="O13" i="3" l="1"/>
  <c r="Z4" i="3" a="1"/>
  <c r="Z4" i="3" s="1"/>
  <c r="AB4" i="3" s="1"/>
  <c r="Z8" i="3" l="1" a="1"/>
  <c r="Z8" i="3" s="1"/>
  <c r="AB8" i="3" s="1"/>
  <c r="Z7" i="3" a="1"/>
  <c r="Z7" i="3" s="1"/>
  <c r="AB7" i="3" s="1"/>
  <c r="Z6" i="3" a="1"/>
  <c r="Z6" i="3" s="1"/>
  <c r="AB6" i="3" s="1"/>
  <c r="Z9" i="3" a="1"/>
  <c r="Z9" i="3" s="1"/>
  <c r="AB9" i="3" s="1"/>
  <c r="Z12" i="3" a="1"/>
  <c r="Z12" i="3" s="1"/>
  <c r="AB12" i="3" s="1"/>
  <c r="Z11" i="3" a="1"/>
  <c r="Z11" i="3" s="1"/>
  <c r="AB11" i="3" s="1"/>
  <c r="Z10" i="3" a="1"/>
  <c r="Z10" i="3" s="1"/>
  <c r="AB10" i="3" s="1"/>
  <c r="Z5" i="3" a="1"/>
  <c r="Z5" i="3" s="1"/>
  <c r="AB5" i="3" s="1"/>
  <c r="AC4" i="3" l="1" a="1"/>
  <c r="AC4" i="3" s="1"/>
  <c r="AD4" i="3" s="1"/>
  <c r="AF4" i="3" s="1"/>
  <c r="AG4" i="3" s="1"/>
  <c r="AC5" i="3" a="1"/>
  <c r="AC5" i="3" s="1"/>
  <c r="AD5" i="3" s="1"/>
  <c r="AF5" i="3" s="1"/>
  <c r="AG5" i="3" s="1"/>
  <c r="AH5" i="3" s="1"/>
  <c r="P15" i="4" s="1"/>
  <c r="Q15" i="4" s="1"/>
  <c r="R15" i="4" s="1"/>
  <c r="AC12" i="3" a="1"/>
  <c r="AC12" i="3" s="1"/>
  <c r="AD12" i="3" s="1"/>
  <c r="AF12" i="3" s="1"/>
  <c r="AG12" i="3" s="1"/>
  <c r="AC9" i="3" a="1"/>
  <c r="AC9" i="3" s="1"/>
  <c r="AD9" i="3" s="1"/>
  <c r="AF9" i="3" s="1"/>
  <c r="AG9" i="3" s="1"/>
  <c r="AC8" i="3" a="1"/>
  <c r="AC8" i="3" s="1"/>
  <c r="AD8" i="3" s="1"/>
  <c r="AF8" i="3" s="1"/>
  <c r="AG8" i="3" s="1"/>
  <c r="AC11" i="3" a="1"/>
  <c r="AC11" i="3" s="1"/>
  <c r="AD11" i="3" s="1"/>
  <c r="AF11" i="3" s="1"/>
  <c r="AG11" i="3" s="1"/>
  <c r="AC7" i="3" a="1"/>
  <c r="AC7" i="3" s="1"/>
  <c r="AD7" i="3" s="1"/>
  <c r="AF7" i="3" s="1"/>
  <c r="AG7" i="3" s="1"/>
  <c r="AC10" i="3" a="1"/>
  <c r="AC10" i="3" s="1"/>
  <c r="AD10" i="3" s="1"/>
  <c r="AF10" i="3" s="1"/>
  <c r="AG10" i="3" s="1"/>
  <c r="AC6" i="3" a="1"/>
  <c r="AC6" i="3" s="1"/>
  <c r="AD6" i="3" s="1"/>
  <c r="AF6" i="3" s="1"/>
  <c r="AG6" i="3" s="1"/>
  <c r="AH6" i="3" s="1"/>
  <c r="P16" i="4" s="1"/>
  <c r="X15" i="4" l="1"/>
  <c r="AH11" i="3"/>
  <c r="P14" i="4" s="1"/>
  <c r="Q14" i="4" s="1"/>
  <c r="R14" i="4" s="1"/>
  <c r="AH4" i="3"/>
  <c r="P13" i="4" s="1"/>
  <c r="AG13" i="3"/>
  <c r="AI8" i="3" s="1" a="1"/>
  <c r="AI8" i="3" s="1"/>
  <c r="Q16" i="4"/>
  <c r="R16" i="4" s="1"/>
  <c r="AH8" i="3"/>
  <c r="P19" i="4" s="1"/>
  <c r="Q19" i="4" s="1"/>
  <c r="R19" i="4" s="1"/>
  <c r="AF13" i="3"/>
  <c r="AH10" i="3"/>
  <c r="P18" i="4" s="1"/>
  <c r="Q18" i="4" s="1"/>
  <c r="R18" i="4" s="1"/>
  <c r="AH9" i="3"/>
  <c r="P20" i="4" s="1"/>
  <c r="Q20" i="4" s="1"/>
  <c r="R20" i="4" s="1"/>
  <c r="AH7" i="3"/>
  <c r="P21" i="4" s="1"/>
  <c r="Q21" i="4" s="1"/>
  <c r="R21" i="4" s="1"/>
  <c r="AH12" i="3"/>
  <c r="P17" i="4" s="1"/>
  <c r="Q17" i="4" s="1"/>
  <c r="R17" i="4" s="1"/>
  <c r="AI12" i="3" a="1"/>
  <c r="AI12" i="3" s="1"/>
  <c r="X18" i="4" l="1"/>
  <c r="X17" i="4"/>
  <c r="X21" i="4"/>
  <c r="X19" i="4"/>
  <c r="X14" i="4"/>
  <c r="X20" i="4"/>
  <c r="X16" i="4"/>
  <c r="AI5" i="3" a="1"/>
  <c r="AI5" i="3" s="1"/>
  <c r="AI7" i="3" a="1"/>
  <c r="AI7" i="3" s="1"/>
  <c r="AI4" i="3" a="1"/>
  <c r="AI4" i="3" s="1"/>
  <c r="AH13" i="3"/>
  <c r="AI10" i="3" a="1"/>
  <c r="AI10" i="3" s="1"/>
  <c r="Q13" i="4"/>
  <c r="P22" i="4"/>
  <c r="AI6" i="3" a="1"/>
  <c r="AI6" i="3" s="1"/>
  <c r="AI11" i="3" a="1"/>
  <c r="AI11" i="3" s="1"/>
  <c r="AI9" i="3" a="1"/>
  <c r="AI9" i="3" s="1"/>
  <c r="Q22" i="4" l="1"/>
  <c r="R13" i="4"/>
  <c r="AI13" i="3"/>
  <c r="R22" i="4" l="1"/>
  <c r="X22" i="4" s="1"/>
  <c r="S18" i="4" l="1"/>
  <c r="S15" i="4"/>
  <c r="S19" i="4"/>
  <c r="S20" i="4"/>
  <c r="S14" i="4"/>
  <c r="S21" i="4"/>
  <c r="S16" i="4"/>
  <c r="S17" i="4"/>
  <c r="S13" i="4"/>
  <c r="S22" i="4" l="1"/>
</calcChain>
</file>

<file path=xl/sharedStrings.xml><?xml version="1.0" encoding="utf-8"?>
<sst xmlns="http://schemas.openxmlformats.org/spreadsheetml/2006/main" count="517" uniqueCount="227">
  <si>
    <t>Cod</t>
  </si>
  <si>
    <t>PUC</t>
  </si>
  <si>
    <t>UCO</t>
  </si>
  <si>
    <t>UCV</t>
  </si>
  <si>
    <t>AUS</t>
  </si>
  <si>
    <t>FSM</t>
  </si>
  <si>
    <t>UCN</t>
  </si>
  <si>
    <t>UCT</t>
  </si>
  <si>
    <t>Institución</t>
  </si>
  <si>
    <t>PONTIFICIA UNIVERSIDAD CATÓLICA DE CHILE</t>
  </si>
  <si>
    <t>UNIVERSIDAD DE CONCEPCIÓN</t>
  </si>
  <si>
    <t>PONTIFICIA UNIVERSIDAD CATÓLICA DE VALPARAÍSO</t>
  </si>
  <si>
    <t>UNIVERSIDAD AUSTRAL DE CHILE</t>
  </si>
  <si>
    <t>UNIVERSIDAD TÉCNICA FEDERICO SANTA MARÍA</t>
  </si>
  <si>
    <t>UNIVERSIDAD CATÓLICA DEL NORTE</t>
  </si>
  <si>
    <t>UNIVERSIDAD CATÓLICA DE TEMUCO</t>
  </si>
  <si>
    <t>Tipo IES</t>
  </si>
  <si>
    <t>CRUCH-PRIVADA</t>
  </si>
  <si>
    <t>UCM</t>
  </si>
  <si>
    <t>USC</t>
  </si>
  <si>
    <t>UNIVERSIDAD CATÓLICA DE LA SANTÍSIMA CONCEPCIÓN</t>
  </si>
  <si>
    <t>UNIVERSIDAD CATÓLICA DEL MAULE</t>
  </si>
  <si>
    <t>Total Conjunto</t>
  </si>
  <si>
    <t>Total Conjunto &gt;=5 años</t>
  </si>
  <si>
    <t>Ind+Conj &gt;=5 años</t>
  </si>
  <si>
    <t>Categorías</t>
  </si>
  <si>
    <t>1/2</t>
  </si>
  <si>
    <t>3/4</t>
  </si>
  <si>
    <t>(3+5+6)/4</t>
  </si>
  <si>
    <t>7/4</t>
  </si>
  <si>
    <t>7/3</t>
  </si>
  <si>
    <t>(8/9)</t>
  </si>
  <si>
    <t>10/11</t>
  </si>
  <si>
    <t>12/13</t>
  </si>
  <si>
    <t>14/15</t>
  </si>
  <si>
    <t>a) N° Académicos JC por cada 100 matriculados</t>
  </si>
  <si>
    <t>b) Porcentaje de Ac con Doc respecto a JCE</t>
  </si>
  <si>
    <t>c) Porcentaje de Ac con Esp. Méd., Mg o Doc respecto a JCE</t>
  </si>
  <si>
    <t>d) N° Publicaciones Scopus por JCE</t>
  </si>
  <si>
    <t>e) N° Publicaciones Scopus por JCE con Doc.</t>
  </si>
  <si>
    <t>f) Promedio de citas por publicación quinquenio</t>
  </si>
  <si>
    <t>g) Porcentaje de est. 1er año Q1, Q2, Q3 respecto al total de alumnos de 1er año</t>
  </si>
  <si>
    <t>h) Porcentaje de retención primer año pregrado</t>
  </si>
  <si>
    <t>i) Tasa de titulación respecto a alumnos 1er año de la promoción</t>
  </si>
  <si>
    <t>j) Tasa de graduación programas doctorado</t>
  </si>
  <si>
    <t>k) N° Patentes solicitadas PCT por JCE</t>
  </si>
  <si>
    <t>Resultado i/Resultado Máximo</t>
  </si>
  <si>
    <t>Concatenado</t>
  </si>
  <si>
    <t>Ajustes</t>
  </si>
  <si>
    <t>Promedio</t>
  </si>
  <si>
    <t>Ponderación</t>
  </si>
  <si>
    <t>Montos Categorías</t>
  </si>
  <si>
    <t>CRUCH-PRIVADACategoría I</t>
  </si>
  <si>
    <t>CRUCH-PRIVADACategoría II</t>
  </si>
  <si>
    <t>CRUCH-PRIVADACategoría III</t>
  </si>
  <si>
    <t>Factor</t>
  </si>
  <si>
    <t>Concatenar</t>
  </si>
  <si>
    <t>N° IES</t>
  </si>
  <si>
    <t>Montos</t>
  </si>
  <si>
    <t>M$</t>
  </si>
  <si>
    <t>Monto Categ</t>
  </si>
  <si>
    <t>AFI 2016</t>
  </si>
  <si>
    <t>Total Elemento Mixto</t>
  </si>
  <si>
    <t>% Por tipo de IES</t>
  </si>
  <si>
    <t>Monto por Tipo IES-Categoría</t>
  </si>
  <si>
    <t>Suma Promedio por Tipo IES-Categoría</t>
  </si>
  <si>
    <t>Total por IES</t>
  </si>
  <si>
    <t>Redondear por IES</t>
  </si>
  <si>
    <t>Ajustado por IES</t>
  </si>
  <si>
    <t>16/19</t>
  </si>
  <si>
    <t>(20+21)/4)</t>
  </si>
  <si>
    <t>Redondear</t>
  </si>
  <si>
    <t>% por IES</t>
  </si>
  <si>
    <t>Reajuste AFI</t>
  </si>
  <si>
    <t>Tipos IES</t>
  </si>
  <si>
    <t>AFI 2016 Reajustado 3,0%</t>
  </si>
  <si>
    <t>Porcentaje</t>
  </si>
  <si>
    <t>Monto</t>
  </si>
  <si>
    <t>Monto Publicaciones</t>
  </si>
  <si>
    <t>Publicaciones M$</t>
  </si>
  <si>
    <t>Acreditación Institucional M$</t>
  </si>
  <si>
    <t>Académicos JC con Doctorado M$</t>
  </si>
  <si>
    <t>Programas Doctorado Acreditado M$</t>
  </si>
  <si>
    <t>Académicos Jornada Completa M$</t>
  </si>
  <si>
    <t>Matrícula Regular Pregrado M$</t>
  </si>
  <si>
    <t>Puntaje Acreditación Investigación</t>
  </si>
  <si>
    <t>Puntaje Acreditación Todas las Áreas</t>
  </si>
  <si>
    <t>Puntaje Años Acreditación</t>
  </si>
  <si>
    <t>Suma Puntajes</t>
  </si>
  <si>
    <t>Monto por IES</t>
  </si>
  <si>
    <t>Porcentaje por IES</t>
  </si>
  <si>
    <t>Monto Acreditaciones</t>
  </si>
  <si>
    <t>Monto Académicos JC Doctorado</t>
  </si>
  <si>
    <t>PONTIFICIA UNIVERSIDAD CATOLICA DE CHILE</t>
  </si>
  <si>
    <t>UNIVERSIDAD DE CONCEPCION</t>
  </si>
  <si>
    <t>PONTIFICIA UNIVERSIDAD CATOLICA DE VALPARAISO</t>
  </si>
  <si>
    <t>UNIVERSIDAD CATOLICA DEL NORTE</t>
  </si>
  <si>
    <t>UNIVERSIDAD TECNICA FEDERICO SANTA MARIA</t>
  </si>
  <si>
    <t>UNIVERSIDAD CATOLICA DE TEMUCO</t>
  </si>
  <si>
    <t>UNIVERSIDAD CATOLICA DE LA SANTISIMA CONCEPCION</t>
  </si>
  <si>
    <t>UNIVERSIDAD CATOLICA DEL MAULE</t>
  </si>
  <si>
    <t>Monto Matrícula Regula Pregrado</t>
  </si>
  <si>
    <t>Monto Académicos JC</t>
  </si>
  <si>
    <t>Monto Programas Doct. Acreditados</t>
  </si>
  <si>
    <t>Total</t>
  </si>
  <si>
    <t>Total Complejidad Institucional</t>
  </si>
  <si>
    <t>Detalle del cálculo</t>
  </si>
  <si>
    <t>Código DFI</t>
  </si>
  <si>
    <t>Doctorado Conjunto Años Acreditación</t>
  </si>
  <si>
    <t>Total individual</t>
  </si>
  <si>
    <t>Total General</t>
  </si>
  <si>
    <t>Transferencias Corrientes</t>
  </si>
  <si>
    <t>Transferencias de Capital</t>
  </si>
  <si>
    <t>Complejidad Institucional BD 30%</t>
  </si>
  <si>
    <t>Doctorado Individual Años Acreditación</t>
  </si>
  <si>
    <t>a) ELEMENTO MIXTO</t>
  </si>
  <si>
    <t>b) Total Elemento Desempeño</t>
  </si>
  <si>
    <t>1. AFI 2016</t>
  </si>
  <si>
    <t>3. Complejidad Institucional</t>
  </si>
  <si>
    <t>a) Elemento Mixto</t>
  </si>
  <si>
    <t>b) Elemento Desempeño</t>
  </si>
  <si>
    <t>1. AFI 2016 Reajustado</t>
  </si>
  <si>
    <t>4. U. Tutoras CFT Estatales</t>
  </si>
  <si>
    <t>TOTAL MAT PhD 2015</t>
  </si>
  <si>
    <t>2. Complejidad Institucional</t>
  </si>
  <si>
    <t>3. U. Tutoras CFT Estatales</t>
  </si>
  <si>
    <t>Miles de pesos</t>
  </si>
  <si>
    <t>Anticipo Basal por Desempeño</t>
  </si>
  <si>
    <t>Miles de Pesos</t>
  </si>
  <si>
    <t>Unidad de Análisis e Información, DFI, SUBESUP</t>
  </si>
  <si>
    <t xml:space="preserve">Total Asignación BD
M$ </t>
  </si>
  <si>
    <t>% IES</t>
  </si>
  <si>
    <t>1er semestre</t>
  </si>
  <si>
    <t>Saldo</t>
  </si>
  <si>
    <t>Recursos Totales Basal por Desempeño</t>
  </si>
  <si>
    <t>Monto anticipo 40% BD</t>
  </si>
  <si>
    <t>TOTAL</t>
  </si>
  <si>
    <t>BASAL POR DESEMPEÑO</t>
  </si>
  <si>
    <t>Santiago, mayo de 2020</t>
  </si>
  <si>
    <t>SIES</t>
  </si>
  <si>
    <t>ANID</t>
  </si>
  <si>
    <t>INAPI</t>
  </si>
  <si>
    <t>TOTAL MAT PhD 2016</t>
  </si>
  <si>
    <t>Monto Anticipo 2022 
M$</t>
  </si>
  <si>
    <t>Indicadores y Montos por IES, BD</t>
  </si>
  <si>
    <t>Solicitud_ pat_nac_2020</t>
  </si>
  <si>
    <t>N° Scopus 2021</t>
  </si>
  <si>
    <t>Acreditación Investigación 2022</t>
  </si>
  <si>
    <t>Acreditación Todas las Áreas 2022</t>
  </si>
  <si>
    <t>Años Acreditación Institucional 2022</t>
  </si>
  <si>
    <t>N° Doc JC 2022</t>
  </si>
  <si>
    <t>N° Doctorados Acreditados 2022</t>
  </si>
  <si>
    <t>N° Acad. JC 2022</t>
  </si>
  <si>
    <t>N° Matrícula Regular Pregrado 2022</t>
  </si>
  <si>
    <t>N° Publicaciones 2021</t>
  </si>
  <si>
    <t>Anticipo BD 2023</t>
  </si>
  <si>
    <t>Saldo BD 20223</t>
  </si>
  <si>
    <t>JC_2021</t>
  </si>
  <si>
    <t>MAT_2021</t>
  </si>
  <si>
    <t>JCE Doctor 2021</t>
  </si>
  <si>
    <t>JCE 2021</t>
  </si>
  <si>
    <t>JCE Magister 2021</t>
  </si>
  <si>
    <t>JCE Esp. Med._Odont. 2021</t>
  </si>
  <si>
    <t>Publicaciones  (citables)
2021</t>
  </si>
  <si>
    <t>Citas 2017_2021</t>
  </si>
  <si>
    <t>Publicaciones 2017-2021 (citables)</t>
  </si>
  <si>
    <t>Q1_Q2_Q3_MAT_1año_2021</t>
  </si>
  <si>
    <t>MAT_1año_2021(g)</t>
  </si>
  <si>
    <t>MAT_2020_Ret_1er_enMAT_2021</t>
  </si>
  <si>
    <t>MAT_2018_Ret_4to_enMAT_2021</t>
  </si>
  <si>
    <t>MAT_1año_2018(i)</t>
  </si>
  <si>
    <t>Grad_PhD_2017 al_2021</t>
  </si>
  <si>
    <t>TOTAL MAT PhD 2017</t>
  </si>
  <si>
    <t>Solicitud_ pat_nac_2021</t>
  </si>
  <si>
    <t>Total Asignación 2023
 M$</t>
  </si>
  <si>
    <t>Total Asignación BD 2023
M$
Sin decimales</t>
  </si>
  <si>
    <t>Presupuesto 2023</t>
  </si>
  <si>
    <t>Monto Anticipo 2023 
M$</t>
  </si>
  <si>
    <t xml:space="preserve">Montos Anticipo 2023
Transferencias Corrientes
M$ </t>
  </si>
  <si>
    <t xml:space="preserve">Montos Anticipo 2023
Transferencias de Capital
M$ </t>
  </si>
  <si>
    <t>Monto Saldo 2023
M$</t>
  </si>
  <si>
    <t xml:space="preserve">Montos Saldo 2023
Transferencias Corrientes
M$ </t>
  </si>
  <si>
    <t xml:space="preserve">Montos Saldo 2023
Transferencias de Capital
M$ </t>
  </si>
  <si>
    <t>Distribución Recursos Basal por Desempeño 2023</t>
  </si>
  <si>
    <t>Año 2023</t>
  </si>
  <si>
    <t>Unidad de Análisis e Información, Dpto. de Fortalecimiento Institucional, SUBESUP</t>
  </si>
  <si>
    <t>BASAL POR DESEMPEÑO 2022</t>
  </si>
  <si>
    <t>Anticipo BD 2022
Decreto N° 26-2022</t>
  </si>
  <si>
    <t>Saldo BD 2022
Decreto N° 127-2022</t>
  </si>
  <si>
    <t>TOTAL BD 2022</t>
  </si>
  <si>
    <t>Cod_DFI</t>
  </si>
  <si>
    <t>Monto M$ Anticipo 2023</t>
  </si>
  <si>
    <t>Monto Anticipo 2023
(sin decimales)
M$</t>
  </si>
  <si>
    <t>Cod DFI</t>
  </si>
  <si>
    <t>Región Universidad
(casa central)</t>
  </si>
  <si>
    <t>Región Metropolitana de Santiago</t>
  </si>
  <si>
    <t>Región del Bío - Bío</t>
  </si>
  <si>
    <t>Región de Valparaíso</t>
  </si>
  <si>
    <t>Región de Los Ríos</t>
  </si>
  <si>
    <t>Región de Antofagasta</t>
  </si>
  <si>
    <t>Región de La Araucanía</t>
  </si>
  <si>
    <t>Región del Maule</t>
  </si>
  <si>
    <t>Monto M$ Ley de Presupuestos 2023</t>
  </si>
  <si>
    <t xml:space="preserve"> Enero 2023</t>
  </si>
  <si>
    <t>CÁLCULO BASAL POR DESEMPEÑO 2023</t>
  </si>
  <si>
    <t>MAT_2020 primer año</t>
  </si>
  <si>
    <t>a) (N° Ac. JC 2021/Mat Total 2021)*100</t>
  </si>
  <si>
    <t>b) (N° JCE Doc 2021/JCE 2021)</t>
  </si>
  <si>
    <t>c) ((N° JCE Doc 2021+N° JCE Mg 2021+N° JCE Esp Med 2021)/JCE 2021)</t>
  </si>
  <si>
    <t>d) N° Public. Scopus 2021/JCE 2021</t>
  </si>
  <si>
    <t>e) N° Public. Scopus 2021/N° JCE Doc 2021</t>
  </si>
  <si>
    <t>g) (N° Est 1er año Q1, Q2, Q3 2021/Mat 1er nivel 2021)</t>
  </si>
  <si>
    <t>f) (N° Citas 2017-2021)/(N° Public. Scopus 2017-2021)</t>
  </si>
  <si>
    <t>j) Mat Graduados 2021 Doctorados/Mat 1er año 2017 Doctorados</t>
  </si>
  <si>
    <t>h) (Mat 1er nivel 2020 Retenida 2021/Mat 1er nivel 2020)</t>
  </si>
  <si>
    <t>i) (Mat Ret 4° Año 2021/Mat 1er año 2018)</t>
  </si>
  <si>
    <t>k) (N° Patentes solicitadas PCT 2021 +2020)*1000/(JCE 2021))</t>
  </si>
  <si>
    <t>BD-Universidades CRUCH-PRIVADAS (G9)</t>
  </si>
  <si>
    <t xml:space="preserve"> Mayo 2023</t>
  </si>
  <si>
    <t>Monto Saldo 
2022 
M$</t>
  </si>
  <si>
    <t>Reglamento vigente (año 2021)</t>
  </si>
  <si>
    <t>09.90.03.24.03.218</t>
  </si>
  <si>
    <t>09.90.03.33.03.409</t>
  </si>
  <si>
    <t>Anticipo Dec 25-2023</t>
  </si>
  <si>
    <t>Ppto</t>
  </si>
  <si>
    <t>Dec saldo</t>
  </si>
  <si>
    <t>Saldo Ppto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</si>
</sst>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_-;\-* #,##0.00_-;_-* &quot;-&quot;??_-;_-@_-"/>
    <numFmt numFmtId="165" formatCode="0.00000"/>
    <numFmt numFmtId="166" formatCode="_-* #,##0_-;\-* #,##0_-;_-* &quot;-&quot;??_-;_-@_-"/>
    <numFmt numFmtId="167" formatCode="0.0000000"/>
    <numFmt numFmtId="168" formatCode="_-* #,##0.0000_-;\-* #,##0.0000_-;_-* &quot;-&quot;??_-;_-@_-"/>
    <numFmt numFmtId="169" formatCode="_-* #,##0.0000_-;\-* #,##0.0000_-;_-* &quot;-&quot;????_-;_-@_-"/>
    <numFmt numFmtId="170" formatCode="_-* #,##0.00\ _€_-;\-* #,##0.00\ _€_-;_-* &quot;-&quot;??\ _€_-;_-@_-"/>
    <numFmt numFmtId="171" formatCode="_-* #,##0.000_-;\-* #,##0.000_-;_-* &quot;-&quot;??_-;_-@_-"/>
    <numFmt numFmtId="172" formatCode="_-* #,##0.0_-;\-* #,##0.0_-;_-* &quot;-&quot;??_-;_-@_-"/>
    <numFmt numFmtId="173" formatCode="#,##0.0"/>
    <numFmt numFmtId="174" formatCode="_ * #,##0.0_ ;_ * \-#,##0.0_ ;_ * &quot;-&quot;?_ ;_ @_ "/>
    <numFmt numFmtId="175" formatCode="0.000%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0"/>
      <color theme="4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4" tint="0.3999755851924192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6" fontId="1" fillId="0" borderId="0" xfId="3" applyNumberFormat="1" applyFont="1"/>
    <xf numFmtId="166" fontId="6" fillId="0" borderId="0" xfId="3" applyNumberFormat="1" applyFont="1"/>
    <xf numFmtId="0" fontId="6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2" fillId="6" borderId="0" xfId="0" applyNumberFormat="1" applyFont="1" applyFill="1" applyAlignment="1">
      <alignment horizont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10" fontId="1" fillId="0" borderId="1" xfId="0" applyNumberFormat="1" applyFont="1" applyBorder="1"/>
    <xf numFmtId="10" fontId="2" fillId="6" borderId="0" xfId="4" applyNumberFormat="1" applyFont="1" applyFill="1" applyAlignment="1">
      <alignment horizontal="center" wrapText="1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1" fillId="9" borderId="3" xfId="0" applyFont="1" applyFill="1" applyBorder="1"/>
    <xf numFmtId="0" fontId="1" fillId="9" borderId="0" xfId="0" applyFont="1" applyFill="1"/>
    <xf numFmtId="0" fontId="2" fillId="9" borderId="0" xfId="0" applyFont="1" applyFill="1"/>
    <xf numFmtId="0" fontId="2" fillId="2" borderId="0" xfId="0" applyFont="1" applyFill="1" applyAlignment="1">
      <alignment horizontal="center" wrapText="1"/>
    </xf>
    <xf numFmtId="0" fontId="2" fillId="10" borderId="3" xfId="0" applyFont="1" applyFill="1" applyBorder="1" applyAlignment="1">
      <alignment horizontal="center" wrapText="1"/>
    </xf>
    <xf numFmtId="0" fontId="2" fillId="10" borderId="0" xfId="0" applyFont="1" applyFill="1" applyAlignment="1">
      <alignment horizontal="center" wrapText="1"/>
    </xf>
    <xf numFmtId="0" fontId="2" fillId="10" borderId="5" xfId="0" applyFont="1" applyFill="1" applyBorder="1" applyAlignment="1">
      <alignment horizontal="center" wrapText="1"/>
    </xf>
    <xf numFmtId="165" fontId="2" fillId="11" borderId="0" xfId="0" applyNumberFormat="1" applyFont="1" applyFill="1" applyAlignment="1">
      <alignment horizontal="center" wrapText="1"/>
    </xf>
    <xf numFmtId="165" fontId="2" fillId="11" borderId="5" xfId="0" applyNumberFormat="1" applyFont="1" applyFill="1" applyBorder="1" applyAlignment="1">
      <alignment horizontal="center" wrapText="1"/>
    </xf>
    <xf numFmtId="165" fontId="2" fillId="12" borderId="0" xfId="0" applyNumberFormat="1" applyFont="1" applyFill="1" applyAlignment="1">
      <alignment horizontal="center" wrapText="1"/>
    </xf>
    <xf numFmtId="166" fontId="2" fillId="12" borderId="0" xfId="3" applyNumberFormat="1" applyFont="1" applyFill="1" applyAlignment="1">
      <alignment horizont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167" fontId="2" fillId="12" borderId="0" xfId="0" applyNumberFormat="1" applyFont="1" applyFill="1" applyAlignment="1">
      <alignment horizontal="center" wrapText="1"/>
    </xf>
    <xf numFmtId="1" fontId="0" fillId="0" borderId="0" xfId="0" applyNumberFormat="1"/>
    <xf numFmtId="165" fontId="0" fillId="0" borderId="0" xfId="0" applyNumberFormat="1"/>
    <xf numFmtId="0" fontId="6" fillId="0" borderId="0" xfId="0" applyFont="1" applyAlignment="1">
      <alignment horizontal="center"/>
    </xf>
    <xf numFmtId="166" fontId="6" fillId="0" borderId="0" xfId="3" applyNumberFormat="1" applyFont="1" applyFill="1" applyBorder="1"/>
    <xf numFmtId="166" fontId="1" fillId="7" borderId="1" xfId="3" applyNumberFormat="1" applyFont="1" applyFill="1" applyBorder="1"/>
    <xf numFmtId="0" fontId="1" fillId="0" borderId="1" xfId="0" applyFont="1" applyBorder="1"/>
    <xf numFmtId="166" fontId="1" fillId="0" borderId="1" xfId="3" applyNumberFormat="1" applyFont="1" applyFill="1" applyBorder="1"/>
    <xf numFmtId="168" fontId="0" fillId="0" borderId="0" xfId="0" applyNumberFormat="1"/>
    <xf numFmtId="169" fontId="0" fillId="0" borderId="0" xfId="0" applyNumberFormat="1"/>
    <xf numFmtId="10" fontId="1" fillId="0" borderId="1" xfId="4" applyNumberFormat="1" applyFont="1" applyBorder="1"/>
    <xf numFmtId="166" fontId="1" fillId="0" borderId="1" xfId="0" applyNumberFormat="1" applyFont="1" applyBorder="1"/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10" fontId="7" fillId="0" borderId="1" xfId="4" applyNumberFormat="1" applyFont="1" applyBorder="1"/>
    <xf numFmtId="166" fontId="7" fillId="0" borderId="1" xfId="3" applyNumberFormat="1" applyFont="1" applyBorder="1"/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10" fontId="1" fillId="7" borderId="1" xfId="4" applyNumberFormat="1" applyFont="1" applyFill="1" applyBorder="1"/>
    <xf numFmtId="166" fontId="1" fillId="7" borderId="1" xfId="0" applyNumberFormat="1" applyFont="1" applyFill="1" applyBorder="1"/>
    <xf numFmtId="166" fontId="7" fillId="7" borderId="1" xfId="3" applyNumberFormat="1" applyFont="1" applyFill="1" applyBorder="1"/>
    <xf numFmtId="166" fontId="7" fillId="0" borderId="1" xfId="0" applyNumberFormat="1" applyFont="1" applyBorder="1"/>
    <xf numFmtId="0" fontId="1" fillId="0" borderId="2" xfId="0" applyFont="1" applyBorder="1"/>
    <xf numFmtId="164" fontId="1" fillId="0" borderId="0" xfId="3" applyFont="1"/>
    <xf numFmtId="164" fontId="6" fillId="0" borderId="0" xfId="3" applyFont="1"/>
    <xf numFmtId="166" fontId="2" fillId="12" borderId="1" xfId="3" applyNumberFormat="1" applyFont="1" applyFill="1" applyBorder="1" applyAlignment="1">
      <alignment horizontal="center" wrapText="1"/>
    </xf>
    <xf numFmtId="166" fontId="0" fillId="0" borderId="0" xfId="0" applyNumberFormat="1"/>
    <xf numFmtId="172" fontId="1" fillId="0" borderId="0" xfId="3" applyNumberFormat="1" applyFont="1"/>
    <xf numFmtId="172" fontId="2" fillId="12" borderId="0" xfId="3" applyNumberFormat="1" applyFont="1" applyFill="1" applyAlignment="1">
      <alignment horizontal="center" wrapText="1"/>
    </xf>
    <xf numFmtId="164" fontId="2" fillId="12" borderId="0" xfId="3" applyFont="1" applyFill="1" applyAlignment="1">
      <alignment horizontal="center" wrapText="1"/>
    </xf>
    <xf numFmtId="164" fontId="2" fillId="12" borderId="1" xfId="3" applyFont="1" applyFill="1" applyBorder="1" applyAlignment="1">
      <alignment horizontal="center" wrapText="1"/>
    </xf>
    <xf numFmtId="172" fontId="2" fillId="12" borderId="1" xfId="3" applyNumberFormat="1" applyFont="1" applyFill="1" applyBorder="1" applyAlignment="1">
      <alignment horizontal="center" wrapText="1"/>
    </xf>
    <xf numFmtId="0" fontId="8" fillId="0" borderId="0" xfId="0" applyFont="1"/>
    <xf numFmtId="0" fontId="2" fillId="0" borderId="1" xfId="0" applyFont="1" applyBorder="1"/>
    <xf numFmtId="0" fontId="2" fillId="0" borderId="7" xfId="0" applyFont="1" applyBorder="1"/>
    <xf numFmtId="166" fontId="6" fillId="7" borderId="9" xfId="3" applyNumberFormat="1" applyFont="1" applyFill="1" applyBorder="1"/>
    <xf numFmtId="166" fontId="6" fillId="3" borderId="9" xfId="3" applyNumberFormat="1" applyFont="1" applyFill="1" applyBorder="1"/>
    <xf numFmtId="0" fontId="9" fillId="0" borderId="0" xfId="0" applyFont="1" applyAlignment="1">
      <alignment horizontal="center"/>
    </xf>
    <xf numFmtId="166" fontId="1" fillId="3" borderId="1" xfId="3" applyNumberFormat="1" applyFont="1" applyFill="1" applyBorder="1"/>
    <xf numFmtId="0" fontId="1" fillId="0" borderId="14" xfId="0" applyFont="1" applyBorder="1"/>
    <xf numFmtId="0" fontId="1" fillId="0" borderId="17" xfId="0" applyFont="1" applyBorder="1"/>
    <xf numFmtId="0" fontId="2" fillId="0" borderId="6" xfId="0" applyFont="1" applyBorder="1"/>
    <xf numFmtId="166" fontId="1" fillId="7" borderId="6" xfId="3" applyNumberFormat="1" applyFont="1" applyFill="1" applyBorder="1"/>
    <xf numFmtId="166" fontId="1" fillId="3" borderId="6" xfId="3" applyNumberFormat="1" applyFont="1" applyFill="1" applyBorder="1"/>
    <xf numFmtId="0" fontId="6" fillId="7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166" fontId="1" fillId="7" borderId="7" xfId="3" applyNumberFormat="1" applyFont="1" applyFill="1" applyBorder="1"/>
    <xf numFmtId="166" fontId="1" fillId="3" borderId="7" xfId="3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14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9" fontId="2" fillId="12" borderId="1" xfId="4" applyFont="1" applyFill="1" applyBorder="1" applyAlignment="1">
      <alignment horizontal="center" wrapText="1"/>
    </xf>
    <xf numFmtId="172" fontId="6" fillId="7" borderId="6" xfId="3" applyNumberFormat="1" applyFont="1" applyFill="1" applyBorder="1"/>
    <xf numFmtId="172" fontId="6" fillId="7" borderId="1" xfId="3" applyNumberFormat="1" applyFont="1" applyFill="1" applyBorder="1"/>
    <xf numFmtId="172" fontId="6" fillId="7" borderId="7" xfId="3" applyNumberFormat="1" applyFont="1" applyFill="1" applyBorder="1"/>
    <xf numFmtId="172" fontId="6" fillId="10" borderId="6" xfId="3" applyNumberFormat="1" applyFont="1" applyFill="1" applyBorder="1"/>
    <xf numFmtId="172" fontId="6" fillId="10" borderId="1" xfId="3" applyNumberFormat="1" applyFont="1" applyFill="1" applyBorder="1"/>
    <xf numFmtId="172" fontId="6" fillId="10" borderId="7" xfId="3" applyNumberFormat="1" applyFont="1" applyFill="1" applyBorder="1"/>
    <xf numFmtId="172" fontId="6" fillId="10" borderId="9" xfId="3" applyNumberFormat="1" applyFont="1" applyFill="1" applyBorder="1"/>
    <xf numFmtId="172" fontId="6" fillId="8" borderId="6" xfId="3" applyNumberFormat="1" applyFont="1" applyFill="1" applyBorder="1"/>
    <xf numFmtId="172" fontId="6" fillId="8" borderId="9" xfId="3" applyNumberFormat="1" applyFont="1" applyFill="1" applyBorder="1"/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6" fillId="4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6" fillId="3" borderId="1" xfId="0" applyFont="1" applyFill="1" applyBorder="1"/>
    <xf numFmtId="0" fontId="1" fillId="7" borderId="1" xfId="0" applyFont="1" applyFill="1" applyBorder="1"/>
    <xf numFmtId="0" fontId="6" fillId="7" borderId="1" xfId="0" applyFont="1" applyFill="1" applyBorder="1"/>
    <xf numFmtId="0" fontId="7" fillId="0" borderId="1" xfId="0" applyFont="1" applyBorder="1"/>
    <xf numFmtId="10" fontId="7" fillId="0" borderId="1" xfId="4" applyNumberFormat="1" applyFont="1" applyFill="1" applyBorder="1"/>
    <xf numFmtId="166" fontId="7" fillId="0" borderId="1" xfId="3" applyNumberFormat="1" applyFont="1" applyFill="1" applyBorder="1"/>
    <xf numFmtId="172" fontId="6" fillId="15" borderId="6" xfId="3" applyNumberFormat="1" applyFont="1" applyFill="1" applyBorder="1"/>
    <xf numFmtId="172" fontId="6" fillId="15" borderId="26" xfId="3" applyNumberFormat="1" applyFont="1" applyFill="1" applyBorder="1"/>
    <xf numFmtId="166" fontId="6" fillId="15" borderId="9" xfId="3" applyNumberFormat="1" applyFont="1" applyFill="1" applyBorder="1"/>
    <xf numFmtId="0" fontId="6" fillId="15" borderId="1" xfId="0" applyFont="1" applyFill="1" applyBorder="1" applyAlignment="1">
      <alignment horizontal="center" vertical="center" wrapText="1"/>
    </xf>
    <xf numFmtId="0" fontId="7" fillId="0" borderId="0" xfId="0" applyFont="1"/>
    <xf numFmtId="173" fontId="6" fillId="0" borderId="1" xfId="0" applyNumberFormat="1" applyFont="1" applyBorder="1"/>
    <xf numFmtId="166" fontId="10" fillId="3" borderId="6" xfId="3" applyNumberFormat="1" applyFont="1" applyFill="1" applyBorder="1"/>
    <xf numFmtId="0" fontId="6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16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72" fontId="1" fillId="0" borderId="1" xfId="3" applyNumberFormat="1" applyFont="1" applyBorder="1"/>
    <xf numFmtId="172" fontId="6" fillId="0" borderId="1" xfId="3" applyNumberFormat="1" applyFont="1" applyFill="1" applyBorder="1"/>
    <xf numFmtId="10" fontId="6" fillId="0" borderId="1" xfId="4" applyNumberFormat="1" applyFont="1" applyFill="1" applyBorder="1" applyAlignment="1">
      <alignment horizontal="center" wrapText="1"/>
    </xf>
    <xf numFmtId="174" fontId="0" fillId="0" borderId="0" xfId="0" applyNumberFormat="1"/>
    <xf numFmtId="0" fontId="0" fillId="0" borderId="1" xfId="0" applyBorder="1"/>
    <xf numFmtId="10" fontId="0" fillId="0" borderId="0" xfId="4" applyNumberFormat="1" applyFont="1"/>
    <xf numFmtId="172" fontId="0" fillId="0" borderId="1" xfId="0" applyNumberFormat="1" applyBorder="1"/>
    <xf numFmtId="174" fontId="0" fillId="0" borderId="1" xfId="0" applyNumberFormat="1" applyBorder="1"/>
    <xf numFmtId="173" fontId="6" fillId="16" borderId="1" xfId="3" applyNumberFormat="1" applyFont="1" applyFill="1" applyBorder="1"/>
    <xf numFmtId="173" fontId="7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172" fontId="1" fillId="0" borderId="6" xfId="3" applyNumberFormat="1" applyFont="1" applyBorder="1"/>
    <xf numFmtId="171" fontId="5" fillId="0" borderId="14" xfId="0" applyNumberFormat="1" applyFont="1" applyBorder="1"/>
    <xf numFmtId="172" fontId="6" fillId="17" borderId="6" xfId="3" applyNumberFormat="1" applyFont="1" applyFill="1" applyBorder="1"/>
    <xf numFmtId="10" fontId="6" fillId="17" borderId="18" xfId="4" applyNumberFormat="1" applyFont="1" applyFill="1" applyBorder="1" applyAlignment="1">
      <alignment horizontal="center" wrapText="1"/>
    </xf>
    <xf numFmtId="172" fontId="6" fillId="17" borderId="9" xfId="3" applyNumberFormat="1" applyFont="1" applyFill="1" applyBorder="1"/>
    <xf numFmtId="9" fontId="6" fillId="17" borderId="10" xfId="4" applyFont="1" applyFill="1" applyBorder="1" applyAlignment="1">
      <alignment horizontal="center"/>
    </xf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175" fontId="15" fillId="0" borderId="0" xfId="4" applyNumberFormat="1" applyFont="1"/>
    <xf numFmtId="4" fontId="0" fillId="0" borderId="0" xfId="0" applyNumberFormat="1"/>
    <xf numFmtId="3" fontId="1" fillId="19" borderId="15" xfId="0" applyNumberFormat="1" applyFont="1" applyFill="1" applyBorder="1"/>
    <xf numFmtId="0" fontId="6" fillId="18" borderId="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3" fontId="1" fillId="19" borderId="14" xfId="0" applyNumberFormat="1" applyFont="1" applyFill="1" applyBorder="1"/>
    <xf numFmtId="171" fontId="5" fillId="0" borderId="21" xfId="0" applyNumberFormat="1" applyFont="1" applyBorder="1"/>
    <xf numFmtId="171" fontId="5" fillId="0" borderId="8" xfId="0" applyNumberFormat="1" applyFont="1" applyBorder="1"/>
    <xf numFmtId="173" fontId="6" fillId="16" borderId="9" xfId="0" applyNumberFormat="1" applyFont="1" applyFill="1" applyBorder="1"/>
    <xf numFmtId="3" fontId="1" fillId="7" borderId="9" xfId="0" applyNumberFormat="1" applyFont="1" applyFill="1" applyBorder="1"/>
    <xf numFmtId="3" fontId="1" fillId="19" borderId="8" xfId="0" applyNumberFormat="1" applyFont="1" applyFill="1" applyBorder="1"/>
    <xf numFmtId="3" fontId="1" fillId="19" borderId="10" xfId="0" applyNumberFormat="1" applyFont="1" applyFill="1" applyBorder="1"/>
    <xf numFmtId="0" fontId="16" fillId="0" borderId="0" xfId="0" applyFont="1"/>
    <xf numFmtId="166" fontId="2" fillId="0" borderId="1" xfId="3" applyNumberFormat="1" applyFont="1" applyFill="1" applyBorder="1" applyAlignment="1">
      <alignment horizontal="center"/>
    </xf>
    <xf numFmtId="172" fontId="2" fillId="0" borderId="1" xfId="3" applyNumberFormat="1" applyFont="1" applyFill="1" applyBorder="1" applyAlignment="1">
      <alignment horizontal="center"/>
    </xf>
    <xf numFmtId="166" fontId="2" fillId="0" borderId="1" xfId="3" applyNumberFormat="1" applyFont="1" applyFill="1" applyBorder="1" applyAlignment="1">
      <alignment horizontal="center" vertical="center"/>
    </xf>
    <xf numFmtId="166" fontId="2" fillId="0" borderId="1" xfId="3" applyNumberFormat="1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/>
    <xf numFmtId="0" fontId="18" fillId="0" borderId="0" xfId="0" applyFont="1"/>
    <xf numFmtId="9" fontId="18" fillId="0" borderId="0" xfId="0" applyNumberFormat="1" applyFont="1" applyAlignment="1">
      <alignment horizontal="left"/>
    </xf>
    <xf numFmtId="0" fontId="19" fillId="0" borderId="0" xfId="0" applyFont="1"/>
    <xf numFmtId="0" fontId="13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3" fontId="6" fillId="0" borderId="1" xfId="3" applyNumberFormat="1" applyFont="1" applyFill="1" applyBorder="1"/>
    <xf numFmtId="172" fontId="21" fillId="0" borderId="14" xfId="3" applyNumberFormat="1" applyFont="1" applyBorder="1"/>
    <xf numFmtId="173" fontId="10" fillId="7" borderId="1" xfId="3" applyNumberFormat="1" applyFont="1" applyFill="1" applyBorder="1"/>
    <xf numFmtId="173" fontId="1" fillId="0" borderId="1" xfId="3" applyNumberFormat="1" applyFont="1" applyFill="1" applyBorder="1"/>
    <xf numFmtId="173" fontId="1" fillId="0" borderId="15" xfId="3" applyNumberFormat="1" applyFont="1" applyFill="1" applyBorder="1"/>
    <xf numFmtId="166" fontId="22" fillId="0" borderId="1" xfId="3" applyNumberFormat="1" applyFont="1" applyFill="1" applyBorder="1"/>
    <xf numFmtId="172" fontId="21" fillId="0" borderId="19" xfId="3" applyNumberFormat="1" applyFont="1" applyBorder="1"/>
    <xf numFmtId="173" fontId="10" fillId="7" borderId="20" xfId="3" applyNumberFormat="1" applyFont="1" applyFill="1" applyBorder="1"/>
    <xf numFmtId="173" fontId="10" fillId="0" borderId="8" xfId="0" applyNumberFormat="1" applyFont="1" applyBorder="1"/>
    <xf numFmtId="173" fontId="10" fillId="7" borderId="9" xfId="0" applyNumberFormat="1" applyFont="1" applyFill="1" applyBorder="1"/>
    <xf numFmtId="3" fontId="6" fillId="0" borderId="9" xfId="0" applyNumberFormat="1" applyFont="1" applyBorder="1"/>
    <xf numFmtId="3" fontId="6" fillId="0" borderId="10" xfId="0" applyNumberFormat="1" applyFont="1" applyBorder="1"/>
    <xf numFmtId="173" fontId="23" fillId="0" borderId="0" xfId="0" applyNumberFormat="1" applyFont="1"/>
    <xf numFmtId="173" fontId="0" fillId="0" borderId="0" xfId="0" applyNumberFormat="1"/>
    <xf numFmtId="0" fontId="10" fillId="20" borderId="1" xfId="0" applyFont="1" applyFill="1" applyBorder="1"/>
    <xf numFmtId="0" fontId="10" fillId="20" borderId="1" xfId="0" applyFont="1" applyFill="1" applyBorder="1" applyAlignment="1">
      <alignment horizontal="center"/>
    </xf>
    <xf numFmtId="0" fontId="22" fillId="0" borderId="1" xfId="0" applyFont="1" applyBorder="1"/>
    <xf numFmtId="166" fontId="22" fillId="0" borderId="1" xfId="3" applyNumberFormat="1" applyFont="1" applyBorder="1"/>
    <xf numFmtId="0" fontId="20" fillId="0" borderId="1" xfId="0" applyFont="1" applyBorder="1"/>
    <xf numFmtId="166" fontId="20" fillId="0" borderId="1" xfId="3" applyNumberFormat="1" applyFont="1" applyBorder="1"/>
    <xf numFmtId="0" fontId="20" fillId="7" borderId="1" xfId="0" applyFont="1" applyFill="1" applyBorder="1"/>
    <xf numFmtId="166" fontId="20" fillId="7" borderId="1" xfId="3" applyNumberFormat="1" applyFont="1" applyFill="1" applyBorder="1"/>
    <xf numFmtId="0" fontId="1" fillId="21" borderId="1" xfId="0" applyFont="1" applyFill="1" applyBorder="1"/>
    <xf numFmtId="41" fontId="1" fillId="21" borderId="1" xfId="8" applyFont="1" applyFill="1" applyBorder="1"/>
    <xf numFmtId="0" fontId="6" fillId="21" borderId="1" xfId="0" applyFont="1" applyFill="1" applyBorder="1" applyAlignment="1">
      <alignment horizontal="center" vertical="center" wrapText="1"/>
    </xf>
    <xf numFmtId="0" fontId="6" fillId="21" borderId="1" xfId="0" applyFont="1" applyFill="1" applyBorder="1"/>
    <xf numFmtId="41" fontId="6" fillId="21" borderId="1" xfId="8" applyFont="1" applyFill="1" applyBorder="1"/>
    <xf numFmtId="0" fontId="1" fillId="5" borderId="0" xfId="0" applyFont="1" applyFill="1"/>
    <xf numFmtId="0" fontId="2" fillId="5" borderId="0" xfId="0" applyFont="1" applyFill="1"/>
    <xf numFmtId="166" fontId="2" fillId="5" borderId="1" xfId="3" applyNumberFormat="1" applyFont="1" applyFill="1" applyBorder="1" applyAlignment="1">
      <alignment horizontal="center"/>
    </xf>
    <xf numFmtId="172" fontId="2" fillId="5" borderId="1" xfId="3" applyNumberFormat="1" applyFont="1" applyFill="1" applyBorder="1" applyAlignment="1">
      <alignment horizontal="center"/>
    </xf>
    <xf numFmtId="0" fontId="4" fillId="22" borderId="1" xfId="0" applyFont="1" applyFill="1" applyBorder="1" applyAlignment="1">
      <alignment horizontal="center" vertical="top" wrapText="1"/>
    </xf>
    <xf numFmtId="0" fontId="17" fillId="22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7" fillId="7" borderId="1" xfId="0" applyFont="1" applyFill="1" applyBorder="1"/>
    <xf numFmtId="10" fontId="7" fillId="7" borderId="1" xfId="4" applyNumberFormat="1" applyFont="1" applyFill="1" applyBorder="1"/>
    <xf numFmtId="166" fontId="7" fillId="7" borderId="1" xfId="4" applyNumberFormat="1" applyFont="1" applyFill="1" applyBorder="1"/>
    <xf numFmtId="10" fontId="7" fillId="7" borderId="2" xfId="4" applyNumberFormat="1" applyFont="1" applyFill="1" applyBorder="1"/>
    <xf numFmtId="0" fontId="13" fillId="16" borderId="2" xfId="0" applyFont="1" applyFill="1" applyBorder="1" applyAlignment="1">
      <alignment horizontal="center" vertical="center" wrapText="1"/>
    </xf>
    <xf numFmtId="0" fontId="13" fillId="16" borderId="23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29" xfId="0" applyFont="1" applyFill="1" applyBorder="1" applyAlignment="1">
      <alignment horizontal="center" vertical="center" wrapText="1"/>
    </xf>
    <xf numFmtId="0" fontId="13" fillId="18" borderId="3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 wrapText="1"/>
    </xf>
    <xf numFmtId="0" fontId="6" fillId="10" borderId="26" xfId="0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6" fillId="17" borderId="26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6" fillId="17" borderId="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/>
    <xf numFmtId="9" fontId="0" fillId="0" borderId="0" xfId="4" applyFont="1"/>
    <xf numFmtId="4" fontId="0" fillId="0" borderId="1" xfId="0" applyNumberFormat="1" applyBorder="1"/>
    <xf numFmtId="3" fontId="6" fillId="18" borderId="2" xfId="0" applyNumberFormat="1" applyFont="1" applyFill="1" applyBorder="1"/>
    <xf numFmtId="3" fontId="6" fillId="18" borderId="31" xfId="0" applyNumberFormat="1" applyFont="1" applyFill="1" applyBorder="1"/>
    <xf numFmtId="3" fontId="6" fillId="18" borderId="32" xfId="0" applyNumberFormat="1" applyFont="1" applyFill="1" applyBorder="1"/>
  </cellXfs>
  <cellStyles count="9">
    <cellStyle name="Millares" xfId="3" builtinId="3"/>
    <cellStyle name="Millares [0]" xfId="8" builtinId="6"/>
    <cellStyle name="Millares 2" xfId="2" xr:uid="{00000000-0005-0000-0000-000001000000}"/>
    <cellStyle name="Millares 3" xfId="6" xr:uid="{00000000-0005-0000-0000-000031000000}"/>
    <cellStyle name="Normal" xfId="0" builtinId="0"/>
    <cellStyle name="Normal 2" xfId="1" xr:uid="{00000000-0005-0000-0000-000003000000}"/>
    <cellStyle name="Normal 3" xfId="5" xr:uid="{00000000-0005-0000-0000-000032000000}"/>
    <cellStyle name="Porcentaje" xfId="4" builtinId="5"/>
    <cellStyle name="Porcentaje 2" xfId="7" xr:uid="{00000000-0005-0000-0000-000033000000}"/>
  </cellStyles>
  <dxfs count="0"/>
  <tableStyles count="0" defaultTableStyle="TableStyleMedium2" defaultPivotStyle="PivotStyleLight16"/>
  <colors>
    <mruColors>
      <color rgb="FF0066FF"/>
      <color rgb="FFFFFF99"/>
      <color rgb="FFE9F5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3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3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3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3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3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Montos BD 2023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158746</xdr:colOff>
      <xdr:row>0</xdr:row>
      <xdr:rowOff>169333</xdr:rowOff>
    </xdr:from>
    <xdr:to>
      <xdr:col>25</xdr:col>
      <xdr:colOff>467878</xdr:colOff>
      <xdr:row>0</xdr:row>
      <xdr:rowOff>592068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35D680-06BD-4383-9028-62E1747B4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17663" y="169333"/>
          <a:ext cx="1430964" cy="4227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1217083</xdr:colOff>
      <xdr:row>0</xdr:row>
      <xdr:rowOff>1098258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3E6A71-4CBA-66EA-49C9-D2FF1692C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7083" cy="1101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642938</xdr:colOff>
      <xdr:row>0</xdr:row>
      <xdr:rowOff>424393</xdr:rowOff>
    </xdr:from>
    <xdr:ext cx="1438373" cy="422735"/>
    <xdr:pic>
      <xdr:nvPicPr>
        <xdr:cNvPr id="4" name="Imagen 3">
          <a:extLst>
            <a:ext uri="{FF2B5EF4-FFF2-40B4-BE49-F238E27FC236}">
              <a16:creationId xmlns:a16="http://schemas.microsoft.com/office/drawing/2014/main" id="{0DE5A01E-1E73-4EDB-8F4D-6090D2299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9288" y="424393"/>
          <a:ext cx="1438373" cy="42273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0</xdr:col>
      <xdr:colOff>1266825</xdr:colOff>
      <xdr:row>0</xdr:row>
      <xdr:rowOff>1152525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667F9A9-ED71-4EFF-A9BF-C3306E56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621243</xdr:colOff>
      <xdr:row>0</xdr:row>
      <xdr:rowOff>0</xdr:rowOff>
    </xdr:from>
    <xdr:to>
      <xdr:col>7</xdr:col>
      <xdr:colOff>402167</xdr:colOff>
      <xdr:row>3</xdr:row>
      <xdr:rowOff>84667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A4A29D-5DB7-49A1-87CD-0DABE051F4F9}"/>
            </a:ext>
          </a:extLst>
        </xdr:cNvPr>
        <xdr:cNvSpPr/>
      </xdr:nvSpPr>
      <xdr:spPr>
        <a:xfrm>
          <a:off x="7024160" y="0"/>
          <a:ext cx="1304924" cy="793750"/>
        </a:xfrm>
        <a:prstGeom prst="lef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Volver a </a:t>
          </a:r>
        </a:p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Montos</a:t>
          </a:r>
          <a:r>
            <a:rPr lang="es-CL" sz="900" b="1" baseline="0">
              <a:solidFill>
                <a:schemeClr val="bg1"/>
              </a:solidFill>
              <a:latin typeface="Bahnschrift" panose="020B0502040204020203" pitchFamily="34" charset="0"/>
            </a:rPr>
            <a:t> BD 2023</a:t>
          </a:r>
          <a:endParaRPr lang="es-CL" sz="900" b="1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652992</xdr:colOff>
      <xdr:row>0</xdr:row>
      <xdr:rowOff>95248</xdr:rowOff>
    </xdr:from>
    <xdr:to>
      <xdr:col>13</xdr:col>
      <xdr:colOff>391583</xdr:colOff>
      <xdr:row>2</xdr:row>
      <xdr:rowOff>529165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FBBBA4-0E4A-408D-8CA5-B5F7334E180C}"/>
            </a:ext>
          </a:extLst>
        </xdr:cNvPr>
        <xdr:cNvSpPr/>
      </xdr:nvSpPr>
      <xdr:spPr>
        <a:xfrm>
          <a:off x="11257492" y="95248"/>
          <a:ext cx="1262591" cy="814917"/>
        </a:xfrm>
        <a:prstGeom prst="lef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Volver a </a:t>
          </a:r>
        </a:p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Montos</a:t>
          </a:r>
          <a:r>
            <a:rPr lang="es-CL" sz="900" b="1" baseline="0">
              <a:solidFill>
                <a:schemeClr val="bg1"/>
              </a:solidFill>
              <a:latin typeface="Bahnschrift" panose="020B0502040204020203" pitchFamily="34" charset="0"/>
            </a:rPr>
            <a:t> BD 2023</a:t>
          </a:r>
          <a:endParaRPr lang="es-CL" sz="900" b="1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621243</xdr:colOff>
      <xdr:row>0</xdr:row>
      <xdr:rowOff>66675</xdr:rowOff>
    </xdr:from>
    <xdr:to>
      <xdr:col>7</xdr:col>
      <xdr:colOff>317500</xdr:colOff>
      <xdr:row>3</xdr:row>
      <xdr:rowOff>151342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BD5E9-7DC6-4CB7-ABB8-AE8FCAAD32A8}"/>
            </a:ext>
          </a:extLst>
        </xdr:cNvPr>
        <xdr:cNvSpPr/>
      </xdr:nvSpPr>
      <xdr:spPr>
        <a:xfrm>
          <a:off x="7055910" y="66675"/>
          <a:ext cx="1220257" cy="793750"/>
        </a:xfrm>
        <a:prstGeom prst="lef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Volver a </a:t>
          </a:r>
        </a:p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Montos</a:t>
          </a:r>
          <a:r>
            <a:rPr lang="es-CL" sz="900" b="1" baseline="0">
              <a:solidFill>
                <a:schemeClr val="bg1"/>
              </a:solidFill>
              <a:latin typeface="Bahnschrift" panose="020B0502040204020203" pitchFamily="34" charset="0"/>
            </a:rPr>
            <a:t> BD 2023</a:t>
          </a:r>
          <a:endParaRPr lang="es-CL" sz="900" b="1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631825</xdr:colOff>
      <xdr:row>0</xdr:row>
      <xdr:rowOff>52916</xdr:rowOff>
    </xdr:from>
    <xdr:to>
      <xdr:col>7</xdr:col>
      <xdr:colOff>412749</xdr:colOff>
      <xdr:row>2</xdr:row>
      <xdr:rowOff>518583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A5B4FE-C26F-46BF-9238-3F8D086966B1}"/>
            </a:ext>
          </a:extLst>
        </xdr:cNvPr>
        <xdr:cNvSpPr/>
      </xdr:nvSpPr>
      <xdr:spPr>
        <a:xfrm>
          <a:off x="7129992" y="52916"/>
          <a:ext cx="1304924" cy="846667"/>
        </a:xfrm>
        <a:prstGeom prst="lef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Volver a </a:t>
          </a:r>
        </a:p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Montos</a:t>
          </a:r>
          <a:r>
            <a:rPr lang="es-CL" sz="900" b="1" baseline="0">
              <a:solidFill>
                <a:schemeClr val="bg1"/>
              </a:solidFill>
              <a:latin typeface="Bahnschrift" panose="020B0502040204020203" pitchFamily="34" charset="0"/>
            </a:rPr>
            <a:t> BD 2023</a:t>
          </a:r>
          <a:endParaRPr lang="es-CL" sz="900" b="1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52916</xdr:rowOff>
    </xdr:from>
    <xdr:to>
      <xdr:col>7</xdr:col>
      <xdr:colOff>306917</xdr:colOff>
      <xdr:row>3</xdr:row>
      <xdr:rowOff>84667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0614D-C21C-458C-9632-89A355B99AC3}"/>
            </a:ext>
          </a:extLst>
        </xdr:cNvPr>
        <xdr:cNvSpPr/>
      </xdr:nvSpPr>
      <xdr:spPr>
        <a:xfrm>
          <a:off x="7024158" y="52916"/>
          <a:ext cx="1230842" cy="740834"/>
        </a:xfrm>
        <a:prstGeom prst="lef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Volver a </a:t>
          </a:r>
        </a:p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Montos</a:t>
          </a:r>
          <a:r>
            <a:rPr lang="es-CL" sz="900" b="1" baseline="0">
              <a:solidFill>
                <a:schemeClr val="bg1"/>
              </a:solidFill>
              <a:latin typeface="Bahnschrift" panose="020B0502040204020203" pitchFamily="34" charset="0"/>
            </a:rPr>
            <a:t> BD 2023</a:t>
          </a:r>
          <a:endParaRPr lang="es-CL" sz="900" b="1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557741</xdr:colOff>
      <xdr:row>0</xdr:row>
      <xdr:rowOff>84666</xdr:rowOff>
    </xdr:from>
    <xdr:to>
      <xdr:col>7</xdr:col>
      <xdr:colOff>275167</xdr:colOff>
      <xdr:row>2</xdr:row>
      <xdr:rowOff>560917</xdr:rowOff>
    </xdr:to>
    <xdr:sp macro="" textlink="">
      <xdr:nvSpPr>
        <xdr:cNvPr id="2" name="Flecha: hacia l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CB344-5490-4120-BA93-F3BC62D0D822}"/>
            </a:ext>
          </a:extLst>
        </xdr:cNvPr>
        <xdr:cNvSpPr/>
      </xdr:nvSpPr>
      <xdr:spPr>
        <a:xfrm>
          <a:off x="6939491" y="84666"/>
          <a:ext cx="1241426" cy="857251"/>
        </a:xfrm>
        <a:prstGeom prst="left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Volver a </a:t>
          </a:r>
        </a:p>
        <a:p>
          <a:pPr algn="ctr"/>
          <a:r>
            <a:rPr lang="es-CL" sz="900" b="1">
              <a:solidFill>
                <a:schemeClr val="bg1"/>
              </a:solidFill>
              <a:latin typeface="Bahnschrift" panose="020B0502040204020203" pitchFamily="34" charset="0"/>
            </a:rPr>
            <a:t>Montos</a:t>
          </a:r>
          <a:r>
            <a:rPr lang="es-CL" sz="900" b="1" baseline="0">
              <a:solidFill>
                <a:schemeClr val="bg1"/>
              </a:solidFill>
              <a:latin typeface="Bahnschrift" panose="020B0502040204020203" pitchFamily="34" charset="0"/>
            </a:rPr>
            <a:t> BD 2023</a:t>
          </a:r>
          <a:endParaRPr lang="es-CL" sz="900" b="1">
            <a:solidFill>
              <a:schemeClr val="bg1"/>
            </a:solidFill>
            <a:latin typeface="Bahnschrift" panose="020B05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FF"/>
  </sheetPr>
  <dimension ref="A1:AC38"/>
  <sheetViews>
    <sheetView tabSelected="1" zoomScale="90" zoomScaleNormal="90" workbookViewId="0">
      <selection activeCell="I38" sqref="I38"/>
    </sheetView>
  </sheetViews>
  <sheetFormatPr baseColWidth="10" defaultRowHeight="14.5" x14ac:dyDescent="0.35"/>
  <cols>
    <col min="1" max="1" width="48" customWidth="1"/>
    <col min="2" max="2" width="12.1796875" customWidth="1"/>
    <col min="3" max="3" width="19.08984375" customWidth="1"/>
    <col min="4" max="4" width="11" customWidth="1"/>
    <col min="5" max="5" width="13.81640625" customWidth="1"/>
    <col min="6" max="6" width="14.453125" customWidth="1"/>
    <col min="7" max="8" width="14.81640625" customWidth="1"/>
    <col min="9" max="10" width="13.54296875" customWidth="1"/>
    <col min="11" max="14" width="10.7265625" customWidth="1"/>
    <col min="15" max="15" width="12.54296875" customWidth="1"/>
    <col min="16" max="16" width="14.54296875" customWidth="1"/>
    <col min="17" max="17" width="12.1796875" customWidth="1"/>
    <col min="18" max="18" width="13.453125" customWidth="1"/>
    <col min="19" max="19" width="15.26953125" customWidth="1"/>
    <col min="20" max="20" width="8" customWidth="1"/>
    <col min="21" max="21" width="11.1796875" customWidth="1"/>
    <col min="22" max="22" width="13.54296875" customWidth="1"/>
    <col min="23" max="23" width="13.81640625" customWidth="1"/>
    <col min="24" max="24" width="11.1796875" customWidth="1"/>
    <col min="25" max="25" width="16.81640625" customWidth="1"/>
    <col min="26" max="26" width="13.453125" bestFit="1" customWidth="1"/>
    <col min="27" max="27" width="1.54296875" customWidth="1"/>
    <col min="28" max="28" width="7.7265625" customWidth="1"/>
    <col min="29" max="29" width="29.453125" bestFit="1" customWidth="1"/>
  </cols>
  <sheetData>
    <row r="1" spans="1:29" ht="92.25" customHeight="1" x14ac:dyDescent="0.35"/>
    <row r="2" spans="1:29" ht="19.5" x14ac:dyDescent="0.45">
      <c r="A2" s="156" t="s">
        <v>183</v>
      </c>
    </row>
    <row r="3" spans="1:29" ht="19.5" x14ac:dyDescent="0.45">
      <c r="A3" s="156" t="s">
        <v>220</v>
      </c>
    </row>
    <row r="4" spans="1:29" ht="19.5" x14ac:dyDescent="0.45">
      <c r="A4" s="156" t="s">
        <v>106</v>
      </c>
    </row>
    <row r="5" spans="1:29" ht="17" x14ac:dyDescent="0.4">
      <c r="A5" s="66" t="s">
        <v>126</v>
      </c>
    </row>
    <row r="6" spans="1:29" x14ac:dyDescent="0.35">
      <c r="A6" t="s">
        <v>129</v>
      </c>
    </row>
    <row r="7" spans="1:29" x14ac:dyDescent="0.35">
      <c r="A7" t="s">
        <v>218</v>
      </c>
      <c r="B7" s="15"/>
    </row>
    <row r="8" spans="1:29" x14ac:dyDescent="0.35">
      <c r="A8" s="15"/>
      <c r="B8" s="15"/>
    </row>
    <row r="9" spans="1:29" ht="15" thickBot="1" x14ac:dyDescent="0.4">
      <c r="B9" s="206">
        <v>1</v>
      </c>
      <c r="C9" s="206">
        <v>2</v>
      </c>
      <c r="D9" s="206">
        <v>3</v>
      </c>
      <c r="E9" s="206">
        <v>4</v>
      </c>
      <c r="F9" s="206">
        <v>5</v>
      </c>
      <c r="G9" s="206">
        <v>6</v>
      </c>
      <c r="H9" s="206">
        <v>7</v>
      </c>
      <c r="I9" s="206">
        <v>8</v>
      </c>
      <c r="J9" s="206">
        <v>9</v>
      </c>
      <c r="K9" s="206">
        <v>10</v>
      </c>
      <c r="L9" s="206">
        <v>11</v>
      </c>
      <c r="M9" s="206">
        <v>12</v>
      </c>
      <c r="N9" s="206">
        <v>13</v>
      </c>
      <c r="O9" s="206">
        <v>14</v>
      </c>
      <c r="P9" s="206">
        <v>15</v>
      </c>
      <c r="Q9" s="206">
        <v>16</v>
      </c>
      <c r="R9" s="206">
        <v>17</v>
      </c>
    </row>
    <row r="10" spans="1:29" ht="17.25" customHeight="1" x14ac:dyDescent="0.35">
      <c r="A10" s="223" t="s">
        <v>8</v>
      </c>
      <c r="B10" s="226" t="s">
        <v>193</v>
      </c>
      <c r="C10" s="226" t="s">
        <v>16</v>
      </c>
      <c r="D10" s="229" t="s">
        <v>25</v>
      </c>
      <c r="E10" s="256" t="s">
        <v>115</v>
      </c>
      <c r="F10" s="257"/>
      <c r="G10" s="257"/>
      <c r="H10" s="257"/>
      <c r="I10" s="257"/>
      <c r="J10" s="257"/>
      <c r="K10" s="257"/>
      <c r="L10" s="257"/>
      <c r="M10" s="257"/>
      <c r="N10" s="258"/>
      <c r="O10" s="248" t="s">
        <v>62</v>
      </c>
      <c r="P10" s="237" t="s">
        <v>116</v>
      </c>
      <c r="Q10" s="240" t="s">
        <v>174</v>
      </c>
      <c r="R10" s="251" t="s">
        <v>175</v>
      </c>
      <c r="S10" s="234" t="s">
        <v>72</v>
      </c>
      <c r="T10" s="218" t="s">
        <v>137</v>
      </c>
      <c r="U10" s="219"/>
      <c r="V10" s="219"/>
      <c r="W10" s="219"/>
      <c r="X10" s="219"/>
      <c r="Y10" s="219"/>
      <c r="Z10" s="220"/>
    </row>
    <row r="11" spans="1:29" ht="15" customHeight="1" thickBot="1" x14ac:dyDescent="0.4">
      <c r="A11" s="224"/>
      <c r="B11" s="227"/>
      <c r="C11" s="227"/>
      <c r="D11" s="230"/>
      <c r="E11" s="243" t="s">
        <v>117</v>
      </c>
      <c r="F11" s="244"/>
      <c r="G11" s="245" t="s">
        <v>124</v>
      </c>
      <c r="H11" s="246"/>
      <c r="I11" s="246"/>
      <c r="J11" s="246"/>
      <c r="K11" s="246"/>
      <c r="L11" s="246"/>
      <c r="M11" s="247"/>
      <c r="N11" s="254" t="s">
        <v>125</v>
      </c>
      <c r="O11" s="249"/>
      <c r="P11" s="238"/>
      <c r="Q11" s="241"/>
      <c r="R11" s="252"/>
      <c r="S11" s="235"/>
      <c r="T11" s="217" t="s">
        <v>193</v>
      </c>
      <c r="U11" s="211" t="s">
        <v>155</v>
      </c>
      <c r="V11" s="212"/>
      <c r="W11" s="213"/>
      <c r="X11" s="214" t="s">
        <v>156</v>
      </c>
      <c r="Y11" s="215"/>
      <c r="Z11" s="216"/>
    </row>
    <row r="12" spans="1:29" ht="65.5" thickBot="1" x14ac:dyDescent="0.4">
      <c r="A12" s="225"/>
      <c r="B12" s="228"/>
      <c r="C12" s="228"/>
      <c r="D12" s="231"/>
      <c r="E12" s="78" t="s">
        <v>61</v>
      </c>
      <c r="F12" s="78" t="s">
        <v>75</v>
      </c>
      <c r="G12" s="79" t="s">
        <v>79</v>
      </c>
      <c r="H12" s="79" t="s">
        <v>80</v>
      </c>
      <c r="I12" s="79" t="s">
        <v>81</v>
      </c>
      <c r="J12" s="79" t="s">
        <v>82</v>
      </c>
      <c r="K12" s="79" t="s">
        <v>83</v>
      </c>
      <c r="L12" s="79" t="s">
        <v>84</v>
      </c>
      <c r="M12" s="79" t="s">
        <v>105</v>
      </c>
      <c r="N12" s="255"/>
      <c r="O12" s="250"/>
      <c r="P12" s="239"/>
      <c r="Q12" s="242"/>
      <c r="R12" s="253"/>
      <c r="S12" s="236"/>
      <c r="T12" s="217"/>
      <c r="U12" s="121" t="s">
        <v>177</v>
      </c>
      <c r="V12" s="162" t="s">
        <v>178</v>
      </c>
      <c r="W12" s="122" t="s">
        <v>179</v>
      </c>
      <c r="X12" s="146" t="s">
        <v>180</v>
      </c>
      <c r="Y12" s="147" t="s">
        <v>181</v>
      </c>
      <c r="Z12" s="148" t="s">
        <v>182</v>
      </c>
      <c r="AB12" s="172" t="s">
        <v>193</v>
      </c>
      <c r="AC12" s="172" t="s">
        <v>194</v>
      </c>
    </row>
    <row r="13" spans="1:29" x14ac:dyDescent="0.35">
      <c r="A13" s="74" t="s">
        <v>9</v>
      </c>
      <c r="B13" s="83" t="s">
        <v>1</v>
      </c>
      <c r="C13" s="75" t="s">
        <v>17</v>
      </c>
      <c r="D13" s="75" t="str">
        <f>VLOOKUP(B13,Categorías!$B$5:$Y$13,24,0)</f>
        <v>Categoría I</v>
      </c>
      <c r="E13" s="76">
        <v>2471405</v>
      </c>
      <c r="F13" s="89">
        <f t="shared" ref="F13:F21" si="0">E13*(1+$B$31)</f>
        <v>2545547.15</v>
      </c>
      <c r="G13" s="77">
        <f>IFERROR(VLOOKUP(B13,'Publicaciones BD'!$B$4:$E$12,4,0),0)</f>
        <v>746334.95882051811</v>
      </c>
      <c r="H13" s="77">
        <f>IFERROR(VLOOKUP(B13,'Acreditación BD'!$B$4:$K$12,10,0),0)</f>
        <v>300673.95849056594</v>
      </c>
      <c r="I13" s="77">
        <f>IFERROR(VLOOKUP(B13,'Doctorado JC BD'!$B$4:$E$12,4,0),0)</f>
        <v>575393.45694551035</v>
      </c>
      <c r="J13" s="77">
        <f>IFERROR(VLOOKUP(B13,'Programas Doct. Acreditados BD'!$B$4:$E$12,4,0),0)</f>
        <v>772041.08347826079</v>
      </c>
      <c r="K13" s="77">
        <f>IFERROR(VLOOKUP(B13,'Académicos JC BD'!$B$4:$E$12,4,0),0)</f>
        <v>568038.36375000002</v>
      </c>
      <c r="L13" s="77">
        <f>IFERROR(VLOOKUP(B13,'Matrícula Regular Pre BD'!$B$4:$E$12,4,0),0)</f>
        <v>444097.46742795693</v>
      </c>
      <c r="M13" s="117">
        <f>(G13+H13+I13+J13+K13+L13)</f>
        <v>3406579.2889128118</v>
      </c>
      <c r="N13" s="111">
        <v>0</v>
      </c>
      <c r="O13" s="96">
        <f>F13+M13+N13</f>
        <v>5952126.4389128117</v>
      </c>
      <c r="P13" s="92">
        <f>IFERROR(VLOOKUP(B13,Indicadores!$B$4:$AH$12,33,0),0)</f>
        <v>3774079</v>
      </c>
      <c r="Q13" s="136">
        <f t="shared" ref="Q13:Q21" si="1">O13+P13</f>
        <v>9726205.4389128126</v>
      </c>
      <c r="R13" s="136">
        <f t="shared" ref="R13:R21" si="2">ROUND(Q13,0)</f>
        <v>9726205</v>
      </c>
      <c r="S13" s="137">
        <f t="shared" ref="S13:S21" si="3">R13/$R$22</f>
        <v>0.21361895118160901</v>
      </c>
      <c r="T13" s="135" t="s">
        <v>1</v>
      </c>
      <c r="U13" s="131">
        <v>4046008</v>
      </c>
      <c r="V13" s="163">
        <v>3196548</v>
      </c>
      <c r="W13" s="163">
        <v>849460</v>
      </c>
      <c r="X13" s="274">
        <f>+R13-U13</f>
        <v>5680197</v>
      </c>
      <c r="Y13" s="149">
        <f>+ROUND(X13*$E$36,0)</f>
        <v>4487638</v>
      </c>
      <c r="Z13" s="145">
        <f>+X13-Y13</f>
        <v>1192559</v>
      </c>
      <c r="AA13" s="126"/>
      <c r="AB13" s="178" t="s">
        <v>1</v>
      </c>
      <c r="AC13" s="178" t="s">
        <v>195</v>
      </c>
    </row>
    <row r="14" spans="1:29" x14ac:dyDescent="0.35">
      <c r="A14" s="73" t="s">
        <v>10</v>
      </c>
      <c r="B14" s="84" t="s">
        <v>2</v>
      </c>
      <c r="C14" s="67" t="s">
        <v>17</v>
      </c>
      <c r="D14" s="75" t="str">
        <f>VLOOKUP(B14,Categorías!$B$5:$Y$13,24,0)</f>
        <v>Categoría I</v>
      </c>
      <c r="E14" s="39">
        <v>834829</v>
      </c>
      <c r="F14" s="90">
        <f t="shared" si="0"/>
        <v>859873.87</v>
      </c>
      <c r="G14" s="72">
        <f>IFERROR(VLOOKUP(B14,'Publicaciones BD'!$B$4:$E$12,4,0),0)</f>
        <v>383190.09128698678</v>
      </c>
      <c r="H14" s="72">
        <f>IFERROR(VLOOKUP(B14,'Acreditación BD'!$B$4:$K$12,10,0),0)</f>
        <v>300673.95849056594</v>
      </c>
      <c r="I14" s="72">
        <f>IFERROR(VLOOKUP(B14,'Doctorado JC BD'!$B$4:$E$12,4,0),0)</f>
        <v>479882.80214888719</v>
      </c>
      <c r="J14" s="72">
        <f>IFERROR(VLOOKUP(B14,'Programas Doct. Acreditados BD'!$B$4:$E$12,4,0),0)</f>
        <v>574081.83130434772</v>
      </c>
      <c r="K14" s="72">
        <f>IFERROR(VLOOKUP(B14,'Académicos JC BD'!$B$4:$E$12,4,0),0)</f>
        <v>428673.78125</v>
      </c>
      <c r="L14" s="72">
        <f>IFERROR(VLOOKUP(B14,'Matrícula Regular Pre BD'!$B$4:$E$12,4,0),0)</f>
        <v>399915.04449707473</v>
      </c>
      <c r="M14" s="117">
        <f t="shared" ref="M14:M20" si="4">(G14+H14+I14+J14+K14+L14)</f>
        <v>2566417.5089778621</v>
      </c>
      <c r="N14" s="111">
        <v>0</v>
      </c>
      <c r="O14" s="96">
        <f t="shared" ref="O14:O21" si="5">F14+M14+N14</f>
        <v>3426291.3789778622</v>
      </c>
      <c r="P14" s="93">
        <f>IFERROR(VLOOKUP(B14,Indicadores!$B$4:$AH$12,33,0),0)</f>
        <v>3656071</v>
      </c>
      <c r="Q14" s="136">
        <f t="shared" si="1"/>
        <v>7082362.3789778622</v>
      </c>
      <c r="R14" s="136">
        <f t="shared" si="2"/>
        <v>7082362</v>
      </c>
      <c r="S14" s="137">
        <f t="shared" si="3"/>
        <v>0.15555159924435921</v>
      </c>
      <c r="T14" s="135" t="s">
        <v>2</v>
      </c>
      <c r="U14" s="131">
        <v>2882757</v>
      </c>
      <c r="V14" s="163">
        <v>2277521</v>
      </c>
      <c r="W14" s="163">
        <v>605236</v>
      </c>
      <c r="X14" s="274">
        <f t="shared" ref="X14:X21" si="6">+R14-U14</f>
        <v>4199605</v>
      </c>
      <c r="Y14" s="149">
        <f t="shared" ref="Y14:Y21" si="7">+ROUND(X14*$E$36,0)</f>
        <v>3317897</v>
      </c>
      <c r="Z14" s="145">
        <f t="shared" ref="Z14:Z21" si="8">+X14-Y14</f>
        <v>881708</v>
      </c>
      <c r="AA14" s="126"/>
      <c r="AB14" s="178" t="s">
        <v>2</v>
      </c>
      <c r="AC14" s="178" t="s">
        <v>196</v>
      </c>
    </row>
    <row r="15" spans="1:29" x14ac:dyDescent="0.35">
      <c r="A15" s="73" t="s">
        <v>11</v>
      </c>
      <c r="B15" s="84" t="s">
        <v>3</v>
      </c>
      <c r="C15" s="67" t="s">
        <v>17</v>
      </c>
      <c r="D15" s="75" t="str">
        <f>VLOOKUP(B15,Categorías!$B$5:$Y$13,24,0)</f>
        <v>Categoría I</v>
      </c>
      <c r="E15" s="39">
        <v>534276</v>
      </c>
      <c r="F15" s="90">
        <f t="shared" si="0"/>
        <v>550304.28</v>
      </c>
      <c r="G15" s="72">
        <f>IFERROR(VLOOKUP(B15,'Publicaciones BD'!$B$4:$E$12,4,0),0)</f>
        <v>244971.28098699701</v>
      </c>
      <c r="H15" s="72">
        <f>IFERROR(VLOOKUP(B15,'Acreditación BD'!$B$4:$K$12,10,0),0)</f>
        <v>300673.95849056594</v>
      </c>
      <c r="I15" s="72">
        <f>IFERROR(VLOOKUP(B15,'Doctorado JC BD'!$B$4:$E$12,4,0),0)</f>
        <v>252753.8059861857</v>
      </c>
      <c r="J15" s="72">
        <f>IFERROR(VLOOKUP(B15,'Programas Doct. Acreditados BD'!$B$4:$E$12,4,0),0)</f>
        <v>336530.72869565216</v>
      </c>
      <c r="K15" s="72">
        <f>IFERROR(VLOOKUP(B15,'Académicos JC BD'!$B$4:$E$12,4,0),0)</f>
        <v>214519.30499999999</v>
      </c>
      <c r="L15" s="72">
        <f>IFERROR(VLOOKUP(B15,'Matrícula Regular Pre BD'!$B$4:$E$12,4,0),0)</f>
        <v>246486.04349468078</v>
      </c>
      <c r="M15" s="117">
        <f t="shared" si="4"/>
        <v>1595935.1226540813</v>
      </c>
      <c r="N15" s="111">
        <v>0</v>
      </c>
      <c r="O15" s="96">
        <f t="shared" si="5"/>
        <v>2146239.4026540816</v>
      </c>
      <c r="P15" s="93">
        <f>IFERROR(VLOOKUP(B15,Indicadores!$B$4:$AH$12,33,0),0)</f>
        <v>3403520</v>
      </c>
      <c r="Q15" s="136">
        <f t="shared" si="1"/>
        <v>5549759.4026540816</v>
      </c>
      <c r="R15" s="136">
        <f t="shared" si="2"/>
        <v>5549759</v>
      </c>
      <c r="S15" s="137">
        <f t="shared" si="3"/>
        <v>0.1218906754372024</v>
      </c>
      <c r="T15" s="135" t="s">
        <v>3</v>
      </c>
      <c r="U15" s="131">
        <v>2160285</v>
      </c>
      <c r="V15" s="163">
        <v>1706733</v>
      </c>
      <c r="W15" s="163">
        <v>453552</v>
      </c>
      <c r="X15" s="274">
        <f t="shared" si="6"/>
        <v>3389474</v>
      </c>
      <c r="Y15" s="149">
        <f t="shared" si="7"/>
        <v>2677853</v>
      </c>
      <c r="Z15" s="145">
        <f t="shared" si="8"/>
        <v>711621</v>
      </c>
      <c r="AA15" s="126"/>
      <c r="AB15" s="178" t="s">
        <v>3</v>
      </c>
      <c r="AC15" s="178" t="s">
        <v>197</v>
      </c>
    </row>
    <row r="16" spans="1:29" x14ac:dyDescent="0.35">
      <c r="A16" s="73" t="s">
        <v>12</v>
      </c>
      <c r="B16" s="84" t="s">
        <v>4</v>
      </c>
      <c r="C16" s="67" t="s">
        <v>17</v>
      </c>
      <c r="D16" s="75" t="str">
        <f>VLOOKUP(B16,Categorías!$B$5:$Y$13,24,0)</f>
        <v>Categoría I</v>
      </c>
      <c r="E16" s="39">
        <v>308805</v>
      </c>
      <c r="F16" s="90">
        <f t="shared" si="0"/>
        <v>318069.15000000002</v>
      </c>
      <c r="G16" s="72">
        <f>IFERROR(VLOOKUP(B16,'Publicaciones BD'!$B$4:$E$12,4,0),0)</f>
        <v>234948.66911026926</v>
      </c>
      <c r="H16" s="72">
        <f>IFERROR(VLOOKUP(B16,'Acreditación BD'!$B$4:$K$12,10,0),0)</f>
        <v>286356.15094339615</v>
      </c>
      <c r="I16" s="72">
        <f>IFERROR(VLOOKUP(B16,'Doctorado JC BD'!$B$4:$E$12,4,0),0)</f>
        <v>307497.7178818112</v>
      </c>
      <c r="J16" s="72">
        <f>IFERROR(VLOOKUP(B16,'Programas Doct. Acreditados BD'!$B$4:$E$12,4,0),0)</f>
        <v>197959.25217391303</v>
      </c>
      <c r="K16" s="72">
        <f>IFERROR(VLOOKUP(B16,'Académicos JC BD'!$B$4:$E$12,4,0),0)</f>
        <v>315941.69750000001</v>
      </c>
      <c r="L16" s="72">
        <f>IFERROR(VLOOKUP(B16,'Matrícula Regular Pre BD'!$B$4:$E$12,4,0),0)</f>
        <v>255170.97887291486</v>
      </c>
      <c r="M16" s="117">
        <f t="shared" si="4"/>
        <v>1597874.4664823045</v>
      </c>
      <c r="N16" s="111">
        <v>50000</v>
      </c>
      <c r="O16" s="96">
        <f t="shared" si="5"/>
        <v>1965943.6164823044</v>
      </c>
      <c r="P16" s="93">
        <f>IFERROR(VLOOKUP(B16,Indicadores!$B$4:$AH$12,33,0),0)</f>
        <v>3524662</v>
      </c>
      <c r="Q16" s="136">
        <f t="shared" si="1"/>
        <v>5490605.6164823044</v>
      </c>
      <c r="R16" s="136">
        <f t="shared" si="2"/>
        <v>5490606</v>
      </c>
      <c r="S16" s="137">
        <f t="shared" si="3"/>
        <v>0.12059148404454249</v>
      </c>
      <c r="T16" s="135" t="s">
        <v>4</v>
      </c>
      <c r="U16" s="131">
        <v>2105816</v>
      </c>
      <c r="V16" s="163">
        <v>1663699</v>
      </c>
      <c r="W16" s="163">
        <v>442117</v>
      </c>
      <c r="X16" s="274">
        <f t="shared" si="6"/>
        <v>3384790</v>
      </c>
      <c r="Y16" s="149">
        <f t="shared" si="7"/>
        <v>2674153</v>
      </c>
      <c r="Z16" s="145">
        <f t="shared" si="8"/>
        <v>710637</v>
      </c>
      <c r="AA16" s="126"/>
      <c r="AB16" s="178" t="s">
        <v>4</v>
      </c>
      <c r="AC16" s="178" t="s">
        <v>198</v>
      </c>
    </row>
    <row r="17" spans="1:29" x14ac:dyDescent="0.35">
      <c r="A17" s="73" t="s">
        <v>13</v>
      </c>
      <c r="B17" s="84" t="s">
        <v>5</v>
      </c>
      <c r="C17" s="67" t="s">
        <v>17</v>
      </c>
      <c r="D17" s="75" t="str">
        <f>VLOOKUP(B17,Categorías!$B$5:$Y$13,24,0)</f>
        <v>Categoría II</v>
      </c>
      <c r="E17" s="39">
        <v>796618</v>
      </c>
      <c r="F17" s="90">
        <f t="shared" si="0"/>
        <v>820516.54</v>
      </c>
      <c r="G17" s="72">
        <f>IFERROR(VLOOKUP(B17,'Publicaciones BD'!$B$4:$E$12,4,0),0)</f>
        <v>187166.44969796253</v>
      </c>
      <c r="H17" s="72">
        <f>IFERROR(VLOOKUP(B17,'Acreditación BD'!$B$4:$K$12,10,0),0)</f>
        <v>286356.15094339615</v>
      </c>
      <c r="I17" s="72">
        <f>IFERROR(VLOOKUP(B17,'Doctorado JC BD'!$B$4:$E$12,4,0),0)</f>
        <v>167143.64589409053</v>
      </c>
      <c r="J17" s="72">
        <f>IFERROR(VLOOKUP(B17,'Programas Doct. Acreditados BD'!$B$4:$E$12,4,0),0)</f>
        <v>118775.55130434781</v>
      </c>
      <c r="K17" s="72">
        <f>IFERROR(VLOOKUP(B17,'Académicos JC BD'!$B$4:$E$12,4,0),0)</f>
        <v>172199.16999999998</v>
      </c>
      <c r="L17" s="72">
        <f>IFERROR(VLOOKUP(B17,'Matrícula Regular Pre BD'!$B$4:$E$12,4,0),0)</f>
        <v>274624.65123859025</v>
      </c>
      <c r="M17" s="117">
        <f t="shared" si="4"/>
        <v>1206265.6190783873</v>
      </c>
      <c r="N17" s="111">
        <v>0</v>
      </c>
      <c r="O17" s="96">
        <f t="shared" si="5"/>
        <v>2026782.1590783873</v>
      </c>
      <c r="P17" s="93">
        <f>IFERROR(VLOOKUP(B17,Indicadores!$B$4:$AH$12,33,0),0)</f>
        <v>2560399</v>
      </c>
      <c r="Q17" s="136">
        <f t="shared" si="1"/>
        <v>4587181.1590783875</v>
      </c>
      <c r="R17" s="136">
        <f t="shared" si="2"/>
        <v>4587181</v>
      </c>
      <c r="S17" s="137">
        <f t="shared" si="3"/>
        <v>0.10074934613245395</v>
      </c>
      <c r="T17" s="135" t="s">
        <v>5</v>
      </c>
      <c r="U17" s="131">
        <v>1900164</v>
      </c>
      <c r="V17" s="163">
        <v>1501224</v>
      </c>
      <c r="W17" s="163">
        <v>398940</v>
      </c>
      <c r="X17" s="274">
        <f t="shared" si="6"/>
        <v>2687017</v>
      </c>
      <c r="Y17" s="149">
        <f t="shared" si="7"/>
        <v>2122877</v>
      </c>
      <c r="Z17" s="145">
        <f t="shared" si="8"/>
        <v>564140</v>
      </c>
      <c r="AA17" s="126"/>
      <c r="AB17" s="178" t="s">
        <v>5</v>
      </c>
      <c r="AC17" s="178" t="s">
        <v>197</v>
      </c>
    </row>
    <row r="18" spans="1:29" x14ac:dyDescent="0.35">
      <c r="A18" s="73" t="s">
        <v>14</v>
      </c>
      <c r="B18" s="84" t="s">
        <v>6</v>
      </c>
      <c r="C18" s="67" t="s">
        <v>17</v>
      </c>
      <c r="D18" s="75" t="str">
        <f>VLOOKUP(B18,Categorías!$B$5:$Y$13,24,0)</f>
        <v>Categoría II</v>
      </c>
      <c r="E18" s="39">
        <v>189862</v>
      </c>
      <c r="F18" s="90">
        <f t="shared" si="0"/>
        <v>195557.86000000002</v>
      </c>
      <c r="G18" s="72">
        <f>IFERROR(VLOOKUP(B18,'Publicaciones BD'!$B$4:$E$12,4,0),0)</f>
        <v>164091.13398177535</v>
      </c>
      <c r="H18" s="72">
        <f>IFERROR(VLOOKUP(B18,'Acreditación BD'!$B$4:$K$12,10,0),0)</f>
        <v>286356.15094339615</v>
      </c>
      <c r="I18" s="72">
        <f>IFERROR(VLOOKUP(B18,'Doctorado JC BD'!$B$4:$E$12,4,0),0)</f>
        <v>140354.07198772064</v>
      </c>
      <c r="J18" s="72">
        <f>IFERROR(VLOOKUP(B18,'Programas Doct. Acreditados BD'!$B$4:$E$12,4,0),0)</f>
        <v>138571.47652173913</v>
      </c>
      <c r="K18" s="72">
        <f>IFERROR(VLOOKUP(B18,'Académicos JC BD'!$B$4:$E$12,4,0),0)</f>
        <v>155417.04749999999</v>
      </c>
      <c r="L18" s="72">
        <f>IFERROR(VLOOKUP(B18,'Matrícula Regular Pre BD'!$B$4:$E$12,4,0),0)</f>
        <v>155818.81543533085</v>
      </c>
      <c r="M18" s="117">
        <f t="shared" si="4"/>
        <v>1040608.6963699622</v>
      </c>
      <c r="N18" s="111">
        <v>0</v>
      </c>
      <c r="O18" s="96">
        <f t="shared" si="5"/>
        <v>1236166.5563699622</v>
      </c>
      <c r="P18" s="93">
        <f>IFERROR(VLOOKUP(B18,Indicadores!$B$4:$AH$12,33,0),0)</f>
        <v>2460540</v>
      </c>
      <c r="Q18" s="136">
        <f t="shared" si="1"/>
        <v>3696706.5563699622</v>
      </c>
      <c r="R18" s="136">
        <f t="shared" si="2"/>
        <v>3696707</v>
      </c>
      <c r="S18" s="137">
        <f t="shared" si="3"/>
        <v>8.1191654110283742E-2</v>
      </c>
      <c r="T18" s="135" t="s">
        <v>6</v>
      </c>
      <c r="U18" s="131">
        <v>1445071</v>
      </c>
      <c r="V18" s="163">
        <v>1141678</v>
      </c>
      <c r="W18" s="163">
        <v>303393</v>
      </c>
      <c r="X18" s="274">
        <f t="shared" si="6"/>
        <v>2251636</v>
      </c>
      <c r="Y18" s="149">
        <f>+ROUND(X18*$E$36,0)+1</f>
        <v>1778905</v>
      </c>
      <c r="Z18" s="145">
        <f t="shared" si="8"/>
        <v>472731</v>
      </c>
      <c r="AA18" s="126"/>
      <c r="AB18" s="178" t="s">
        <v>6</v>
      </c>
      <c r="AC18" s="178" t="s">
        <v>199</v>
      </c>
    </row>
    <row r="19" spans="1:29" x14ac:dyDescent="0.35">
      <c r="A19" s="73" t="s">
        <v>15</v>
      </c>
      <c r="B19" s="84" t="s">
        <v>7</v>
      </c>
      <c r="C19" s="67" t="s">
        <v>17</v>
      </c>
      <c r="D19" s="75" t="str">
        <f>VLOOKUP(B19,Categorías!$B$5:$Y$13,24,0)</f>
        <v>Categoría II</v>
      </c>
      <c r="E19" s="39">
        <v>30330</v>
      </c>
      <c r="F19" s="90">
        <f t="shared" si="0"/>
        <v>31239.9</v>
      </c>
      <c r="G19" s="72">
        <f>IFERROR(VLOOKUP(B19,'Publicaciones BD'!$B$4:$E$12,4,0),0)</f>
        <v>74819.963079758367</v>
      </c>
      <c r="H19" s="72">
        <f>IFERROR(VLOOKUP(B19,'Acreditación BD'!$B$4:$K$12,10,0),0)</f>
        <v>171813.69056603769</v>
      </c>
      <c r="I19" s="72">
        <f>IFERROR(VLOOKUP(B19,'Doctorado JC BD'!$B$4:$E$12,4,0),0)</f>
        <v>108323.05970836531</v>
      </c>
      <c r="J19" s="72">
        <f>IFERROR(VLOOKUP(B19,'Programas Doct. Acreditados BD'!$B$4:$E$12,4,0),0)</f>
        <v>59387.775652173907</v>
      </c>
      <c r="K19" s="72">
        <f>IFERROR(VLOOKUP(B19,'Académicos JC BD'!$B$4:$E$12,4,0),0)</f>
        <v>140094.24</v>
      </c>
      <c r="L19" s="72">
        <f>IFERROR(VLOOKUP(B19,'Matrícula Regular Pre BD'!$B$4:$E$12,4,0),0)</f>
        <v>162143.08045907851</v>
      </c>
      <c r="M19" s="117">
        <f t="shared" si="4"/>
        <v>716581.8094654138</v>
      </c>
      <c r="N19" s="111">
        <v>0</v>
      </c>
      <c r="O19" s="96">
        <f t="shared" si="5"/>
        <v>747821.70946541382</v>
      </c>
      <c r="P19" s="93">
        <f>IFERROR(VLOOKUP(B19,Indicadores!$B$4:$AH$12,33,0),0)</f>
        <v>2084423</v>
      </c>
      <c r="Q19" s="136">
        <f t="shared" si="1"/>
        <v>2832244.7094654138</v>
      </c>
      <c r="R19" s="136">
        <f t="shared" si="2"/>
        <v>2832245</v>
      </c>
      <c r="S19" s="137">
        <f t="shared" si="3"/>
        <v>6.2205269824084128E-2</v>
      </c>
      <c r="T19" s="135" t="s">
        <v>7</v>
      </c>
      <c r="U19" s="131">
        <v>1170243</v>
      </c>
      <c r="V19" s="163">
        <v>924550</v>
      </c>
      <c r="W19" s="163">
        <v>245693</v>
      </c>
      <c r="X19" s="274">
        <f t="shared" si="6"/>
        <v>1662002</v>
      </c>
      <c r="Y19" s="149">
        <f t="shared" si="7"/>
        <v>1313064</v>
      </c>
      <c r="Z19" s="145">
        <f t="shared" si="8"/>
        <v>348938</v>
      </c>
      <c r="AA19" s="126"/>
      <c r="AB19" s="178" t="s">
        <v>7</v>
      </c>
      <c r="AC19" s="178" t="s">
        <v>200</v>
      </c>
    </row>
    <row r="20" spans="1:29" x14ac:dyDescent="0.35">
      <c r="A20" s="73" t="s">
        <v>21</v>
      </c>
      <c r="B20" s="84" t="s">
        <v>18</v>
      </c>
      <c r="C20" s="67" t="s">
        <v>17</v>
      </c>
      <c r="D20" s="75" t="str">
        <f>VLOOKUP(B20,Categorías!$B$5:$Y$13,24,0)</f>
        <v>Categoría II</v>
      </c>
      <c r="E20" s="39">
        <v>95377</v>
      </c>
      <c r="F20" s="90">
        <f t="shared" si="0"/>
        <v>98238.31</v>
      </c>
      <c r="G20" s="72">
        <f>IFERROR(VLOOKUP(B20,'Publicaciones BD'!$B$4:$E$12,4,0),0)</f>
        <v>129361.61840892801</v>
      </c>
      <c r="H20" s="72">
        <f>IFERROR(VLOOKUP(B20,'Acreditación BD'!$B$4:$K$12,10,0),0)</f>
        <v>171813.69056603769</v>
      </c>
      <c r="I20" s="72">
        <f>IFERROR(VLOOKUP(B20,'Doctorado JC BD'!$B$4:$E$12,4,0),0)</f>
        <v>132200.72340752112</v>
      </c>
      <c r="J20" s="72">
        <f>IFERROR(VLOOKUP(B20,'Programas Doct. Acreditados BD'!$B$4:$E$12,4,0),0)</f>
        <v>59387.775652173907</v>
      </c>
      <c r="K20" s="72">
        <f>IFERROR(VLOOKUP(B20,'Académicos JC BD'!$B$4:$E$12,4,0),0)</f>
        <v>151039.10250000001</v>
      </c>
      <c r="L20" s="72">
        <f>IFERROR(VLOOKUP(B20,'Matrícula Regular Pre BD'!$B$4:$E$12,4,0),0)</f>
        <v>164955.48402954693</v>
      </c>
      <c r="M20" s="117">
        <f t="shared" si="4"/>
        <v>808758.39456420776</v>
      </c>
      <c r="N20" s="111">
        <v>0</v>
      </c>
      <c r="O20" s="96">
        <f t="shared" si="5"/>
        <v>906996.7045642077</v>
      </c>
      <c r="P20" s="93">
        <f>IFERROR(VLOOKUP(B20,Indicadores!$B$4:$AH$12,33,0),0)</f>
        <v>2515811</v>
      </c>
      <c r="Q20" s="136">
        <f t="shared" si="1"/>
        <v>3422807.7045642077</v>
      </c>
      <c r="R20" s="136">
        <f t="shared" si="2"/>
        <v>3422808</v>
      </c>
      <c r="S20" s="137">
        <f t="shared" si="3"/>
        <v>7.5175945299941829E-2</v>
      </c>
      <c r="T20" s="135" t="s">
        <v>18</v>
      </c>
      <c r="U20" s="131">
        <v>1280935</v>
      </c>
      <c r="V20" s="163">
        <v>1012002</v>
      </c>
      <c r="W20" s="163">
        <v>268933</v>
      </c>
      <c r="X20" s="274">
        <f t="shared" si="6"/>
        <v>2141873</v>
      </c>
      <c r="Y20" s="149">
        <f t="shared" si="7"/>
        <v>1692186</v>
      </c>
      <c r="Z20" s="145">
        <f t="shared" si="8"/>
        <v>449687</v>
      </c>
      <c r="AA20" s="126"/>
      <c r="AB20" s="178" t="s">
        <v>18</v>
      </c>
      <c r="AC20" s="178" t="s">
        <v>201</v>
      </c>
    </row>
    <row r="21" spans="1:29" ht="15" thickBot="1" x14ac:dyDescent="0.4">
      <c r="A21" s="80" t="s">
        <v>20</v>
      </c>
      <c r="B21" s="85" t="s">
        <v>19</v>
      </c>
      <c r="C21" s="68" t="s">
        <v>17</v>
      </c>
      <c r="D21" s="75" t="str">
        <f>VLOOKUP(B21,Categorías!$B$5:$Y$13,24,0)</f>
        <v>Categoría II</v>
      </c>
      <c r="E21" s="81">
        <v>76198</v>
      </c>
      <c r="F21" s="91">
        <f t="shared" si="0"/>
        <v>78483.94</v>
      </c>
      <c r="G21" s="82">
        <f>IFERROR(VLOOKUP(B21,'Publicaciones BD'!$B$4:$E$12,4,0),0)</f>
        <v>111647.23462680454</v>
      </c>
      <c r="H21" s="82">
        <f>IFERROR(VLOOKUP(B21,'Acreditación BD'!$B$4:$K$12,10,0),0)</f>
        <v>171813.69056603769</v>
      </c>
      <c r="I21" s="82">
        <f>IFERROR(VLOOKUP(B21,'Doctorado JC BD'!$B$4:$E$12,4,0),0)</f>
        <v>112982.11603990791</v>
      </c>
      <c r="J21" s="82">
        <f>IFERROR(VLOOKUP(B21,'Programas Doct. Acreditados BD'!$B$4:$E$12,4,0),0)</f>
        <v>19795.925217391305</v>
      </c>
      <c r="K21" s="82">
        <f>IFERROR(VLOOKUP(B21,'Académicos JC BD'!$B$4:$E$12,4,0),0)</f>
        <v>130608.69249999999</v>
      </c>
      <c r="L21" s="82">
        <f>IFERROR(VLOOKUP(B21,'Matrícula Regular Pre BD'!$B$4:$E$12,4,0),0)</f>
        <v>173319.8345448261</v>
      </c>
      <c r="M21" s="117">
        <f>(G21+H21+I21+J21+K21+L21)</f>
        <v>720167.49349496746</v>
      </c>
      <c r="N21" s="112">
        <v>0</v>
      </c>
      <c r="O21" s="96">
        <f t="shared" si="5"/>
        <v>798651.43349496741</v>
      </c>
      <c r="P21" s="94">
        <f>IFERROR(VLOOKUP(B21,Indicadores!$B$4:$AH$12,33,0),0)</f>
        <v>2344104</v>
      </c>
      <c r="Q21" s="136">
        <f t="shared" si="1"/>
        <v>3142755.4334949674</v>
      </c>
      <c r="R21" s="136">
        <f t="shared" si="2"/>
        <v>3142755</v>
      </c>
      <c r="S21" s="137">
        <f t="shared" si="3"/>
        <v>6.9025074725523231E-2</v>
      </c>
      <c r="T21" s="150" t="s">
        <v>19</v>
      </c>
      <c r="U21" s="131">
        <v>1220967</v>
      </c>
      <c r="V21" s="163">
        <v>964625</v>
      </c>
      <c r="W21" s="163">
        <v>256342</v>
      </c>
      <c r="X21" s="275">
        <f t="shared" si="6"/>
        <v>1921788</v>
      </c>
      <c r="Y21" s="149">
        <f t="shared" si="7"/>
        <v>1518308</v>
      </c>
      <c r="Z21" s="145">
        <f t="shared" si="8"/>
        <v>403480</v>
      </c>
      <c r="AA21" s="126"/>
      <c r="AB21" s="178" t="s">
        <v>19</v>
      </c>
      <c r="AC21" s="178" t="s">
        <v>196</v>
      </c>
    </row>
    <row r="22" spans="1:29" ht="15" thickBot="1" x14ac:dyDescent="0.4">
      <c r="A22" s="221" t="s">
        <v>104</v>
      </c>
      <c r="B22" s="222"/>
      <c r="C22" s="222"/>
      <c r="D22" s="222"/>
      <c r="E22" s="69">
        <f t="shared" ref="E22:G22" si="9">SUM(E13:E21)</f>
        <v>5337700</v>
      </c>
      <c r="F22" s="69">
        <f t="shared" si="9"/>
        <v>5497831.0000000009</v>
      </c>
      <c r="G22" s="70">
        <f t="shared" si="9"/>
        <v>2276531.4</v>
      </c>
      <c r="H22" s="70">
        <f t="shared" ref="H22:M22" si="10">SUM(H13:H21)</f>
        <v>2276531.3999999994</v>
      </c>
      <c r="I22" s="70">
        <f t="shared" si="10"/>
        <v>2276531.4</v>
      </c>
      <c r="J22" s="70">
        <f t="shared" si="10"/>
        <v>2276531.4</v>
      </c>
      <c r="K22" s="70">
        <f t="shared" si="10"/>
        <v>2276531.3999999994</v>
      </c>
      <c r="L22" s="70">
        <f t="shared" si="10"/>
        <v>2276531.4</v>
      </c>
      <c r="M22" s="70">
        <f t="shared" si="10"/>
        <v>13659188.399999999</v>
      </c>
      <c r="N22" s="113">
        <f>SUM(N13:N21)</f>
        <v>50000</v>
      </c>
      <c r="O22" s="97">
        <f t="shared" ref="O22:S22" si="11">SUM(O13:O21)</f>
        <v>19207019.399999995</v>
      </c>
      <c r="P22" s="95">
        <f t="shared" si="11"/>
        <v>26323609</v>
      </c>
      <c r="Q22" s="138">
        <f t="shared" si="11"/>
        <v>45530628.399999999</v>
      </c>
      <c r="R22" s="138">
        <f t="shared" si="11"/>
        <v>45530628</v>
      </c>
      <c r="S22" s="139">
        <f t="shared" si="11"/>
        <v>1.0000000000000002</v>
      </c>
      <c r="T22" s="151" t="s">
        <v>136</v>
      </c>
      <c r="U22" s="152">
        <f t="shared" ref="U22" si="12">SUM(U13:U21)</f>
        <v>18212246</v>
      </c>
      <c r="V22" s="153">
        <f>SUM(V13:V21)</f>
        <v>14388580</v>
      </c>
      <c r="W22" s="153">
        <f>SUM(W13:W21)</f>
        <v>3823666</v>
      </c>
      <c r="X22" s="276">
        <f>+R22-U22</f>
        <v>27318382</v>
      </c>
      <c r="Y22" s="154">
        <f>SUM(Y13:Y21)</f>
        <v>21582881</v>
      </c>
      <c r="Z22" s="155">
        <f>SUM(Z13:Z21)</f>
        <v>5735501</v>
      </c>
      <c r="AA22" s="144"/>
    </row>
    <row r="23" spans="1:29" x14ac:dyDescent="0.35"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>
        <f>+D27-R22</f>
        <v>0</v>
      </c>
      <c r="X23" s="132"/>
      <c r="Y23" s="140"/>
      <c r="Z23" s="140"/>
    </row>
    <row r="24" spans="1:29" x14ac:dyDescent="0.35"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X24" s="126"/>
    </row>
    <row r="25" spans="1:29" ht="15" customHeight="1" x14ac:dyDescent="0.35">
      <c r="E25" s="259" t="s">
        <v>119</v>
      </c>
      <c r="F25" s="260"/>
      <c r="G25" s="260"/>
      <c r="H25" s="261"/>
      <c r="I25" s="232" t="s">
        <v>120</v>
      </c>
      <c r="V25" s="128"/>
      <c r="W25" s="128"/>
    </row>
    <row r="26" spans="1:29" ht="26" x14ac:dyDescent="0.35">
      <c r="A26" s="86" t="s">
        <v>74</v>
      </c>
      <c r="B26" s="86" t="s">
        <v>111</v>
      </c>
      <c r="C26" s="86" t="s">
        <v>112</v>
      </c>
      <c r="D26" s="86" t="s">
        <v>176</v>
      </c>
      <c r="E26" s="87" t="s">
        <v>121</v>
      </c>
      <c r="F26" s="12" t="s">
        <v>118</v>
      </c>
      <c r="G26" s="114" t="s">
        <v>122</v>
      </c>
      <c r="H26" s="118" t="s">
        <v>62</v>
      </c>
      <c r="I26" s="233"/>
      <c r="N26" s="37"/>
      <c r="O26" s="37"/>
      <c r="P26" s="37"/>
      <c r="Q26" s="37"/>
      <c r="V26" s="128"/>
      <c r="W26" s="128"/>
    </row>
    <row r="27" spans="1:29" x14ac:dyDescent="0.35">
      <c r="A27" s="40" t="s">
        <v>217</v>
      </c>
      <c r="B27" s="41">
        <v>35971461</v>
      </c>
      <c r="C27" s="41">
        <v>9559167</v>
      </c>
      <c r="D27" s="41">
        <f>B27+C27</f>
        <v>45530628</v>
      </c>
      <c r="E27" s="123">
        <f>F22</f>
        <v>5497831.0000000009</v>
      </c>
      <c r="F27" s="123">
        <f>M22</f>
        <v>13659188.399999999</v>
      </c>
      <c r="G27" s="134">
        <v>50000</v>
      </c>
      <c r="H27" s="123">
        <f>E27+F27+G27</f>
        <v>19207019.399999999</v>
      </c>
      <c r="I27" s="123">
        <f>D27-H27</f>
        <v>26323608.600000001</v>
      </c>
      <c r="N27" s="38"/>
      <c r="O27" s="38"/>
      <c r="P27" s="38"/>
      <c r="Q27" s="38"/>
    </row>
    <row r="28" spans="1:29" x14ac:dyDescent="0.35">
      <c r="A28" s="141"/>
      <c r="B28" s="142"/>
      <c r="C28" s="142"/>
      <c r="D28" s="143"/>
      <c r="E28" s="143"/>
    </row>
    <row r="30" spans="1:29" x14ac:dyDescent="0.35">
      <c r="A30" s="16" t="s">
        <v>113</v>
      </c>
      <c r="B30" s="41">
        <f>30%*D27</f>
        <v>13659188.4</v>
      </c>
    </row>
    <row r="31" spans="1:29" x14ac:dyDescent="0.35">
      <c r="A31" s="16" t="s">
        <v>73</v>
      </c>
      <c r="B31" s="17">
        <v>0.03</v>
      </c>
    </row>
    <row r="35" spans="1:7" x14ac:dyDescent="0.35">
      <c r="A35" s="127" t="s">
        <v>59</v>
      </c>
      <c r="B35" s="127" t="s">
        <v>224</v>
      </c>
      <c r="C35" s="127" t="s">
        <v>223</v>
      </c>
      <c r="D35" s="127" t="s">
        <v>226</v>
      </c>
      <c r="F35" s="127" t="s">
        <v>225</v>
      </c>
      <c r="G35" s="127" t="s">
        <v>226</v>
      </c>
    </row>
    <row r="36" spans="1:7" x14ac:dyDescent="0.35">
      <c r="A36" s="127" t="s">
        <v>221</v>
      </c>
      <c r="B36" s="271">
        <v>35971461</v>
      </c>
      <c r="C36" s="271">
        <f>+V22</f>
        <v>14388580</v>
      </c>
      <c r="D36" s="271">
        <f>+B36-C36</f>
        <v>21582881</v>
      </c>
      <c r="E36" s="272">
        <f>+D36/D38</f>
        <v>0.79004975477683859</v>
      </c>
      <c r="F36" s="273">
        <f>+Y22</f>
        <v>21582881</v>
      </c>
      <c r="G36" s="273">
        <f>+D36-F36</f>
        <v>0</v>
      </c>
    </row>
    <row r="37" spans="1:7" x14ac:dyDescent="0.35">
      <c r="A37" s="127" t="s">
        <v>222</v>
      </c>
      <c r="B37" s="271">
        <v>9559167</v>
      </c>
      <c r="C37" s="271">
        <f>+W22</f>
        <v>3823666</v>
      </c>
      <c r="D37" s="271">
        <f t="shared" ref="D37:D38" si="13">+B37-C37</f>
        <v>5735501</v>
      </c>
      <c r="E37" s="272">
        <f>1-E36</f>
        <v>0.20995024522316141</v>
      </c>
      <c r="F37" s="273">
        <f>+Z22</f>
        <v>5735501</v>
      </c>
      <c r="G37" s="273">
        <f t="shared" ref="G37:G38" si="14">+D37-F37</f>
        <v>0</v>
      </c>
    </row>
    <row r="38" spans="1:7" x14ac:dyDescent="0.35">
      <c r="B38" s="271">
        <f>SUM(B36:B37)</f>
        <v>45530628</v>
      </c>
      <c r="C38" s="271">
        <f>SUM(C36:C37)</f>
        <v>18212246</v>
      </c>
      <c r="D38" s="271">
        <f t="shared" si="13"/>
        <v>27318382</v>
      </c>
      <c r="F38" s="273">
        <f>SUM(F36:F37)</f>
        <v>27318382</v>
      </c>
      <c r="G38" s="273">
        <f t="shared" si="14"/>
        <v>0</v>
      </c>
    </row>
  </sheetData>
  <sortState xmlns:xlrd2="http://schemas.microsoft.com/office/spreadsheetml/2017/richdata2" ref="A13:T21">
    <sortCondition descending="1" ref="R13:R21"/>
  </sortState>
  <mergeCells count="20">
    <mergeCell ref="I25:I26"/>
    <mergeCell ref="S10:S12"/>
    <mergeCell ref="P10:P12"/>
    <mergeCell ref="Q10:Q12"/>
    <mergeCell ref="E11:F11"/>
    <mergeCell ref="G11:M11"/>
    <mergeCell ref="O10:O12"/>
    <mergeCell ref="R10:R12"/>
    <mergeCell ref="N11:N12"/>
    <mergeCell ref="E10:N10"/>
    <mergeCell ref="E25:H25"/>
    <mergeCell ref="U11:W11"/>
    <mergeCell ref="X11:Z11"/>
    <mergeCell ref="T11:T12"/>
    <mergeCell ref="T10:Z10"/>
    <mergeCell ref="A22:D22"/>
    <mergeCell ref="A10:A12"/>
    <mergeCell ref="B10:B12"/>
    <mergeCell ref="C10:C12"/>
    <mergeCell ref="D10:D12"/>
  </mergeCells>
  <phoneticPr fontId="14" type="noConversion"/>
  <pageMargins left="0.31496062992125984" right="0.31496062992125984" top="0.74803149606299213" bottom="0.74803149606299213" header="0.31496062992125984" footer="0.31496062992125984"/>
  <pageSetup paperSize="14" scale="65" orientation="landscape" r:id="rId1"/>
  <headerFooter>
    <oddFooter>&amp;F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6A21F-2B49-40D6-BE2C-24172982283F}">
  <sheetPr>
    <tabColor theme="3" tint="0.59999389629810485"/>
  </sheetPr>
  <dimension ref="A1:M27"/>
  <sheetViews>
    <sheetView topLeftCell="A5" zoomScale="80" zoomScaleNormal="80" workbookViewId="0">
      <selection activeCell="A8" sqref="A8"/>
    </sheetView>
  </sheetViews>
  <sheetFormatPr baseColWidth="10" defaultRowHeight="14.5" x14ac:dyDescent="0.35"/>
  <cols>
    <col min="1" max="1" width="48" customWidth="1"/>
    <col min="2" max="2" width="15.81640625" customWidth="1"/>
    <col min="3" max="3" width="16.54296875" customWidth="1"/>
    <col min="4" max="4" width="15.453125" customWidth="1"/>
    <col min="5" max="5" width="14" customWidth="1"/>
    <col min="6" max="6" width="15.7265625" customWidth="1"/>
    <col min="7" max="7" width="14.7265625" customWidth="1"/>
    <col min="8" max="8" width="14.1796875" customWidth="1"/>
    <col min="9" max="10" width="13.453125" customWidth="1"/>
    <col min="11" max="11" width="2.26953125" customWidth="1"/>
    <col min="12" max="12" width="7.453125" bestFit="1" customWidth="1"/>
    <col min="13" max="13" width="31.453125" bestFit="1" customWidth="1"/>
  </cols>
  <sheetData>
    <row r="1" spans="1:13" ht="92.25" customHeight="1" x14ac:dyDescent="0.35"/>
    <row r="2" spans="1:13" ht="18.5" x14ac:dyDescent="0.45">
      <c r="A2" s="164" t="s">
        <v>127</v>
      </c>
    </row>
    <row r="3" spans="1:13" ht="18.5" x14ac:dyDescent="0.45">
      <c r="A3" s="164" t="s">
        <v>184</v>
      </c>
    </row>
    <row r="4" spans="1:13" ht="18.5" x14ac:dyDescent="0.45">
      <c r="A4" s="165">
        <v>0.4</v>
      </c>
    </row>
    <row r="5" spans="1:13" ht="18.5" x14ac:dyDescent="0.45">
      <c r="A5" s="164" t="s">
        <v>128</v>
      </c>
    </row>
    <row r="6" spans="1:13" x14ac:dyDescent="0.35">
      <c r="A6" s="166" t="s">
        <v>185</v>
      </c>
      <c r="B6" s="15"/>
    </row>
    <row r="7" spans="1:13" ht="15" thickBot="1" x14ac:dyDescent="0.4">
      <c r="A7" s="166" t="s">
        <v>203</v>
      </c>
      <c r="B7" s="15"/>
    </row>
    <row r="8" spans="1:13" ht="33" customHeight="1" x14ac:dyDescent="0.35">
      <c r="B8" s="15"/>
      <c r="C8" s="263" t="s">
        <v>186</v>
      </c>
      <c r="D8" s="263"/>
      <c r="E8" s="263"/>
      <c r="F8" s="263"/>
      <c r="G8" s="264" t="s">
        <v>155</v>
      </c>
      <c r="H8" s="265"/>
      <c r="I8" s="265"/>
      <c r="J8" s="266"/>
    </row>
    <row r="9" spans="1:13" ht="55.5" customHeight="1" thickBot="1" x14ac:dyDescent="0.4">
      <c r="C9" s="167" t="s">
        <v>187</v>
      </c>
      <c r="D9" s="167" t="s">
        <v>188</v>
      </c>
      <c r="E9" s="227" t="s">
        <v>189</v>
      </c>
      <c r="F9" s="227"/>
      <c r="G9" s="267"/>
      <c r="H9" s="268"/>
      <c r="I9" s="268"/>
      <c r="J9" s="269"/>
    </row>
    <row r="10" spans="1:13" ht="64.5" customHeight="1" x14ac:dyDescent="0.35">
      <c r="A10" s="133" t="s">
        <v>8</v>
      </c>
      <c r="B10" s="133" t="s">
        <v>190</v>
      </c>
      <c r="C10" s="133" t="s">
        <v>143</v>
      </c>
      <c r="D10" s="133" t="s">
        <v>219</v>
      </c>
      <c r="E10" s="133" t="s">
        <v>130</v>
      </c>
      <c r="F10" s="133" t="s">
        <v>131</v>
      </c>
      <c r="G10" s="168" t="s">
        <v>191</v>
      </c>
      <c r="H10" s="169" t="s">
        <v>192</v>
      </c>
      <c r="I10" s="170" t="s">
        <v>178</v>
      </c>
      <c r="J10" s="171" t="s">
        <v>179</v>
      </c>
      <c r="L10" s="172" t="s">
        <v>193</v>
      </c>
      <c r="M10" s="172" t="s">
        <v>194</v>
      </c>
    </row>
    <row r="11" spans="1:13" x14ac:dyDescent="0.35">
      <c r="A11" s="40" t="s">
        <v>9</v>
      </c>
      <c r="B11" s="84" t="s">
        <v>1</v>
      </c>
      <c r="C11" s="173">
        <v>3844945</v>
      </c>
      <c r="D11" s="116">
        <v>5670596</v>
      </c>
      <c r="E11" s="124">
        <v>9515541</v>
      </c>
      <c r="F11" s="125">
        <f t="shared" ref="F11:F19" si="0">E11/$E$20</f>
        <v>0.22215859667066351</v>
      </c>
      <c r="G11" s="174">
        <f>+F11*$B$27</f>
        <v>4046008.1688056076</v>
      </c>
      <c r="H11" s="175">
        <f>TRUNC(G11,0)</f>
        <v>4046008</v>
      </c>
      <c r="I11" s="176">
        <f>+ROUND(H11*$C$24,0)</f>
        <v>3196548</v>
      </c>
      <c r="J11" s="177">
        <f>+H11-I11</f>
        <v>849460</v>
      </c>
      <c r="L11" s="178" t="s">
        <v>1</v>
      </c>
      <c r="M11" s="178" t="s">
        <v>195</v>
      </c>
    </row>
    <row r="12" spans="1:13" x14ac:dyDescent="0.35">
      <c r="A12" s="40" t="s">
        <v>10</v>
      </c>
      <c r="B12" s="84" t="s">
        <v>2</v>
      </c>
      <c r="C12" s="173">
        <v>2726882</v>
      </c>
      <c r="D12" s="116">
        <v>4052887</v>
      </c>
      <c r="E12" s="124">
        <v>6779769</v>
      </c>
      <c r="F12" s="125">
        <f t="shared" si="0"/>
        <v>0.15828674026955142</v>
      </c>
      <c r="G12" s="174">
        <f t="shared" ref="G12:G19" si="1">+F12*$B$27</f>
        <v>2882757.8754182262</v>
      </c>
      <c r="H12" s="175">
        <f t="shared" ref="H12:H19" si="2">TRUNC(G12,0)</f>
        <v>2882757</v>
      </c>
      <c r="I12" s="176">
        <f t="shared" ref="I12:I19" si="3">+ROUND(H12*$C$24,0)</f>
        <v>2277521</v>
      </c>
      <c r="J12" s="177">
        <f t="shared" ref="J12:J19" si="4">+H12-I12</f>
        <v>605236</v>
      </c>
      <c r="L12" s="178" t="s">
        <v>2</v>
      </c>
      <c r="M12" s="178" t="s">
        <v>196</v>
      </c>
    </row>
    <row r="13" spans="1:13" x14ac:dyDescent="0.35">
      <c r="A13" s="40" t="s">
        <v>11</v>
      </c>
      <c r="B13" s="84" t="s">
        <v>3</v>
      </c>
      <c r="C13" s="173">
        <v>2095137</v>
      </c>
      <c r="D13" s="116">
        <v>2985497</v>
      </c>
      <c r="E13" s="124">
        <v>5080634</v>
      </c>
      <c r="F13" s="125">
        <f t="shared" si="0"/>
        <v>0.11861716739355753</v>
      </c>
      <c r="G13" s="174">
        <f t="shared" si="1"/>
        <v>2160285.6492039189</v>
      </c>
      <c r="H13" s="175">
        <f t="shared" si="2"/>
        <v>2160285</v>
      </c>
      <c r="I13" s="176">
        <f t="shared" si="3"/>
        <v>1706733</v>
      </c>
      <c r="J13" s="177">
        <f t="shared" si="4"/>
        <v>453552</v>
      </c>
      <c r="L13" s="178" t="s">
        <v>3</v>
      </c>
      <c r="M13" s="178" t="s">
        <v>197</v>
      </c>
    </row>
    <row r="14" spans="1:13" x14ac:dyDescent="0.35">
      <c r="A14" s="40" t="s">
        <v>12</v>
      </c>
      <c r="B14" s="84" t="s">
        <v>4</v>
      </c>
      <c r="C14" s="173">
        <v>1970659</v>
      </c>
      <c r="D14" s="116">
        <v>2981873</v>
      </c>
      <c r="E14" s="124">
        <v>4952532</v>
      </c>
      <c r="F14" s="125">
        <f t="shared" si="0"/>
        <v>0.11562637994902807</v>
      </c>
      <c r="G14" s="174">
        <f t="shared" si="1"/>
        <v>2105816.6769783422</v>
      </c>
      <c r="H14" s="175">
        <f t="shared" si="2"/>
        <v>2105816</v>
      </c>
      <c r="I14" s="176">
        <f t="shared" si="3"/>
        <v>1663699</v>
      </c>
      <c r="J14" s="177">
        <f t="shared" si="4"/>
        <v>442117</v>
      </c>
      <c r="L14" s="178" t="s">
        <v>4</v>
      </c>
      <c r="M14" s="178" t="s">
        <v>198</v>
      </c>
    </row>
    <row r="15" spans="1:13" x14ac:dyDescent="0.35">
      <c r="A15" s="40" t="s">
        <v>13</v>
      </c>
      <c r="B15" s="84" t="s">
        <v>5</v>
      </c>
      <c r="C15" s="173">
        <v>1815466</v>
      </c>
      <c r="D15" s="116">
        <v>2653405</v>
      </c>
      <c r="E15" s="124">
        <v>4468871</v>
      </c>
      <c r="F15" s="125">
        <f t="shared" si="0"/>
        <v>0.10433438414717826</v>
      </c>
      <c r="G15" s="174">
        <f t="shared" si="1"/>
        <v>1900164.0128857081</v>
      </c>
      <c r="H15" s="175">
        <f t="shared" si="2"/>
        <v>1900164</v>
      </c>
      <c r="I15" s="176">
        <f t="shared" si="3"/>
        <v>1501224</v>
      </c>
      <c r="J15" s="177">
        <f t="shared" si="4"/>
        <v>398940</v>
      </c>
      <c r="L15" s="178" t="s">
        <v>5</v>
      </c>
      <c r="M15" s="178" t="s">
        <v>197</v>
      </c>
    </row>
    <row r="16" spans="1:13" x14ac:dyDescent="0.35">
      <c r="A16" s="40" t="s">
        <v>14</v>
      </c>
      <c r="B16" s="84" t="s">
        <v>6</v>
      </c>
      <c r="C16" s="173">
        <v>1364786</v>
      </c>
      <c r="D16" s="116">
        <v>2033783</v>
      </c>
      <c r="E16" s="124">
        <v>3398569</v>
      </c>
      <c r="F16" s="125">
        <f t="shared" si="0"/>
        <v>7.934612648176495E-2</v>
      </c>
      <c r="G16" s="174">
        <f t="shared" si="1"/>
        <v>1445071.5872328754</v>
      </c>
      <c r="H16" s="175">
        <f t="shared" si="2"/>
        <v>1445071</v>
      </c>
      <c r="I16" s="176">
        <f t="shared" si="3"/>
        <v>1141678</v>
      </c>
      <c r="J16" s="177">
        <f t="shared" si="4"/>
        <v>303393</v>
      </c>
      <c r="L16" s="178" t="s">
        <v>6</v>
      </c>
      <c r="M16" s="178" t="s">
        <v>199</v>
      </c>
    </row>
    <row r="17" spans="1:13" x14ac:dyDescent="0.35">
      <c r="A17" s="40" t="s">
        <v>15</v>
      </c>
      <c r="B17" s="84" t="s">
        <v>7</v>
      </c>
      <c r="C17" s="173">
        <v>1154978</v>
      </c>
      <c r="D17" s="116">
        <v>1597242</v>
      </c>
      <c r="E17" s="124">
        <v>2752220</v>
      </c>
      <c r="F17" s="125">
        <f t="shared" si="0"/>
        <v>6.4255866579623108E-2</v>
      </c>
      <c r="G17" s="174">
        <f t="shared" si="1"/>
        <v>1170243.9832217807</v>
      </c>
      <c r="H17" s="175">
        <f t="shared" si="2"/>
        <v>1170243</v>
      </c>
      <c r="I17" s="176">
        <f t="shared" si="3"/>
        <v>924550</v>
      </c>
      <c r="J17" s="177">
        <f t="shared" si="4"/>
        <v>245693</v>
      </c>
      <c r="L17" s="178" t="s">
        <v>7</v>
      </c>
      <c r="M17" s="178" t="s">
        <v>200</v>
      </c>
    </row>
    <row r="18" spans="1:13" x14ac:dyDescent="0.35">
      <c r="A18" s="40" t="s">
        <v>21</v>
      </c>
      <c r="B18" s="84" t="s">
        <v>18</v>
      </c>
      <c r="C18" s="173">
        <v>1167163</v>
      </c>
      <c r="D18" s="116">
        <v>1845385</v>
      </c>
      <c r="E18" s="124">
        <v>3012548</v>
      </c>
      <c r="F18" s="125">
        <f t="shared" si="0"/>
        <v>7.0333724176377774E-2</v>
      </c>
      <c r="G18" s="174">
        <f t="shared" si="1"/>
        <v>1280935.4525317051</v>
      </c>
      <c r="H18" s="175">
        <f t="shared" si="2"/>
        <v>1280935</v>
      </c>
      <c r="I18" s="176">
        <f t="shared" si="3"/>
        <v>1012002</v>
      </c>
      <c r="J18" s="177">
        <f t="shared" si="4"/>
        <v>268933</v>
      </c>
      <c r="L18" s="178" t="s">
        <v>18</v>
      </c>
      <c r="M18" s="178" t="s">
        <v>201</v>
      </c>
    </row>
    <row r="19" spans="1:13" ht="15" thickBot="1" x14ac:dyDescent="0.4">
      <c r="A19" s="40" t="s">
        <v>20</v>
      </c>
      <c r="B19" s="84" t="s">
        <v>19</v>
      </c>
      <c r="C19" s="173">
        <v>992857</v>
      </c>
      <c r="D19" s="116">
        <v>1878657</v>
      </c>
      <c r="E19" s="124">
        <v>2871514</v>
      </c>
      <c r="F19" s="125">
        <f t="shared" si="0"/>
        <v>6.7041014332255372E-2</v>
      </c>
      <c r="G19" s="179">
        <f t="shared" si="1"/>
        <v>1220967.7937218351</v>
      </c>
      <c r="H19" s="180">
        <f t="shared" si="2"/>
        <v>1220967</v>
      </c>
      <c r="I19" s="176">
        <f t="shared" si="3"/>
        <v>964625</v>
      </c>
      <c r="J19" s="177">
        <f t="shared" si="4"/>
        <v>256342</v>
      </c>
      <c r="L19" s="178" t="s">
        <v>19</v>
      </c>
      <c r="M19" s="178" t="s">
        <v>196</v>
      </c>
    </row>
    <row r="20" spans="1:13" ht="15" thickBot="1" x14ac:dyDescent="0.4">
      <c r="A20" s="262" t="s">
        <v>104</v>
      </c>
      <c r="B20" s="262"/>
      <c r="C20" s="116">
        <v>17132873</v>
      </c>
      <c r="D20" s="116">
        <v>25699325</v>
      </c>
      <c r="E20" s="124">
        <v>42832198</v>
      </c>
      <c r="F20" s="125">
        <f>SUM(F11:F19)</f>
        <v>1</v>
      </c>
      <c r="G20" s="181">
        <f t="shared" ref="G20:J20" si="5">SUM(G11:G19)</f>
        <v>18212251.199999999</v>
      </c>
      <c r="H20" s="182">
        <f t="shared" si="5"/>
        <v>18212246</v>
      </c>
      <c r="I20" s="183">
        <f t="shared" si="5"/>
        <v>14388580</v>
      </c>
      <c r="J20" s="184">
        <f t="shared" si="5"/>
        <v>3823666</v>
      </c>
    </row>
    <row r="21" spans="1:13" x14ac:dyDescent="0.35">
      <c r="G21" s="60"/>
      <c r="H21" s="185">
        <f>B27-H20</f>
        <v>5.1999999992549419</v>
      </c>
      <c r="J21" s="186">
        <f>SUM(I20:J20)-H20</f>
        <v>0</v>
      </c>
    </row>
    <row r="23" spans="1:13" x14ac:dyDescent="0.35">
      <c r="A23" s="187" t="s">
        <v>202</v>
      </c>
      <c r="B23" s="188" t="s">
        <v>59</v>
      </c>
      <c r="E23" s="127" t="s">
        <v>132</v>
      </c>
      <c r="F23" s="127" t="s">
        <v>133</v>
      </c>
    </row>
    <row r="24" spans="1:13" x14ac:dyDescent="0.35">
      <c r="A24" s="189" t="s">
        <v>111</v>
      </c>
      <c r="B24" s="190">
        <v>35971461</v>
      </c>
      <c r="C24" s="128">
        <f>+B24/B26</f>
        <v>0.79004974409753359</v>
      </c>
      <c r="E24" s="129">
        <f>+I20</f>
        <v>14388580</v>
      </c>
      <c r="F24" s="130">
        <f>+B24-E24</f>
        <v>21582881</v>
      </c>
      <c r="H24" s="128">
        <f>+F24/F26</f>
        <v>0.79004975477683859</v>
      </c>
    </row>
    <row r="25" spans="1:13" x14ac:dyDescent="0.35">
      <c r="A25" s="189" t="s">
        <v>112</v>
      </c>
      <c r="B25" s="190">
        <v>9559167</v>
      </c>
      <c r="C25" s="128">
        <f>+B25/B26</f>
        <v>0.20995025590246635</v>
      </c>
      <c r="E25" s="129">
        <f>+J20</f>
        <v>3823666</v>
      </c>
      <c r="F25" s="130">
        <f>+B25-E25</f>
        <v>5735501</v>
      </c>
      <c r="H25" s="128">
        <f>+F25/F26</f>
        <v>0.20995024522316147</v>
      </c>
    </row>
    <row r="26" spans="1:13" x14ac:dyDescent="0.35">
      <c r="A26" s="191" t="s">
        <v>134</v>
      </c>
      <c r="B26" s="192">
        <f>SUM(B24:B25)</f>
        <v>45530628</v>
      </c>
      <c r="E26" s="129">
        <f>SUM(E24:E25)</f>
        <v>18212246</v>
      </c>
      <c r="F26" s="129">
        <f>SUM(F24:F25)</f>
        <v>27318382</v>
      </c>
    </row>
    <row r="27" spans="1:13" x14ac:dyDescent="0.35">
      <c r="A27" s="193" t="s">
        <v>135</v>
      </c>
      <c r="B27" s="194">
        <f>B26*0.4</f>
        <v>18212251.199999999</v>
      </c>
    </row>
  </sheetData>
  <mergeCells count="4">
    <mergeCell ref="A20:B20"/>
    <mergeCell ref="C8:F8"/>
    <mergeCell ref="G8:J9"/>
    <mergeCell ref="E9:F9"/>
  </mergeCells>
  <pageMargins left="0.31496062992125984" right="0.31496062992125984" top="0.74803149606299213" bottom="0.74803149606299213" header="0.31496062992125984" footer="0.31496062992125984"/>
  <pageSetup paperSize="14" scale="7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AA29"/>
  <sheetViews>
    <sheetView topLeftCell="F1" workbookViewId="0">
      <selection activeCell="Y16" sqref="Y16"/>
    </sheetView>
  </sheetViews>
  <sheetFormatPr baseColWidth="10" defaultRowHeight="14.5" x14ac:dyDescent="0.35"/>
  <cols>
    <col min="1" max="1" width="47" customWidth="1"/>
    <col min="2" max="2" width="14.1796875" customWidth="1"/>
    <col min="3" max="3" width="13.453125" customWidth="1"/>
    <col min="4" max="10" width="6.7265625" customWidth="1"/>
    <col min="11" max="11" width="9.453125" customWidth="1"/>
    <col min="12" max="19" width="6.7265625" customWidth="1"/>
    <col min="20" max="20" width="8.26953125" customWidth="1"/>
    <col min="21" max="22" width="9" customWidth="1"/>
    <col min="23" max="23" width="8.453125" customWidth="1"/>
    <col min="24" max="25" width="11.26953125" customWidth="1"/>
    <col min="26" max="26" width="23.453125" bestFit="1" customWidth="1"/>
  </cols>
  <sheetData>
    <row r="1" spans="1:27" x14ac:dyDescent="0.35">
      <c r="A1" s="15" t="s">
        <v>204</v>
      </c>
    </row>
    <row r="2" spans="1:27" x14ac:dyDescent="0.35">
      <c r="B2" s="119">
        <v>1</v>
      </c>
      <c r="C2" s="119">
        <v>2</v>
      </c>
      <c r="D2" s="119">
        <v>3</v>
      </c>
      <c r="E2" s="119">
        <v>4</v>
      </c>
      <c r="F2" s="119">
        <v>5</v>
      </c>
      <c r="G2" s="119">
        <v>6</v>
      </c>
      <c r="H2" s="119">
        <v>7</v>
      </c>
      <c r="I2" s="119">
        <v>8</v>
      </c>
      <c r="J2" s="119">
        <v>9</v>
      </c>
      <c r="K2" s="119">
        <v>10</v>
      </c>
      <c r="L2" s="119">
        <v>11</v>
      </c>
      <c r="M2" s="119">
        <v>12</v>
      </c>
      <c r="N2" s="119">
        <v>13</v>
      </c>
      <c r="O2" s="119">
        <v>14</v>
      </c>
      <c r="P2" s="119">
        <v>15</v>
      </c>
      <c r="Q2" s="119">
        <v>16</v>
      </c>
      <c r="R2" s="119">
        <v>17</v>
      </c>
      <c r="S2" s="119">
        <v>18</v>
      </c>
      <c r="T2" s="119">
        <v>19</v>
      </c>
      <c r="U2" s="119">
        <v>20</v>
      </c>
      <c r="V2" s="119">
        <v>21</v>
      </c>
      <c r="W2" s="119">
        <v>22</v>
      </c>
      <c r="X2" s="119">
        <v>23</v>
      </c>
      <c r="Y2" s="119">
        <v>24</v>
      </c>
      <c r="Z2" s="119">
        <v>25</v>
      </c>
    </row>
    <row r="3" spans="1:27" ht="35.25" customHeight="1" x14ac:dyDescent="0.35">
      <c r="B3" s="71"/>
      <c r="C3" s="71"/>
      <c r="D3" s="270" t="s">
        <v>108</v>
      </c>
      <c r="E3" s="270"/>
      <c r="F3" s="270"/>
      <c r="G3" s="270"/>
      <c r="H3" s="270"/>
      <c r="I3" s="270"/>
      <c r="J3" s="270"/>
      <c r="K3" s="270"/>
      <c r="L3" s="270" t="s">
        <v>114</v>
      </c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71"/>
    </row>
    <row r="4" spans="1:27" ht="39.5" x14ac:dyDescent="0.35">
      <c r="A4" s="19" t="s">
        <v>8</v>
      </c>
      <c r="B4" t="s">
        <v>107</v>
      </c>
      <c r="C4" s="19" t="s">
        <v>16</v>
      </c>
      <c r="D4" s="98">
        <v>2</v>
      </c>
      <c r="E4" s="98">
        <v>3</v>
      </c>
      <c r="F4" s="98">
        <v>4</v>
      </c>
      <c r="G4" s="98">
        <v>5</v>
      </c>
      <c r="H4" s="98">
        <v>6</v>
      </c>
      <c r="I4" s="98">
        <v>7</v>
      </c>
      <c r="J4" s="98">
        <v>9</v>
      </c>
      <c r="K4" s="99" t="s">
        <v>22</v>
      </c>
      <c r="L4" s="102">
        <v>2</v>
      </c>
      <c r="M4" s="102">
        <v>3</v>
      </c>
      <c r="N4" s="102">
        <v>4</v>
      </c>
      <c r="O4" s="102">
        <v>5</v>
      </c>
      <c r="P4" s="102">
        <v>6</v>
      </c>
      <c r="Q4" s="102">
        <v>7</v>
      </c>
      <c r="R4" s="102">
        <v>8</v>
      </c>
      <c r="S4" s="102">
        <v>9</v>
      </c>
      <c r="T4" s="103" t="s">
        <v>109</v>
      </c>
      <c r="U4" s="87" t="s">
        <v>110</v>
      </c>
      <c r="V4" s="87" t="s">
        <v>23</v>
      </c>
      <c r="W4" s="197" t="s">
        <v>24</v>
      </c>
      <c r="X4" s="197" t="s">
        <v>154</v>
      </c>
      <c r="Y4" s="197" t="s">
        <v>25</v>
      </c>
      <c r="Z4" s="197" t="s">
        <v>56</v>
      </c>
    </row>
    <row r="5" spans="1:27" x14ac:dyDescent="0.35">
      <c r="A5" s="1" t="s">
        <v>9</v>
      </c>
      <c r="B5" s="1" t="s">
        <v>1</v>
      </c>
      <c r="C5" s="2" t="s">
        <v>17</v>
      </c>
      <c r="D5" s="100">
        <v>0</v>
      </c>
      <c r="E5" s="100">
        <v>0</v>
      </c>
      <c r="F5" s="100">
        <v>0</v>
      </c>
      <c r="G5" s="100">
        <v>0</v>
      </c>
      <c r="H5" s="100">
        <v>1</v>
      </c>
      <c r="I5" s="100">
        <v>0</v>
      </c>
      <c r="J5" s="100">
        <v>0</v>
      </c>
      <c r="K5" s="100">
        <f>SUM(D5:J5)</f>
        <v>1</v>
      </c>
      <c r="L5" s="104">
        <v>0</v>
      </c>
      <c r="M5" s="104">
        <v>6</v>
      </c>
      <c r="N5" s="104">
        <v>5</v>
      </c>
      <c r="O5" s="104">
        <v>6</v>
      </c>
      <c r="P5" s="104">
        <v>6</v>
      </c>
      <c r="Q5" s="104">
        <v>9</v>
      </c>
      <c r="R5" s="104">
        <v>6</v>
      </c>
      <c r="S5" s="104">
        <v>0</v>
      </c>
      <c r="T5" s="104">
        <f>SUM(L5:S5)</f>
        <v>38</v>
      </c>
      <c r="U5" s="106">
        <f>K5+T5</f>
        <v>39</v>
      </c>
      <c r="V5" s="106">
        <f>SUM(G5:J5)</f>
        <v>1</v>
      </c>
      <c r="W5" s="195">
        <f>T5+V5</f>
        <v>39</v>
      </c>
      <c r="X5" s="196">
        <v>3202</v>
      </c>
      <c r="Y5" s="195" t="str">
        <f t="shared" ref="Y5:Y13" si="0">IF(AND(W5&gt;=10,X5&gt;=300),"Categoría I",IF(AND(W5&gt;=1,X5&gt;=100),"Categoría II","Categoría III"))</f>
        <v>Categoría I</v>
      </c>
      <c r="Z5" s="195" t="str">
        <f t="shared" ref="Z5:Z13" si="1">CONCATENATE(C5,Y5)</f>
        <v>CRUCH-PRIVADACategoría I</v>
      </c>
      <c r="AA5" t="s">
        <v>1</v>
      </c>
    </row>
    <row r="6" spans="1:27" x14ac:dyDescent="0.35">
      <c r="A6" s="1" t="s">
        <v>11</v>
      </c>
      <c r="B6" s="1" t="s">
        <v>3</v>
      </c>
      <c r="C6" s="2" t="s">
        <v>17</v>
      </c>
      <c r="D6" s="100">
        <v>0</v>
      </c>
      <c r="E6" s="100">
        <v>0</v>
      </c>
      <c r="F6" s="100">
        <v>0</v>
      </c>
      <c r="G6" s="100">
        <v>1</v>
      </c>
      <c r="H6" s="100">
        <v>2</v>
      </c>
      <c r="I6" s="100">
        <v>0</v>
      </c>
      <c r="J6" s="100">
        <v>1</v>
      </c>
      <c r="K6" s="100">
        <f t="shared" ref="K6:K13" si="2">SUM(D6:J6)</f>
        <v>4</v>
      </c>
      <c r="L6" s="104">
        <v>0</v>
      </c>
      <c r="M6" s="104">
        <v>3</v>
      </c>
      <c r="N6" s="104">
        <v>4</v>
      </c>
      <c r="O6" s="104">
        <v>4</v>
      </c>
      <c r="P6" s="104">
        <v>0</v>
      </c>
      <c r="Q6" s="104">
        <v>1</v>
      </c>
      <c r="R6" s="104">
        <v>1</v>
      </c>
      <c r="S6" s="104">
        <v>0</v>
      </c>
      <c r="T6" s="104">
        <f t="shared" ref="T6:T13" si="3">SUM(L6:S6)</f>
        <v>13</v>
      </c>
      <c r="U6" s="106">
        <f t="shared" ref="U6:U13" si="4">K6+T6</f>
        <v>17</v>
      </c>
      <c r="V6" s="106">
        <f t="shared" ref="V6:V13" si="5">SUM(G6:J6)</f>
        <v>4</v>
      </c>
      <c r="W6" s="195">
        <f t="shared" ref="W6:W13" si="6">T6+V6</f>
        <v>17</v>
      </c>
      <c r="X6" s="196">
        <v>1051</v>
      </c>
      <c r="Y6" s="195" t="str">
        <f t="shared" si="0"/>
        <v>Categoría I</v>
      </c>
      <c r="Z6" s="195" t="str">
        <f t="shared" si="1"/>
        <v>CRUCH-PRIVADACategoría I</v>
      </c>
      <c r="AA6" t="s">
        <v>3</v>
      </c>
    </row>
    <row r="7" spans="1:27" x14ac:dyDescent="0.35">
      <c r="A7" s="1" t="s">
        <v>12</v>
      </c>
      <c r="B7" s="1" t="s">
        <v>4</v>
      </c>
      <c r="C7" s="2" t="s">
        <v>17</v>
      </c>
      <c r="D7" s="100">
        <v>1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f t="shared" si="2"/>
        <v>1</v>
      </c>
      <c r="L7" s="104">
        <v>0</v>
      </c>
      <c r="M7" s="104">
        <v>2</v>
      </c>
      <c r="N7" s="104">
        <v>4</v>
      </c>
      <c r="O7" s="104">
        <v>0</v>
      </c>
      <c r="P7" s="104">
        <v>3</v>
      </c>
      <c r="Q7" s="104">
        <v>1</v>
      </c>
      <c r="R7" s="104">
        <v>0</v>
      </c>
      <c r="S7" s="104">
        <v>0</v>
      </c>
      <c r="T7" s="104">
        <f t="shared" si="3"/>
        <v>10</v>
      </c>
      <c r="U7" s="106">
        <f t="shared" si="4"/>
        <v>11</v>
      </c>
      <c r="V7" s="106">
        <f t="shared" si="5"/>
        <v>0</v>
      </c>
      <c r="W7" s="195">
        <f t="shared" si="6"/>
        <v>10</v>
      </c>
      <c r="X7" s="196">
        <v>1008</v>
      </c>
      <c r="Y7" s="195" t="str">
        <f t="shared" si="0"/>
        <v>Categoría I</v>
      </c>
      <c r="Z7" s="195" t="str">
        <f t="shared" si="1"/>
        <v>CRUCH-PRIVADACategoría I</v>
      </c>
      <c r="AA7" t="s">
        <v>4</v>
      </c>
    </row>
    <row r="8" spans="1:27" x14ac:dyDescent="0.35">
      <c r="A8" s="1" t="s">
        <v>20</v>
      </c>
      <c r="B8" s="1" t="s">
        <v>19</v>
      </c>
      <c r="C8" s="2" t="s">
        <v>17</v>
      </c>
      <c r="D8" s="100">
        <v>0</v>
      </c>
      <c r="E8" s="100">
        <v>0</v>
      </c>
      <c r="F8" s="100">
        <v>1</v>
      </c>
      <c r="G8" s="100">
        <v>0</v>
      </c>
      <c r="H8" s="100">
        <v>0</v>
      </c>
      <c r="I8" s="100">
        <v>0</v>
      </c>
      <c r="J8" s="100">
        <v>0</v>
      </c>
      <c r="K8" s="100">
        <f t="shared" si="2"/>
        <v>1</v>
      </c>
      <c r="L8" s="104">
        <v>0</v>
      </c>
      <c r="M8" s="104">
        <v>0</v>
      </c>
      <c r="N8" s="104">
        <v>1</v>
      </c>
      <c r="O8" s="104">
        <v>0</v>
      </c>
      <c r="P8" s="104">
        <v>0</v>
      </c>
      <c r="Q8" s="104">
        <v>0</v>
      </c>
      <c r="R8" s="104">
        <v>0</v>
      </c>
      <c r="S8" s="104">
        <v>0</v>
      </c>
      <c r="T8" s="104">
        <f t="shared" si="3"/>
        <v>1</v>
      </c>
      <c r="U8" s="106">
        <f t="shared" si="4"/>
        <v>2</v>
      </c>
      <c r="V8" s="106">
        <f t="shared" si="5"/>
        <v>0</v>
      </c>
      <c r="W8" s="195">
        <f t="shared" si="6"/>
        <v>1</v>
      </c>
      <c r="X8" s="196">
        <v>479</v>
      </c>
      <c r="Y8" s="195" t="str">
        <f t="shared" si="0"/>
        <v>Categoría II</v>
      </c>
      <c r="Z8" s="195" t="str">
        <f t="shared" si="1"/>
        <v>CRUCH-PRIVADACategoría II</v>
      </c>
      <c r="AA8" t="s">
        <v>19</v>
      </c>
    </row>
    <row r="9" spans="1:27" x14ac:dyDescent="0.35">
      <c r="A9" s="1" t="s">
        <v>15</v>
      </c>
      <c r="B9" s="1" t="s">
        <v>7</v>
      </c>
      <c r="C9" s="2" t="s">
        <v>17</v>
      </c>
      <c r="D9" s="100">
        <v>0</v>
      </c>
      <c r="E9" s="100">
        <v>0</v>
      </c>
      <c r="F9" s="100">
        <v>1</v>
      </c>
      <c r="G9" s="100">
        <v>0</v>
      </c>
      <c r="H9" s="100">
        <v>0</v>
      </c>
      <c r="I9" s="100">
        <v>0</v>
      </c>
      <c r="J9" s="100">
        <v>0</v>
      </c>
      <c r="K9" s="100">
        <f t="shared" si="2"/>
        <v>1</v>
      </c>
      <c r="L9" s="104">
        <v>1</v>
      </c>
      <c r="M9" s="104">
        <v>1</v>
      </c>
      <c r="N9" s="104">
        <v>1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f t="shared" si="3"/>
        <v>3</v>
      </c>
      <c r="U9" s="106">
        <f t="shared" si="4"/>
        <v>4</v>
      </c>
      <c r="V9" s="106">
        <f t="shared" si="5"/>
        <v>0</v>
      </c>
      <c r="W9" s="195">
        <f t="shared" si="6"/>
        <v>3</v>
      </c>
      <c r="X9" s="196">
        <v>321</v>
      </c>
      <c r="Y9" s="195" t="str">
        <f t="shared" si="0"/>
        <v>Categoría II</v>
      </c>
      <c r="Z9" s="195" t="str">
        <f t="shared" si="1"/>
        <v>CRUCH-PRIVADACategoría II</v>
      </c>
      <c r="AA9" t="s">
        <v>7</v>
      </c>
    </row>
    <row r="10" spans="1:27" x14ac:dyDescent="0.35">
      <c r="A10" s="1" t="s">
        <v>21</v>
      </c>
      <c r="B10" s="1" t="s">
        <v>18</v>
      </c>
      <c r="C10" s="2" t="s">
        <v>17</v>
      </c>
      <c r="D10" s="100">
        <v>0</v>
      </c>
      <c r="E10" s="100">
        <v>0</v>
      </c>
      <c r="F10" s="100">
        <v>1</v>
      </c>
      <c r="G10" s="100">
        <v>0</v>
      </c>
      <c r="H10" s="100">
        <v>0</v>
      </c>
      <c r="I10" s="100">
        <v>0</v>
      </c>
      <c r="J10" s="100">
        <v>0</v>
      </c>
      <c r="K10" s="100">
        <f t="shared" si="2"/>
        <v>1</v>
      </c>
      <c r="L10" s="104">
        <v>1</v>
      </c>
      <c r="M10" s="104">
        <v>0</v>
      </c>
      <c r="N10" s="104">
        <v>1</v>
      </c>
      <c r="O10" s="104">
        <v>1</v>
      </c>
      <c r="P10" s="104">
        <v>0</v>
      </c>
      <c r="Q10" s="104">
        <v>0</v>
      </c>
      <c r="R10" s="104">
        <v>0</v>
      </c>
      <c r="S10" s="104">
        <v>0</v>
      </c>
      <c r="T10" s="104">
        <f t="shared" si="3"/>
        <v>3</v>
      </c>
      <c r="U10" s="106">
        <f t="shared" si="4"/>
        <v>4</v>
      </c>
      <c r="V10" s="106">
        <f t="shared" si="5"/>
        <v>0</v>
      </c>
      <c r="W10" s="195">
        <f t="shared" si="6"/>
        <v>3</v>
      </c>
      <c r="X10" s="196">
        <v>555</v>
      </c>
      <c r="Y10" s="195" t="str">
        <f t="shared" si="0"/>
        <v>Categoría II</v>
      </c>
      <c r="Z10" s="195" t="str">
        <f t="shared" si="1"/>
        <v>CRUCH-PRIVADACategoría II</v>
      </c>
      <c r="AA10" t="s">
        <v>18</v>
      </c>
    </row>
    <row r="11" spans="1:27" x14ac:dyDescent="0.35">
      <c r="A11" s="1" t="s">
        <v>14</v>
      </c>
      <c r="B11" s="1" t="s">
        <v>6</v>
      </c>
      <c r="C11" s="2" t="s">
        <v>17</v>
      </c>
      <c r="D11" s="100">
        <v>0</v>
      </c>
      <c r="E11" s="100">
        <v>1</v>
      </c>
      <c r="F11" s="100">
        <v>0</v>
      </c>
      <c r="G11" s="100">
        <v>3</v>
      </c>
      <c r="H11" s="100">
        <v>0</v>
      </c>
      <c r="I11" s="100">
        <v>0</v>
      </c>
      <c r="J11" s="100">
        <v>0</v>
      </c>
      <c r="K11" s="100">
        <f t="shared" si="2"/>
        <v>4</v>
      </c>
      <c r="L11" s="104">
        <v>0</v>
      </c>
      <c r="M11" s="104">
        <v>1</v>
      </c>
      <c r="N11" s="104">
        <v>3</v>
      </c>
      <c r="O11" s="104">
        <v>0</v>
      </c>
      <c r="P11" s="104">
        <v>0</v>
      </c>
      <c r="Q11" s="104">
        <v>0</v>
      </c>
      <c r="R11" s="104">
        <v>0</v>
      </c>
      <c r="S11" s="104">
        <v>0</v>
      </c>
      <c r="T11" s="104">
        <f t="shared" si="3"/>
        <v>4</v>
      </c>
      <c r="U11" s="106">
        <f t="shared" si="4"/>
        <v>8</v>
      </c>
      <c r="V11" s="106">
        <f t="shared" si="5"/>
        <v>3</v>
      </c>
      <c r="W11" s="195">
        <f t="shared" si="6"/>
        <v>7</v>
      </c>
      <c r="X11" s="196">
        <v>704</v>
      </c>
      <c r="Y11" s="195" t="str">
        <f t="shared" si="0"/>
        <v>Categoría II</v>
      </c>
      <c r="Z11" s="195" t="str">
        <f t="shared" si="1"/>
        <v>CRUCH-PRIVADACategoría II</v>
      </c>
      <c r="AA11" t="s">
        <v>6</v>
      </c>
    </row>
    <row r="12" spans="1:27" x14ac:dyDescent="0.35">
      <c r="A12" s="1" t="s">
        <v>10</v>
      </c>
      <c r="B12" s="1" t="s">
        <v>2</v>
      </c>
      <c r="C12" s="2" t="s">
        <v>17</v>
      </c>
      <c r="D12" s="100">
        <v>0</v>
      </c>
      <c r="E12" s="100">
        <v>0</v>
      </c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f t="shared" si="2"/>
        <v>0</v>
      </c>
      <c r="L12" s="104">
        <v>2</v>
      </c>
      <c r="M12" s="104">
        <v>4</v>
      </c>
      <c r="N12" s="104">
        <v>4</v>
      </c>
      <c r="O12" s="104">
        <v>5</v>
      </c>
      <c r="P12" s="104">
        <v>5</v>
      </c>
      <c r="Q12" s="104">
        <v>6</v>
      </c>
      <c r="R12" s="104">
        <v>3</v>
      </c>
      <c r="S12" s="104">
        <v>0</v>
      </c>
      <c r="T12" s="104">
        <f t="shared" si="3"/>
        <v>29</v>
      </c>
      <c r="U12" s="106">
        <f t="shared" si="4"/>
        <v>29</v>
      </c>
      <c r="V12" s="106">
        <f t="shared" si="5"/>
        <v>0</v>
      </c>
      <c r="W12" s="195">
        <f t="shared" si="6"/>
        <v>29</v>
      </c>
      <c r="X12" s="196">
        <v>1644</v>
      </c>
      <c r="Y12" s="195" t="str">
        <f t="shared" si="0"/>
        <v>Categoría I</v>
      </c>
      <c r="Z12" s="195" t="str">
        <f t="shared" si="1"/>
        <v>CRUCH-PRIVADACategoría I</v>
      </c>
      <c r="AA12" t="s">
        <v>2</v>
      </c>
    </row>
    <row r="13" spans="1:27" x14ac:dyDescent="0.35">
      <c r="A13" s="1" t="s">
        <v>13</v>
      </c>
      <c r="B13" s="1" t="s">
        <v>5</v>
      </c>
      <c r="C13" s="2" t="s">
        <v>17</v>
      </c>
      <c r="D13" s="100">
        <v>0</v>
      </c>
      <c r="E13" s="100">
        <v>0</v>
      </c>
      <c r="F13" s="100">
        <v>1</v>
      </c>
      <c r="G13" s="100">
        <v>0</v>
      </c>
      <c r="H13" s="100">
        <v>2</v>
      </c>
      <c r="I13" s="100">
        <v>0</v>
      </c>
      <c r="J13" s="100">
        <v>1</v>
      </c>
      <c r="K13" s="100">
        <f t="shared" si="2"/>
        <v>4</v>
      </c>
      <c r="L13" s="104">
        <v>1</v>
      </c>
      <c r="M13" s="104">
        <v>1</v>
      </c>
      <c r="N13" s="104">
        <v>0</v>
      </c>
      <c r="O13" s="104">
        <v>0</v>
      </c>
      <c r="P13" s="104">
        <v>0</v>
      </c>
      <c r="Q13" s="104">
        <v>0</v>
      </c>
      <c r="R13" s="104">
        <v>1</v>
      </c>
      <c r="S13" s="104">
        <v>0</v>
      </c>
      <c r="T13" s="104">
        <f t="shared" si="3"/>
        <v>3</v>
      </c>
      <c r="U13" s="106">
        <f t="shared" si="4"/>
        <v>7</v>
      </c>
      <c r="V13" s="106">
        <f t="shared" si="5"/>
        <v>3</v>
      </c>
      <c r="W13" s="195">
        <f t="shared" si="6"/>
        <v>6</v>
      </c>
      <c r="X13" s="196">
        <v>803</v>
      </c>
      <c r="Y13" s="195" t="str">
        <f t="shared" si="0"/>
        <v>Categoría II</v>
      </c>
      <c r="Z13" s="195" t="str">
        <f t="shared" si="1"/>
        <v>CRUCH-PRIVADACategoría II</v>
      </c>
      <c r="AA13" t="s">
        <v>5</v>
      </c>
    </row>
    <row r="14" spans="1:27" x14ac:dyDescent="0.35">
      <c r="A14" s="1"/>
      <c r="B14" s="1"/>
      <c r="C14" s="2" t="s">
        <v>104</v>
      </c>
      <c r="D14" s="101">
        <f>SUM(D5:D13)</f>
        <v>1</v>
      </c>
      <c r="E14" s="101">
        <f t="shared" ref="E14:K14" si="7">SUM(E5:E13)</f>
        <v>1</v>
      </c>
      <c r="F14" s="101">
        <f t="shared" si="7"/>
        <v>4</v>
      </c>
      <c r="G14" s="101">
        <f t="shared" si="7"/>
        <v>4</v>
      </c>
      <c r="H14" s="101">
        <f t="shared" si="7"/>
        <v>5</v>
      </c>
      <c r="I14" s="101">
        <f t="shared" si="7"/>
        <v>0</v>
      </c>
      <c r="J14" s="101">
        <f t="shared" si="7"/>
        <v>2</v>
      </c>
      <c r="K14" s="101">
        <f t="shared" si="7"/>
        <v>17</v>
      </c>
      <c r="L14" s="105">
        <f t="shared" ref="L14:X14" si="8">SUM(L5:L13)</f>
        <v>5</v>
      </c>
      <c r="M14" s="105">
        <f t="shared" si="8"/>
        <v>18</v>
      </c>
      <c r="N14" s="105">
        <f t="shared" si="8"/>
        <v>23</v>
      </c>
      <c r="O14" s="105">
        <f t="shared" si="8"/>
        <v>16</v>
      </c>
      <c r="P14" s="105">
        <f t="shared" si="8"/>
        <v>14</v>
      </c>
      <c r="Q14" s="105">
        <f t="shared" si="8"/>
        <v>17</v>
      </c>
      <c r="R14" s="105">
        <f t="shared" si="8"/>
        <v>11</v>
      </c>
      <c r="S14" s="105">
        <f t="shared" si="8"/>
        <v>0</v>
      </c>
      <c r="T14" s="105">
        <f t="shared" si="8"/>
        <v>104</v>
      </c>
      <c r="U14" s="107">
        <f t="shared" si="8"/>
        <v>121</v>
      </c>
      <c r="V14" s="107">
        <f t="shared" si="8"/>
        <v>11</v>
      </c>
      <c r="W14" s="198">
        <f t="shared" si="8"/>
        <v>115</v>
      </c>
      <c r="X14" s="199">
        <f t="shared" si="8"/>
        <v>9767</v>
      </c>
      <c r="Y14" s="1"/>
    </row>
    <row r="17" spans="1:6" x14ac:dyDescent="0.35">
      <c r="A17" s="7" t="s">
        <v>51</v>
      </c>
      <c r="B17" s="7" t="s">
        <v>57</v>
      </c>
      <c r="C17" s="7" t="s">
        <v>55</v>
      </c>
      <c r="F17" s="7"/>
    </row>
    <row r="18" spans="1:6" x14ac:dyDescent="0.35">
      <c r="A18" s="1" t="s">
        <v>52</v>
      </c>
      <c r="B18" s="1">
        <f>COUNTIF($Z$4:$Z$13,A18)</f>
        <v>4</v>
      </c>
      <c r="C18" s="1">
        <f>(3*$B$18)+(2*$B$19)+$B$20</f>
        <v>22</v>
      </c>
      <c r="F18" s="5"/>
    </row>
    <row r="19" spans="1:6" x14ac:dyDescent="0.35">
      <c r="A19" s="1" t="s">
        <v>53</v>
      </c>
      <c r="B19" s="1">
        <f>COUNTIF($Z$4:$Z$13,A19)</f>
        <v>5</v>
      </c>
      <c r="C19" s="1">
        <f>(3*$B$18)+(2*$B$19)+$B$20</f>
        <v>22</v>
      </c>
      <c r="F19" s="5"/>
    </row>
    <row r="20" spans="1:6" x14ac:dyDescent="0.35">
      <c r="A20" s="1" t="s">
        <v>54</v>
      </c>
      <c r="B20" s="1">
        <f>COUNTIF($Z$4:$Z$13,A20)</f>
        <v>0</v>
      </c>
      <c r="C20" s="1">
        <f>(3*$B$18)+(2*$B$19)+$B$20</f>
        <v>22</v>
      </c>
      <c r="F20" s="5"/>
    </row>
    <row r="21" spans="1:6" x14ac:dyDescent="0.35">
      <c r="A21" s="1"/>
      <c r="B21" s="1">
        <f>SUM(B18:B20)</f>
        <v>9</v>
      </c>
      <c r="C21" s="1"/>
      <c r="F21" s="6"/>
    </row>
    <row r="23" spans="1:6" x14ac:dyDescent="0.35">
      <c r="A23" s="7" t="s">
        <v>58</v>
      </c>
      <c r="B23" s="7" t="s">
        <v>59</v>
      </c>
    </row>
    <row r="24" spans="1:6" x14ac:dyDescent="0.35">
      <c r="A24" s="1" t="s">
        <v>17</v>
      </c>
      <c r="B24" s="61">
        <f>'Montos BD 2023'!I27</f>
        <v>26323608.600000001</v>
      </c>
    </row>
    <row r="25" spans="1:6" x14ac:dyDescent="0.35">
      <c r="A25" s="7" t="s">
        <v>25</v>
      </c>
      <c r="B25" s="7" t="s">
        <v>60</v>
      </c>
      <c r="C25" s="7" t="s">
        <v>71</v>
      </c>
    </row>
    <row r="26" spans="1:6" x14ac:dyDescent="0.35">
      <c r="A26" s="1" t="s">
        <v>52</v>
      </c>
      <c r="B26" s="57">
        <f>($B$24*3*B18)/C18</f>
        <v>14358331.963636367</v>
      </c>
      <c r="C26" s="57">
        <f>ROUND(B26,0)</f>
        <v>14358332</v>
      </c>
    </row>
    <row r="27" spans="1:6" x14ac:dyDescent="0.35">
      <c r="A27" s="1" t="s">
        <v>53</v>
      </c>
      <c r="B27" s="57">
        <f>($B$24*2*B19)/C19</f>
        <v>11965276.636363637</v>
      </c>
      <c r="C27" s="57">
        <f>ROUND(B27,0)</f>
        <v>11965277</v>
      </c>
    </row>
    <row r="28" spans="1:6" x14ac:dyDescent="0.35">
      <c r="A28" s="1" t="s">
        <v>54</v>
      </c>
      <c r="B28" s="57">
        <f>($B$24*1*B20)/C20</f>
        <v>0</v>
      </c>
      <c r="C28" s="57">
        <f>ROUND(B28,0)</f>
        <v>0</v>
      </c>
    </row>
    <row r="29" spans="1:6" x14ac:dyDescent="0.35">
      <c r="B29" s="58">
        <f>SUM(B26:B28)</f>
        <v>26323608.600000001</v>
      </c>
      <c r="C29" s="58">
        <f>SUM(C26:C28)</f>
        <v>26323609</v>
      </c>
    </row>
  </sheetData>
  <mergeCells count="2">
    <mergeCell ref="D3:K3"/>
    <mergeCell ref="L3:V3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  <ignoredErrors>
    <ignoredError sqref="K14:X14 D14:H1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A20"/>
  <sheetViews>
    <sheetView topLeftCell="I1" zoomScale="90" zoomScaleNormal="90" workbookViewId="0">
      <selection activeCell="Y15" sqref="Y15"/>
    </sheetView>
  </sheetViews>
  <sheetFormatPr baseColWidth="10" defaultRowHeight="14.5" x14ac:dyDescent="0.35"/>
  <cols>
    <col min="1" max="1" width="46.54296875" bestFit="1" customWidth="1"/>
    <col min="4" max="4" width="12.81640625" customWidth="1"/>
  </cols>
  <sheetData>
    <row r="1" spans="1:27" x14ac:dyDescent="0.35">
      <c r="E1" t="s">
        <v>139</v>
      </c>
      <c r="F1" t="s">
        <v>139</v>
      </c>
      <c r="G1" t="s">
        <v>139</v>
      </c>
      <c r="H1" t="s">
        <v>139</v>
      </c>
      <c r="I1" t="s">
        <v>139</v>
      </c>
      <c r="J1" t="s">
        <v>139</v>
      </c>
      <c r="K1" t="s">
        <v>140</v>
      </c>
      <c r="L1" t="s">
        <v>140</v>
      </c>
      <c r="M1" t="s">
        <v>140</v>
      </c>
      <c r="N1" t="s">
        <v>139</v>
      </c>
      <c r="O1" t="s">
        <v>139</v>
      </c>
      <c r="P1" t="s">
        <v>139</v>
      </c>
      <c r="Q1" t="s">
        <v>139</v>
      </c>
      <c r="R1" t="s">
        <v>139</v>
      </c>
      <c r="S1" t="s">
        <v>139</v>
      </c>
      <c r="T1" t="s">
        <v>139</v>
      </c>
      <c r="U1" t="s">
        <v>139</v>
      </c>
      <c r="V1" t="s">
        <v>139</v>
      </c>
      <c r="W1" t="s">
        <v>139</v>
      </c>
      <c r="X1" t="s">
        <v>141</v>
      </c>
      <c r="Y1" t="s">
        <v>141</v>
      </c>
    </row>
    <row r="2" spans="1:27" x14ac:dyDescent="0.35">
      <c r="E2" s="120">
        <v>1</v>
      </c>
      <c r="F2" s="120">
        <v>2</v>
      </c>
      <c r="G2" s="120">
        <v>3</v>
      </c>
      <c r="H2" s="120">
        <v>4</v>
      </c>
      <c r="I2" s="120">
        <v>5</v>
      </c>
      <c r="J2" s="120">
        <v>6</v>
      </c>
      <c r="K2" s="120">
        <v>7</v>
      </c>
      <c r="L2" s="120">
        <v>8</v>
      </c>
      <c r="M2" s="120">
        <v>9</v>
      </c>
      <c r="N2" s="120">
        <v>10</v>
      </c>
      <c r="O2" s="120">
        <v>11</v>
      </c>
      <c r="P2" s="120">
        <v>12</v>
      </c>
      <c r="Q2" s="120">
        <v>13</v>
      </c>
      <c r="R2" s="120">
        <v>14</v>
      </c>
      <c r="S2" s="120">
        <v>15</v>
      </c>
      <c r="T2" s="120">
        <v>16</v>
      </c>
      <c r="U2" s="120">
        <v>17</v>
      </c>
      <c r="V2" s="120">
        <v>18</v>
      </c>
      <c r="W2" s="120">
        <v>19</v>
      </c>
      <c r="X2" s="120">
        <v>20</v>
      </c>
      <c r="Y2" s="120">
        <v>21</v>
      </c>
    </row>
    <row r="3" spans="1:27" ht="31.5" x14ac:dyDescent="0.35">
      <c r="A3" s="19" t="s">
        <v>8</v>
      </c>
      <c r="B3" s="19" t="s">
        <v>0</v>
      </c>
      <c r="C3" s="19" t="s">
        <v>16</v>
      </c>
      <c r="D3" s="7" t="s">
        <v>25</v>
      </c>
      <c r="E3" s="204" t="s">
        <v>157</v>
      </c>
      <c r="F3" s="204" t="s">
        <v>158</v>
      </c>
      <c r="G3" s="204" t="s">
        <v>159</v>
      </c>
      <c r="H3" s="204" t="s">
        <v>160</v>
      </c>
      <c r="I3" s="204" t="s">
        <v>161</v>
      </c>
      <c r="J3" s="204" t="s">
        <v>162</v>
      </c>
      <c r="K3" s="204" t="s">
        <v>163</v>
      </c>
      <c r="L3" s="204" t="s">
        <v>164</v>
      </c>
      <c r="M3" s="204" t="s">
        <v>165</v>
      </c>
      <c r="N3" s="204" t="s">
        <v>166</v>
      </c>
      <c r="O3" s="204" t="s">
        <v>167</v>
      </c>
      <c r="P3" s="204" t="s">
        <v>168</v>
      </c>
      <c r="Q3" s="205" t="s">
        <v>205</v>
      </c>
      <c r="R3" s="204" t="s">
        <v>169</v>
      </c>
      <c r="S3" s="204" t="s">
        <v>170</v>
      </c>
      <c r="T3" s="204" t="s">
        <v>171</v>
      </c>
      <c r="U3" s="204" t="s">
        <v>123</v>
      </c>
      <c r="V3" s="204" t="s">
        <v>142</v>
      </c>
      <c r="W3" s="204" t="s">
        <v>172</v>
      </c>
      <c r="X3" s="204" t="s">
        <v>173</v>
      </c>
      <c r="Y3" s="204" t="s">
        <v>145</v>
      </c>
    </row>
    <row r="4" spans="1:27" x14ac:dyDescent="0.35">
      <c r="A4" s="200" t="str">
        <f>Categorías!A5</f>
        <v>PONTIFICIA UNIVERSIDAD CATÓLICA DE CHILE</v>
      </c>
      <c r="B4" s="200" t="str">
        <f>Categorías!B5</f>
        <v>PUC</v>
      </c>
      <c r="C4" s="201" t="str">
        <f>Categorías!C5</f>
        <v>CRUCH-PRIVADA</v>
      </c>
      <c r="D4" s="200" t="str">
        <f>Categorías!Y5</f>
        <v>Categoría I</v>
      </c>
      <c r="E4" s="157">
        <v>1565</v>
      </c>
      <c r="F4" s="157">
        <v>36731</v>
      </c>
      <c r="G4" s="157">
        <v>1121.4659090909372</v>
      </c>
      <c r="H4" s="157">
        <v>2260.3613636368846</v>
      </c>
      <c r="I4" s="158">
        <v>532.77045454579434</v>
      </c>
      <c r="J4" s="158">
        <v>399.43181818183677</v>
      </c>
      <c r="K4" s="157">
        <v>3202</v>
      </c>
      <c r="L4" s="157">
        <v>177911</v>
      </c>
      <c r="M4" s="157">
        <v>14200</v>
      </c>
      <c r="N4" s="159">
        <v>1657</v>
      </c>
      <c r="O4" s="159">
        <v>5951</v>
      </c>
      <c r="P4" s="159">
        <v>5279</v>
      </c>
      <c r="Q4" s="159">
        <v>5780</v>
      </c>
      <c r="R4" s="160">
        <v>4501</v>
      </c>
      <c r="S4" s="160">
        <v>5643</v>
      </c>
      <c r="T4" s="157">
        <v>30</v>
      </c>
      <c r="U4" s="157">
        <v>216</v>
      </c>
      <c r="V4" s="157">
        <v>216</v>
      </c>
      <c r="W4" s="157">
        <v>217</v>
      </c>
      <c r="X4" s="157">
        <v>16</v>
      </c>
      <c r="Y4" s="157">
        <v>16</v>
      </c>
      <c r="Z4" s="42"/>
      <c r="AA4" s="43"/>
    </row>
    <row r="5" spans="1:27" x14ac:dyDescent="0.35">
      <c r="A5" s="200" t="str">
        <f>Categorías!A6</f>
        <v>PONTIFICIA UNIVERSIDAD CATÓLICA DE VALPARAÍSO</v>
      </c>
      <c r="B5" s="200" t="str">
        <f>Categorías!B6</f>
        <v>UCV</v>
      </c>
      <c r="C5" s="201" t="str">
        <f>Categorías!C6</f>
        <v>CRUCH-PRIVADA</v>
      </c>
      <c r="D5" s="200" t="str">
        <f>Categorías!Y6</f>
        <v>Categoría I</v>
      </c>
      <c r="E5" s="157">
        <v>576</v>
      </c>
      <c r="F5" s="157">
        <v>18351</v>
      </c>
      <c r="G5" s="157">
        <v>435.10568181816433</v>
      </c>
      <c r="H5" s="157">
        <v>665.51477272727766</v>
      </c>
      <c r="I5" s="158">
        <v>155.37840909092614</v>
      </c>
      <c r="J5" s="158">
        <v>0.10340909091</v>
      </c>
      <c r="K5" s="157">
        <v>1051</v>
      </c>
      <c r="L5" s="157">
        <v>32291</v>
      </c>
      <c r="M5" s="157">
        <v>4322</v>
      </c>
      <c r="N5" s="159">
        <v>1911</v>
      </c>
      <c r="O5" s="159">
        <v>3023</v>
      </c>
      <c r="P5" s="159">
        <v>2982</v>
      </c>
      <c r="Q5" s="159">
        <v>3383</v>
      </c>
      <c r="R5" s="160">
        <v>2512</v>
      </c>
      <c r="S5" s="160">
        <v>3569</v>
      </c>
      <c r="T5" s="157">
        <v>7</v>
      </c>
      <c r="U5" s="157">
        <v>60</v>
      </c>
      <c r="V5" s="157">
        <v>64</v>
      </c>
      <c r="W5" s="157">
        <v>47</v>
      </c>
      <c r="X5" s="157">
        <v>0</v>
      </c>
      <c r="Y5" s="157">
        <v>1</v>
      </c>
      <c r="Z5" s="42"/>
      <c r="AA5" s="43"/>
    </row>
    <row r="6" spans="1:27" x14ac:dyDescent="0.35">
      <c r="A6" s="200" t="str">
        <f>Categorías!A7</f>
        <v>UNIVERSIDAD AUSTRAL DE CHILE</v>
      </c>
      <c r="B6" s="200" t="str">
        <f>Categorías!B7</f>
        <v>AUS</v>
      </c>
      <c r="C6" s="201" t="str">
        <f>Categorías!C7</f>
        <v>CRUCH-PRIVADA</v>
      </c>
      <c r="D6" s="200" t="str">
        <f>Categorías!Y7</f>
        <v>Categoría I</v>
      </c>
      <c r="E6" s="157">
        <v>845</v>
      </c>
      <c r="F6" s="157">
        <v>18134</v>
      </c>
      <c r="G6" s="157">
        <v>515.5</v>
      </c>
      <c r="H6" s="157">
        <v>963.47727272727002</v>
      </c>
      <c r="I6" s="158">
        <v>283.04545454544996</v>
      </c>
      <c r="J6" s="158">
        <v>47.454545454540003</v>
      </c>
      <c r="K6" s="157">
        <v>1008</v>
      </c>
      <c r="L6" s="157">
        <v>31340</v>
      </c>
      <c r="M6" s="157">
        <v>4004</v>
      </c>
      <c r="N6" s="159">
        <v>2243</v>
      </c>
      <c r="O6" s="159">
        <v>3192</v>
      </c>
      <c r="P6" s="159">
        <v>3002</v>
      </c>
      <c r="Q6" s="159">
        <v>3448</v>
      </c>
      <c r="R6" s="160">
        <v>2199</v>
      </c>
      <c r="S6" s="160">
        <v>3075</v>
      </c>
      <c r="T6" s="157">
        <v>9</v>
      </c>
      <c r="U6" s="157">
        <v>42</v>
      </c>
      <c r="V6" s="157">
        <v>44</v>
      </c>
      <c r="W6" s="157">
        <v>52</v>
      </c>
      <c r="X6" s="157">
        <v>3</v>
      </c>
      <c r="Y6" s="157">
        <v>4</v>
      </c>
      <c r="Z6" s="42"/>
      <c r="AA6" s="43"/>
    </row>
    <row r="7" spans="1:27" x14ac:dyDescent="0.35">
      <c r="A7" s="200" t="str">
        <f>Categorías!A8</f>
        <v>UNIVERSIDAD CATÓLICA DE LA SANTÍSIMA CONCEPCIÓN</v>
      </c>
      <c r="B7" s="200" t="str">
        <f>Categorías!B8</f>
        <v>USC</v>
      </c>
      <c r="C7" s="201" t="str">
        <f>Categorías!C8</f>
        <v>CRUCH-PRIVADA</v>
      </c>
      <c r="D7" s="200" t="str">
        <f>Categorías!Y8</f>
        <v>Categoría II</v>
      </c>
      <c r="E7" s="157">
        <v>344</v>
      </c>
      <c r="F7" s="157">
        <v>14455</v>
      </c>
      <c r="G7" s="157">
        <v>201.45454545477105</v>
      </c>
      <c r="H7" s="157">
        <v>610.3409090913317</v>
      </c>
      <c r="I7" s="158">
        <v>202.97727272755083</v>
      </c>
      <c r="J7" s="158">
        <v>36.727272727218988</v>
      </c>
      <c r="K7" s="157">
        <v>479</v>
      </c>
      <c r="L7" s="157">
        <v>10516</v>
      </c>
      <c r="M7" s="157">
        <v>1565</v>
      </c>
      <c r="N7" s="159">
        <v>1369</v>
      </c>
      <c r="O7" s="159">
        <v>1712</v>
      </c>
      <c r="P7" s="159">
        <v>1602</v>
      </c>
      <c r="Q7" s="159">
        <v>1800</v>
      </c>
      <c r="R7" s="160">
        <v>1436</v>
      </c>
      <c r="S7" s="160">
        <v>1977</v>
      </c>
      <c r="T7" s="157">
        <v>4</v>
      </c>
      <c r="U7" s="157">
        <v>0</v>
      </c>
      <c r="V7" s="157">
        <v>5</v>
      </c>
      <c r="W7" s="157">
        <v>8</v>
      </c>
      <c r="X7" s="157">
        <v>1</v>
      </c>
      <c r="Y7" s="157">
        <v>0</v>
      </c>
      <c r="Z7" s="42"/>
      <c r="AA7" s="43"/>
    </row>
    <row r="8" spans="1:27" x14ac:dyDescent="0.35">
      <c r="A8" s="200" t="str">
        <f>Categorías!A9</f>
        <v>UNIVERSIDAD CATÓLICA DE TEMUCO</v>
      </c>
      <c r="B8" s="200" t="str">
        <f>Categorías!B9</f>
        <v>UCT</v>
      </c>
      <c r="C8" s="201" t="str">
        <f>Categorías!C9</f>
        <v>CRUCH-PRIVADA</v>
      </c>
      <c r="D8" s="200" t="str">
        <f>Categorías!Y9</f>
        <v>Categoría II</v>
      </c>
      <c r="E8" s="157">
        <v>371</v>
      </c>
      <c r="F8" s="157">
        <v>11847</v>
      </c>
      <c r="G8" s="157">
        <v>189.82954545456099</v>
      </c>
      <c r="H8" s="157">
        <v>559.446363636466</v>
      </c>
      <c r="I8" s="158">
        <v>217.34750000007506</v>
      </c>
      <c r="J8" s="158">
        <v>0</v>
      </c>
      <c r="K8" s="157">
        <v>321</v>
      </c>
      <c r="L8" s="157">
        <v>6002</v>
      </c>
      <c r="M8" s="157">
        <v>1310</v>
      </c>
      <c r="N8" s="159">
        <v>1443</v>
      </c>
      <c r="O8" s="159">
        <v>1789</v>
      </c>
      <c r="P8" s="159">
        <v>1514</v>
      </c>
      <c r="Q8" s="159">
        <v>1777</v>
      </c>
      <c r="R8" s="160">
        <v>1419</v>
      </c>
      <c r="S8" s="160">
        <v>1956</v>
      </c>
      <c r="T8" s="157">
        <v>3</v>
      </c>
      <c r="U8" s="157">
        <v>6</v>
      </c>
      <c r="V8" s="157">
        <v>6</v>
      </c>
      <c r="W8" s="157">
        <v>11</v>
      </c>
      <c r="X8" s="157">
        <v>0</v>
      </c>
      <c r="Y8" s="157">
        <v>0</v>
      </c>
      <c r="Z8" s="42"/>
      <c r="AA8" s="43"/>
    </row>
    <row r="9" spans="1:27" x14ac:dyDescent="0.35">
      <c r="A9" s="200" t="str">
        <f>Categorías!A10</f>
        <v>UNIVERSIDAD CATÓLICA DEL MAULE</v>
      </c>
      <c r="B9" s="200" t="str">
        <f>Categorías!B10</f>
        <v>UCM</v>
      </c>
      <c r="C9" s="201" t="str">
        <f>Categorías!C10</f>
        <v>CRUCH-PRIVADA</v>
      </c>
      <c r="D9" s="200" t="str">
        <f>Categorías!Y10</f>
        <v>Categoría II</v>
      </c>
      <c r="E9" s="157">
        <v>375</v>
      </c>
      <c r="F9" s="157">
        <v>11870</v>
      </c>
      <c r="G9" s="157">
        <v>229.12568181850847</v>
      </c>
      <c r="H9" s="157">
        <v>531.35727272802865</v>
      </c>
      <c r="I9" s="158">
        <v>178.53886363662207</v>
      </c>
      <c r="J9" s="158">
        <v>33.747727272733997</v>
      </c>
      <c r="K9" s="157">
        <v>555</v>
      </c>
      <c r="L9" s="157">
        <v>9838</v>
      </c>
      <c r="M9" s="157">
        <v>1686</v>
      </c>
      <c r="N9" s="159">
        <v>1829</v>
      </c>
      <c r="O9" s="159">
        <v>2259</v>
      </c>
      <c r="P9" s="159">
        <v>2117</v>
      </c>
      <c r="Q9" s="159">
        <v>2390</v>
      </c>
      <c r="R9" s="160">
        <v>1607</v>
      </c>
      <c r="S9" s="160">
        <v>2121</v>
      </c>
      <c r="T9" s="157">
        <v>5</v>
      </c>
      <c r="U9" s="157">
        <v>4</v>
      </c>
      <c r="V9" s="157">
        <v>7</v>
      </c>
      <c r="W9" s="157">
        <v>12</v>
      </c>
      <c r="X9" s="157">
        <v>0</v>
      </c>
      <c r="Y9" s="157">
        <v>1</v>
      </c>
      <c r="Z9" s="42"/>
      <c r="AA9" s="43"/>
    </row>
    <row r="10" spans="1:27" x14ac:dyDescent="0.35">
      <c r="A10" s="200" t="str">
        <f>Categorías!A11</f>
        <v>UNIVERSIDAD CATÓLICA DEL NORTE</v>
      </c>
      <c r="B10" s="200" t="str">
        <f>Categorías!B11</f>
        <v>UCN</v>
      </c>
      <c r="C10" s="201" t="str">
        <f>Categorías!C11</f>
        <v>CRUCH-PRIVADA</v>
      </c>
      <c r="D10" s="200" t="str">
        <f>Categorías!Y11</f>
        <v>Categoría II</v>
      </c>
      <c r="E10" s="157">
        <v>428</v>
      </c>
      <c r="F10" s="157">
        <v>11364</v>
      </c>
      <c r="G10" s="157">
        <v>233.77090909095492</v>
      </c>
      <c r="H10" s="157">
        <v>562.37136363652985</v>
      </c>
      <c r="I10" s="158">
        <v>150.56454545466485</v>
      </c>
      <c r="J10" s="158">
        <v>23.828181818170009</v>
      </c>
      <c r="K10" s="157">
        <v>704</v>
      </c>
      <c r="L10" s="157">
        <v>21662</v>
      </c>
      <c r="M10" s="157">
        <v>2648</v>
      </c>
      <c r="N10" s="159">
        <v>1046</v>
      </c>
      <c r="O10" s="159">
        <v>1872</v>
      </c>
      <c r="P10" s="159">
        <v>1758</v>
      </c>
      <c r="Q10" s="159">
        <v>2040</v>
      </c>
      <c r="R10" s="160">
        <v>1453</v>
      </c>
      <c r="S10" s="160">
        <v>2173</v>
      </c>
      <c r="T10" s="157">
        <v>4</v>
      </c>
      <c r="U10" s="157">
        <v>13</v>
      </c>
      <c r="V10" s="157">
        <v>25</v>
      </c>
      <c r="W10" s="157">
        <v>21</v>
      </c>
      <c r="X10" s="157">
        <v>2</v>
      </c>
      <c r="Y10" s="157">
        <v>1</v>
      </c>
      <c r="Z10" s="42"/>
      <c r="AA10" s="43"/>
    </row>
    <row r="11" spans="1:27" x14ac:dyDescent="0.35">
      <c r="A11" s="200" t="str">
        <f>Categorías!A12</f>
        <v>UNIVERSIDAD DE CONCEPCIÓN</v>
      </c>
      <c r="B11" s="200" t="str">
        <f>Categorías!B12</f>
        <v>UCO</v>
      </c>
      <c r="C11" s="201" t="str">
        <f>Categorías!C12</f>
        <v>CRUCH-PRIVADA</v>
      </c>
      <c r="D11" s="200" t="str">
        <f>Categorías!Y12</f>
        <v>Categoría I</v>
      </c>
      <c r="E11" s="157">
        <v>1171</v>
      </c>
      <c r="F11" s="157">
        <v>29315</v>
      </c>
      <c r="G11" s="157">
        <v>834.31818181818983</v>
      </c>
      <c r="H11" s="157">
        <v>1485.2272727273546</v>
      </c>
      <c r="I11" s="158">
        <v>379.2954545454549</v>
      </c>
      <c r="J11" s="158">
        <v>104.81818181822996</v>
      </c>
      <c r="K11" s="157">
        <v>1644</v>
      </c>
      <c r="L11" s="157">
        <v>74301</v>
      </c>
      <c r="M11" s="157">
        <v>7275</v>
      </c>
      <c r="N11" s="159">
        <v>2850</v>
      </c>
      <c r="O11" s="159">
        <v>4306</v>
      </c>
      <c r="P11" s="159">
        <v>3987</v>
      </c>
      <c r="Q11" s="159">
        <v>4427</v>
      </c>
      <c r="R11" s="160">
        <v>3643</v>
      </c>
      <c r="S11" s="160">
        <v>5116</v>
      </c>
      <c r="T11" s="157">
        <v>15</v>
      </c>
      <c r="U11" s="157">
        <v>124</v>
      </c>
      <c r="V11" s="157">
        <v>122</v>
      </c>
      <c r="W11" s="157">
        <v>117</v>
      </c>
      <c r="X11" s="157">
        <v>5</v>
      </c>
      <c r="Y11" s="157">
        <v>16</v>
      </c>
      <c r="Z11" s="42"/>
      <c r="AA11" s="43"/>
    </row>
    <row r="12" spans="1:27" x14ac:dyDescent="0.35">
      <c r="A12" s="200" t="str">
        <f>Categorías!A13</f>
        <v>UNIVERSIDAD TÉCNICA FEDERICO SANTA MARÍA</v>
      </c>
      <c r="B12" s="200" t="str">
        <f>Categorías!B13</f>
        <v>FSM</v>
      </c>
      <c r="C12" s="201" t="str">
        <f>Categorías!C13</f>
        <v>CRUCH-PRIVADA</v>
      </c>
      <c r="D12" s="200" t="str">
        <f>Categorías!Y13</f>
        <v>Categoría II</v>
      </c>
      <c r="E12" s="157">
        <v>499</v>
      </c>
      <c r="F12" s="157">
        <v>22302</v>
      </c>
      <c r="G12" s="157">
        <v>326.84045453805669</v>
      </c>
      <c r="H12" s="157">
        <v>737.57943180783627</v>
      </c>
      <c r="I12" s="158">
        <v>242.03329545260556</v>
      </c>
      <c r="J12" s="158">
        <v>0</v>
      </c>
      <c r="K12" s="157">
        <v>803</v>
      </c>
      <c r="L12" s="157">
        <v>43009</v>
      </c>
      <c r="M12" s="157">
        <v>3687</v>
      </c>
      <c r="N12" s="159">
        <v>1536</v>
      </c>
      <c r="O12" s="159">
        <v>2759</v>
      </c>
      <c r="P12" s="159">
        <v>2412</v>
      </c>
      <c r="Q12" s="159">
        <v>2694</v>
      </c>
      <c r="R12" s="160">
        <v>1552</v>
      </c>
      <c r="S12" s="160">
        <v>2252</v>
      </c>
      <c r="T12" s="157">
        <v>3</v>
      </c>
      <c r="U12" s="157">
        <v>14</v>
      </c>
      <c r="V12" s="157">
        <v>25</v>
      </c>
      <c r="W12" s="157">
        <v>29</v>
      </c>
      <c r="X12" s="157">
        <v>11</v>
      </c>
      <c r="Y12" s="157">
        <v>6</v>
      </c>
      <c r="Z12" s="42"/>
      <c r="AA12" s="43"/>
    </row>
    <row r="13" spans="1:27" x14ac:dyDescent="0.35">
      <c r="E13" s="202">
        <f t="shared" ref="E13:Y13" si="0">SUM(E4:E12)</f>
        <v>6174</v>
      </c>
      <c r="F13" s="202">
        <f t="shared" si="0"/>
        <v>174369</v>
      </c>
      <c r="G13" s="202">
        <f t="shared" si="0"/>
        <v>4087.410909084143</v>
      </c>
      <c r="H13" s="202">
        <f t="shared" si="0"/>
        <v>8375.6760227189807</v>
      </c>
      <c r="I13" s="203">
        <f t="shared" si="0"/>
        <v>2341.9512499991438</v>
      </c>
      <c r="J13" s="202">
        <f t="shared" si="0"/>
        <v>646.11113636363973</v>
      </c>
      <c r="K13" s="202">
        <f t="shared" si="0"/>
        <v>9767</v>
      </c>
      <c r="L13" s="202">
        <f t="shared" si="0"/>
        <v>406870</v>
      </c>
      <c r="M13" s="202">
        <f t="shared" si="0"/>
        <v>40697</v>
      </c>
      <c r="N13" s="202">
        <f t="shared" si="0"/>
        <v>15884</v>
      </c>
      <c r="O13" s="202">
        <f t="shared" si="0"/>
        <v>26863</v>
      </c>
      <c r="P13" s="202">
        <f t="shared" si="0"/>
        <v>24653</v>
      </c>
      <c r="Q13" s="202">
        <f t="shared" si="0"/>
        <v>27739</v>
      </c>
      <c r="R13" s="202">
        <f t="shared" si="0"/>
        <v>20322</v>
      </c>
      <c r="S13" s="202">
        <f t="shared" si="0"/>
        <v>27882</v>
      </c>
      <c r="T13" s="202">
        <f t="shared" si="0"/>
        <v>80</v>
      </c>
      <c r="U13" s="202">
        <f>SUM(U4:U12)</f>
        <v>479</v>
      </c>
      <c r="V13" s="202">
        <f>SUM(V4:V12)</f>
        <v>514</v>
      </c>
      <c r="W13" s="202">
        <f>SUM(W4:W12)</f>
        <v>514</v>
      </c>
      <c r="X13" s="202">
        <f t="shared" si="0"/>
        <v>38</v>
      </c>
      <c r="Y13" s="202">
        <f t="shared" si="0"/>
        <v>45</v>
      </c>
      <c r="Z13" s="42"/>
    </row>
    <row r="20" spans="1:1" x14ac:dyDescent="0.35">
      <c r="A20" s="7" t="s">
        <v>138</v>
      </c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I81"/>
  <sheetViews>
    <sheetView zoomScaleNormal="100" workbookViewId="0">
      <pane xSplit="2" ySplit="3" topLeftCell="Y4" activePane="bottomRight" state="frozen"/>
      <selection pane="topRight" activeCell="C1" sqref="C1"/>
      <selection pane="bottomLeft" activeCell="A4" sqref="A4"/>
      <selection pane="bottomRight" activeCell="AG13" sqref="AG13"/>
    </sheetView>
  </sheetViews>
  <sheetFormatPr baseColWidth="10" defaultRowHeight="14.5" x14ac:dyDescent="0.35"/>
  <cols>
    <col min="1" max="1" width="46.54296875" bestFit="1" customWidth="1"/>
    <col min="5" max="5" width="19.7265625" customWidth="1"/>
    <col min="28" max="28" width="11.26953125" customWidth="1"/>
    <col min="29" max="31" width="10.7265625" customWidth="1"/>
    <col min="32" max="32" width="11.453125" bestFit="1" customWidth="1"/>
    <col min="33" max="35" width="10.7265625" customWidth="1"/>
  </cols>
  <sheetData>
    <row r="1" spans="1:35" x14ac:dyDescent="0.35">
      <c r="A1" s="15" t="s">
        <v>144</v>
      </c>
      <c r="F1" s="3" t="s">
        <v>26</v>
      </c>
      <c r="G1" s="3" t="s">
        <v>27</v>
      </c>
      <c r="H1" s="3" t="s">
        <v>28</v>
      </c>
      <c r="I1" s="3" t="s">
        <v>29</v>
      </c>
      <c r="J1" s="3" t="s">
        <v>30</v>
      </c>
      <c r="K1" s="3" t="s">
        <v>31</v>
      </c>
      <c r="L1" s="3" t="s">
        <v>32</v>
      </c>
      <c r="M1" s="3" t="s">
        <v>33</v>
      </c>
      <c r="N1" s="3" t="s">
        <v>34</v>
      </c>
      <c r="O1" s="3" t="s">
        <v>69</v>
      </c>
      <c r="P1" s="3" t="s">
        <v>70</v>
      </c>
      <c r="Q1" s="20" t="s">
        <v>48</v>
      </c>
    </row>
    <row r="2" spans="1:35" ht="64" x14ac:dyDescent="0.35"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s="4" t="s">
        <v>42</v>
      </c>
      <c r="N2" s="4" t="s">
        <v>43</v>
      </c>
      <c r="O2" s="4" t="s">
        <v>44</v>
      </c>
      <c r="P2" s="4" t="s">
        <v>45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39</v>
      </c>
      <c r="V2" s="4" t="s">
        <v>40</v>
      </c>
      <c r="W2" s="4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  <c r="AC2" s="4"/>
    </row>
    <row r="3" spans="1:35" ht="52.5" x14ac:dyDescent="0.35">
      <c r="A3" s="8" t="s">
        <v>8</v>
      </c>
      <c r="B3" s="12" t="s">
        <v>0</v>
      </c>
      <c r="C3" s="12" t="s">
        <v>16</v>
      </c>
      <c r="D3" s="13" t="s">
        <v>25</v>
      </c>
      <c r="E3" s="14" t="s">
        <v>47</v>
      </c>
      <c r="F3" s="161" t="s">
        <v>206</v>
      </c>
      <c r="G3" s="161" t="s">
        <v>207</v>
      </c>
      <c r="H3" s="161" t="s">
        <v>208</v>
      </c>
      <c r="I3" s="161" t="s">
        <v>209</v>
      </c>
      <c r="J3" s="161" t="s">
        <v>210</v>
      </c>
      <c r="K3" s="161" t="s">
        <v>212</v>
      </c>
      <c r="L3" s="161" t="s">
        <v>211</v>
      </c>
      <c r="M3" s="161" t="s">
        <v>214</v>
      </c>
      <c r="N3" s="161" t="s">
        <v>215</v>
      </c>
      <c r="O3" s="161" t="s">
        <v>213</v>
      </c>
      <c r="P3" s="161" t="s">
        <v>216</v>
      </c>
      <c r="Q3" s="11" t="s">
        <v>46</v>
      </c>
      <c r="R3" s="9" t="s">
        <v>46</v>
      </c>
      <c r="S3" s="9" t="s">
        <v>46</v>
      </c>
      <c r="T3" s="9" t="s">
        <v>46</v>
      </c>
      <c r="U3" s="9" t="s">
        <v>46</v>
      </c>
      <c r="V3" s="9" t="s">
        <v>46</v>
      </c>
      <c r="W3" s="9" t="s">
        <v>46</v>
      </c>
      <c r="X3" s="9" t="s">
        <v>46</v>
      </c>
      <c r="Y3" s="9" t="s">
        <v>46</v>
      </c>
      <c r="Z3" s="9" t="s">
        <v>46</v>
      </c>
      <c r="AA3" s="9" t="s">
        <v>46</v>
      </c>
      <c r="AB3" s="32" t="s">
        <v>49</v>
      </c>
      <c r="AC3" s="33" t="s">
        <v>65</v>
      </c>
      <c r="AD3" s="33" t="s">
        <v>50</v>
      </c>
      <c r="AE3" s="33" t="s">
        <v>64</v>
      </c>
      <c r="AF3" s="33" t="s">
        <v>66</v>
      </c>
      <c r="AG3" s="33" t="s">
        <v>67</v>
      </c>
      <c r="AH3" s="33" t="s">
        <v>68</v>
      </c>
      <c r="AI3" s="33" t="s">
        <v>63</v>
      </c>
    </row>
    <row r="4" spans="1:35" x14ac:dyDescent="0.35">
      <c r="A4" s="21" t="str">
        <f>Valores!A4</f>
        <v>PONTIFICIA UNIVERSIDAD CATÓLICA DE CHILE</v>
      </c>
      <c r="B4" s="22" t="str">
        <f>Valores!B4</f>
        <v>PUC</v>
      </c>
      <c r="C4" s="23" t="str">
        <f>Valores!C4</f>
        <v>CRUCH-PRIVADA</v>
      </c>
      <c r="D4" s="23" t="str">
        <f>Valores!D4</f>
        <v>Categoría I</v>
      </c>
      <c r="E4" s="23" t="str">
        <f t="shared" ref="E4:E12" si="0">CONCATENATE(C4,D4)</f>
        <v>CRUCH-PRIVADACategoría I</v>
      </c>
      <c r="F4" s="25">
        <f>IFERROR(Valores!E4/Valores!F4*100,0)</f>
        <v>4.2607062154583319</v>
      </c>
      <c r="G4" s="26">
        <f>IFERROR(Valores!G4/Valores!H4,0)</f>
        <v>0.49614452234598316</v>
      </c>
      <c r="H4" s="26">
        <f>IFERROR((Valores!G4+Valores!I4+Valores!J4)/(Valores!H4),0)</f>
        <v>0.90855746114605751</v>
      </c>
      <c r="I4" s="26">
        <f>IFERROR(Valores!K4/Valores!H4,0)</f>
        <v>1.4165876534219441</v>
      </c>
      <c r="J4" s="26">
        <f>IFERROR(Valores!K4/Valores!G4,0)</f>
        <v>2.8551915613694834</v>
      </c>
      <c r="K4" s="26">
        <f>IFERROR(Valores!L4/Valores!M4,0)</f>
        <v>12.52894366197183</v>
      </c>
      <c r="L4" s="26">
        <f>IFERROR(Valores!N4/Valores!O4,0)</f>
        <v>0.27844059821878675</v>
      </c>
      <c r="M4" s="26">
        <f>IFERROR(Valores!P4/Valores!Q4,0)</f>
        <v>0.91332179930795843</v>
      </c>
      <c r="N4" s="26">
        <f>IFERROR(Valores!R4/Valores!S4,0)</f>
        <v>0.79762537657274502</v>
      </c>
      <c r="O4" s="24">
        <f>IF(Valores!W4&gt;0,Valores!T4/Valores!W4,IF(AND(Valores!W4=0,OR(Valores!V4&gt;0,Valores!U4&gt;0)),0,IF(AND(Valores!V4=0,Valores!W4=0,Valores!U4=0),"NC",)))</f>
        <v>0.13824884792626729</v>
      </c>
      <c r="P4" s="27">
        <f>IFERROR((Valores!X4+Valores!Y4)*1000/(Valores!H4),0)</f>
        <v>14.157028391474769</v>
      </c>
      <c r="Q4" s="28">
        <f t="array" ref="Q4">F4/MAX(IF($E$4:$E$18=$E4,F$4:F$18))</f>
        <v>0.91436268060498693</v>
      </c>
      <c r="R4" s="28">
        <f t="array" ref="R4">G4/MAX(IF($E$4:$E$18=$E4,G$4:G$18))</f>
        <v>0.75887657373079653</v>
      </c>
      <c r="S4" s="28">
        <f t="array" ref="S4">H4/MAX(IF($E$4:$E$18=$E4,H$4:H$18))</f>
        <v>1</v>
      </c>
      <c r="T4" s="28">
        <f t="array" ref="T4">I4/MAX(IF($E$4:$E$18=$E4,I$4:I$18))</f>
        <v>0.89701237889188656</v>
      </c>
      <c r="U4" s="28">
        <f t="array" ref="U4">J4/MAX(IF($E$4:$E$18=$E4,J$4:J$18))</f>
        <v>1</v>
      </c>
      <c r="V4" s="28">
        <f t="array" ref="V4">K4/MAX(IF($E$4:$E$18=$E4,K$4:K$18))</f>
        <v>1</v>
      </c>
      <c r="W4" s="28">
        <f t="array" ref="W4">L4/MAX(IF($E$4:$E$18=$E4,L$4:L$18))</f>
        <v>0.39624716429530416</v>
      </c>
      <c r="X4" s="28">
        <f t="array" ref="X4">M4/MAX(IF($E$4:$E$18=$E4,M$4:M$18))</f>
        <v>1</v>
      </c>
      <c r="Y4" s="28">
        <f t="array" ref="Y4">N4/MAX(IF($E$4:$E$18=$E4,N$4:N$18))</f>
        <v>1</v>
      </c>
      <c r="Z4" s="28">
        <f t="array" ref="Z4">IF(O4="NC","NC",IF(O4=0,0,IF(O4&gt;0,O4/MAX(IF($E$4:$E$18=$E4,$O$4:$O$18,"ERROR")))))</f>
        <v>0.79877112135176664</v>
      </c>
      <c r="AA4" s="29">
        <f t="array" ref="AA4">IF(P4=0,0,P4/MAX(IF($E$4:$E$18=$E4,$P$4:$P$18)))</f>
        <v>1</v>
      </c>
      <c r="AB4" s="30">
        <f t="shared" ref="AB4:AB12" si="1">IF(Z4="NC",(SUM(Q4:Y4)+AA4)/(COUNTA(Q4:Y4)+COUNTA(AA4)),AVERAGE(Q4:AA4))</f>
        <v>0.88775181080679466</v>
      </c>
      <c r="AC4" s="10">
        <f t="array" ref="AC4">SUM(IF($E$4:$E$18=$E4,$AB$4:$AB$18,"ERROR"))</f>
        <v>3.3774162866932982</v>
      </c>
      <c r="AD4" s="34">
        <f t="shared" ref="AD4:AD12" si="2">AB4/AC4</f>
        <v>0.26284939002173147</v>
      </c>
      <c r="AE4" s="62">
        <f>IFERROR(VLOOKUP(E4,Categorías!$A$26:$C$28,3,0),0)</f>
        <v>14358332</v>
      </c>
      <c r="AF4" s="63">
        <f t="shared" ref="AF4:AF12" si="3">AD4*AE4</f>
        <v>3774078.8079295075</v>
      </c>
      <c r="AG4" s="62">
        <f t="shared" ref="AG4:AH13" si="4">ROUND(AF4,0)</f>
        <v>3774079</v>
      </c>
      <c r="AH4" s="31">
        <f t="shared" si="4"/>
        <v>3774079</v>
      </c>
      <c r="AI4" s="18">
        <f t="array" ref="AI4">AG4/(SUM(IF($C$4:$C$18=$C4,$AG$4:$AG$18,0)))</f>
        <v>0.14337240003830781</v>
      </c>
    </row>
    <row r="5" spans="1:35" x14ac:dyDescent="0.35">
      <c r="A5" s="21" t="str">
        <f>Valores!A5</f>
        <v>PONTIFICIA UNIVERSIDAD CATÓLICA DE VALPARAÍSO</v>
      </c>
      <c r="B5" s="22" t="str">
        <f>Valores!B5</f>
        <v>UCV</v>
      </c>
      <c r="C5" s="23" t="str">
        <f>Valores!C5</f>
        <v>CRUCH-PRIVADA</v>
      </c>
      <c r="D5" s="23" t="str">
        <f>Valores!D5</f>
        <v>Categoría I</v>
      </c>
      <c r="E5" s="23" t="str">
        <f t="shared" si="0"/>
        <v>CRUCH-PRIVADACategoría I</v>
      </c>
      <c r="F5" s="25">
        <f>IFERROR(Valores!E5/Valores!F5*100,0)</f>
        <v>3.1387935262383522</v>
      </c>
      <c r="G5" s="26">
        <f>IFERROR(Valores!G5/Valores!H5,0)</f>
        <v>0.65378816466402767</v>
      </c>
      <c r="H5" s="26">
        <f>IFERROR((Valores!G5+Valores!I5+Valores!J5)/(Valores!H5),0)</f>
        <v>0.88741456118212747</v>
      </c>
      <c r="I5" s="26">
        <f>IFERROR(Valores!K5/Valores!H5,0)</f>
        <v>1.5792286558764201</v>
      </c>
      <c r="J5" s="26">
        <f>IFERROR(Valores!K5/Valores!G5,0)</f>
        <v>2.4155051150061171</v>
      </c>
      <c r="K5" s="26">
        <f>IFERROR(Valores!L5/Valores!M5,0)</f>
        <v>7.4713095788986577</v>
      </c>
      <c r="L5" s="26">
        <f>IFERROR(Valores!N5/Valores!O5,0)</f>
        <v>0.63215348991068476</v>
      </c>
      <c r="M5" s="26">
        <f>IFERROR(Valores!P5/Valores!Q5,0)</f>
        <v>0.88146615430091635</v>
      </c>
      <c r="N5" s="26">
        <f>IFERROR(Valores!R5/Valores!S5,0)</f>
        <v>0.70383861025497341</v>
      </c>
      <c r="O5" s="24">
        <f>IF(Valores!W5&gt;0,Valores!T5/Valores!W5,IF(AND(Valores!W5=0,OR(Valores!V5&gt;0,Valores!U5&gt;0)),0,IF(AND(Valores!V5=0,Valores!W5=0,Valores!U5=0),"NC",)))</f>
        <v>0.14893617021276595</v>
      </c>
      <c r="P5" s="27">
        <f>IFERROR((Valores!X5+Valores!Y5)*1000/(Valores!H5),0)</f>
        <v>1.5025962472658614</v>
      </c>
      <c r="Q5" s="28">
        <f t="array" ref="Q5">F5/MAX(IF($E$4:$E$18=$E5,F$4:F$18))</f>
        <v>0.6735962343764057</v>
      </c>
      <c r="R5" s="28">
        <f t="array" ref="R5">G5/MAX(IF($E$4:$E$18=$E5,G$4:G$18))</f>
        <v>1</v>
      </c>
      <c r="S5" s="28">
        <f t="array" ref="S5">H5/MAX(IF($E$4:$E$18=$E5,H$4:H$18))</f>
        <v>0.97672915487672041</v>
      </c>
      <c r="T5" s="28">
        <f t="array" ref="T5">I5/MAX(IF($E$4:$E$18=$E5,I$4:I$18))</f>
        <v>1</v>
      </c>
      <c r="U5" s="28">
        <f t="array" ref="U5">J5/MAX(IF($E$4:$E$18=$E5,J$4:J$18))</f>
        <v>0.84600457205313673</v>
      </c>
      <c r="V5" s="28">
        <f t="array" ref="V5">K5/MAX(IF($E$4:$E$18=$E5,K$4:K$18))</f>
        <v>0.59632398233027162</v>
      </c>
      <c r="W5" s="28">
        <f t="array" ref="W5">L5/MAX(IF($E$4:$E$18=$E5,L$4:L$18))</f>
        <v>0.89961388310071588</v>
      </c>
      <c r="X5" s="28">
        <f t="array" ref="X5">M5/MAX(IF($E$4:$E$18=$E5,M$4:M$18))</f>
        <v>0.96512111609382401</v>
      </c>
      <c r="Y5" s="28">
        <f t="array" ref="Y5">N5/MAX(IF($E$4:$E$18=$E5,N$4:N$18))</f>
        <v>0.88241752447651967</v>
      </c>
      <c r="Z5" s="28">
        <f t="array" ref="Z5">IF(O5="NC","NC",IF(O5=0,0,IF(O5&gt;0,O5/MAX(IF($E$4:$E$18=$E5,$O$4:$O$18,"ERROR")))))</f>
        <v>0.86052009456264777</v>
      </c>
      <c r="AA5" s="29">
        <f t="array" ref="AA5">IF(P5=0,0,P5/MAX(IF($E$4:$E$18=$E5,$P$4:$P$18)))</f>
        <v>0.10613782820204774</v>
      </c>
      <c r="AB5" s="30">
        <f t="shared" si="1"/>
        <v>0.80058767182475354</v>
      </c>
      <c r="AC5" s="10">
        <f t="array" ref="AC5">SUM(IF($E$4:$E$18=$E5,$AB$4:$AB$18,"ERROR"))</f>
        <v>3.3774162866932982</v>
      </c>
      <c r="AD5" s="34">
        <f t="shared" si="2"/>
        <v>0.2370414553216296</v>
      </c>
      <c r="AE5" s="62">
        <f>IFERROR(VLOOKUP(E5,Categorías!$A$26:$C$28,3,0),0)</f>
        <v>14358332</v>
      </c>
      <c r="AF5" s="63">
        <f t="shared" si="3"/>
        <v>3403519.9132711245</v>
      </c>
      <c r="AG5" s="62">
        <f t="shared" si="4"/>
        <v>3403520</v>
      </c>
      <c r="AH5" s="31">
        <f t="shared" si="4"/>
        <v>3403520</v>
      </c>
      <c r="AI5" s="18">
        <f t="array" ref="AI5">AG5/(SUM(IF($C$4:$C$18=$C5,$AG$4:$AG$18,0)))</f>
        <v>0.12929534092380721</v>
      </c>
    </row>
    <row r="6" spans="1:35" x14ac:dyDescent="0.35">
      <c r="A6" s="21" t="str">
        <f>Valores!A6</f>
        <v>UNIVERSIDAD AUSTRAL DE CHILE</v>
      </c>
      <c r="B6" s="22" t="str">
        <f>Valores!B6</f>
        <v>AUS</v>
      </c>
      <c r="C6" s="23" t="str">
        <f>Valores!C6</f>
        <v>CRUCH-PRIVADA</v>
      </c>
      <c r="D6" s="23" t="str">
        <f>Valores!D6</f>
        <v>Categoría I</v>
      </c>
      <c r="E6" s="23" t="str">
        <f t="shared" si="0"/>
        <v>CRUCH-PRIVADACategoría I</v>
      </c>
      <c r="F6" s="25">
        <f>IFERROR(Valores!E6/Valores!F6*100,0)</f>
        <v>4.6597551560604389</v>
      </c>
      <c r="G6" s="26">
        <f>IFERROR(Valores!G6/Valores!H6,0)</f>
        <v>0.53504116245606737</v>
      </c>
      <c r="H6" s="26">
        <f>IFERROR((Valores!G6+Valores!I6+Valores!J6)/(Valores!H6),0)</f>
        <v>0.8780694926049033</v>
      </c>
      <c r="I6" s="26">
        <f>IFERROR(Valores!K6/Valores!H6,0)</f>
        <v>1.0462104592739396</v>
      </c>
      <c r="J6" s="26">
        <f>IFERROR(Valores!K6/Valores!G6,0)</f>
        <v>1.9553831231813774</v>
      </c>
      <c r="K6" s="26">
        <f>IFERROR(Valores!L6/Valores!M6,0)</f>
        <v>7.8271728271728271</v>
      </c>
      <c r="L6" s="26">
        <f>IFERROR(Valores!N6/Valores!O6,0)</f>
        <v>0.70269423558897248</v>
      </c>
      <c r="M6" s="26">
        <f>IFERROR(Valores!P6/Valores!Q6,0)</f>
        <v>0.87064965197215782</v>
      </c>
      <c r="N6" s="26">
        <f>IFERROR(Valores!R6/Valores!S6,0)</f>
        <v>0.71512195121951216</v>
      </c>
      <c r="O6" s="24">
        <f>IF(Valores!W6&gt;0,Valores!T6/Valores!W6,IF(AND(Valores!W6=0,OR(Valores!V6&gt;0,Valores!U6&gt;0)),0,IF(AND(Valores!V6=0,Valores!W6=0,Valores!U6=0),"NC",)))</f>
        <v>0.17307692307692307</v>
      </c>
      <c r="P6" s="27">
        <f>IFERROR((Valores!X6+Valores!Y6)*1000/(Valores!H6),0)</f>
        <v>7.2653504116245813</v>
      </c>
      <c r="Q6" s="28">
        <f t="array" ref="Q6">F6/MAX(IF($E$4:$E$18=$E6,F$4:F$18))</f>
        <v>1</v>
      </c>
      <c r="R6" s="28">
        <f t="array" ref="R6">G6/MAX(IF($E$4:$E$18=$E6,G$4:G$18))</f>
        <v>0.81837082922878746</v>
      </c>
      <c r="S6" s="28">
        <f t="array" ref="S6">H6/MAX(IF($E$4:$E$18=$E6,H$4:H$18))</f>
        <v>0.96644354391994469</v>
      </c>
      <c r="T6" s="28">
        <f t="array" ref="T6">I6/MAX(IF($E$4:$E$18=$E6,I$4:I$18))</f>
        <v>0.66248193722987325</v>
      </c>
      <c r="U6" s="28">
        <f t="array" ref="U6">J6/MAX(IF($E$4:$E$18=$E6,J$4:J$18))</f>
        <v>0.68485181507172999</v>
      </c>
      <c r="V6" s="28">
        <f t="array" ref="V6">K6/MAX(IF($E$4:$E$18=$E6,K$4:K$18))</f>
        <v>0.62472727456904942</v>
      </c>
      <c r="W6" s="28">
        <f t="array" ref="W6">L6/MAX(IF($E$4:$E$18=$E6,L$4:L$18))</f>
        <v>1</v>
      </c>
      <c r="X6" s="28">
        <f t="array" ref="X6">M6/MAX(IF($E$4:$E$18=$E6,M$4:M$18))</f>
        <v>0.95327808077269793</v>
      </c>
      <c r="Y6" s="28">
        <f t="array" ref="Y6">N6/MAX(IF($E$4:$E$18=$E6,N$4:N$18))</f>
        <v>0.89656369045361184</v>
      </c>
      <c r="Z6" s="28">
        <f t="array" ref="Z6">IF(O6="NC","NC",IF(O6=0,0,IF(O6&gt;0,O6/MAX(IF($E$4:$E$18=$E6,$O$4:$O$18,"ERROR")))))</f>
        <v>1</v>
      </c>
      <c r="AA6" s="29">
        <f t="array" ref="AA6">IF(P6=0,0,P6/MAX(IF($E$4:$E$18=$E6,$P$4:$P$18)))</f>
        <v>0.51319741761623561</v>
      </c>
      <c r="AB6" s="30">
        <f t="shared" si="1"/>
        <v>0.8290831444419936</v>
      </c>
      <c r="AC6" s="10">
        <f t="array" ref="AC6">SUM(IF($E$4:$E$18=$E6,$AB$4:$AB$18,"ERROR"))</f>
        <v>3.3774162866932982</v>
      </c>
      <c r="AD6" s="34">
        <f t="shared" si="2"/>
        <v>0.24547851791575206</v>
      </c>
      <c r="AE6" s="62">
        <f>IFERROR(VLOOKUP(E6,Categorías!$A$26:$C$28,3,0),0)</f>
        <v>14358332</v>
      </c>
      <c r="AF6" s="63">
        <f t="shared" si="3"/>
        <v>3524662.0591023164</v>
      </c>
      <c r="AG6" s="62">
        <f t="shared" si="4"/>
        <v>3524662</v>
      </c>
      <c r="AH6" s="31">
        <f t="shared" si="4"/>
        <v>3524662</v>
      </c>
      <c r="AI6" s="18">
        <f t="array" ref="AI6">AG6/(SUM(IF($C$4:$C$18=$C6,$AG$4:$AG$18,0)))</f>
        <v>0.13389736946784159</v>
      </c>
    </row>
    <row r="7" spans="1:35" x14ac:dyDescent="0.35">
      <c r="A7" s="21" t="str">
        <f>Valores!A7</f>
        <v>UNIVERSIDAD CATÓLICA DE LA SANTÍSIMA CONCEPCIÓN</v>
      </c>
      <c r="B7" s="22" t="str">
        <f>Valores!B7</f>
        <v>USC</v>
      </c>
      <c r="C7" s="23" t="str">
        <f>Valores!C7</f>
        <v>CRUCH-PRIVADA</v>
      </c>
      <c r="D7" s="23" t="str">
        <f>Valores!D7</f>
        <v>Categoría II</v>
      </c>
      <c r="E7" s="23" t="str">
        <f t="shared" si="0"/>
        <v>CRUCH-PRIVADACategoría II</v>
      </c>
      <c r="F7" s="25">
        <f>IFERROR(Valores!E7/Valores!F7*100,0)</f>
        <v>2.3797993773780699</v>
      </c>
      <c r="G7" s="26">
        <f>IFERROR(Valores!G7/Valores!H7,0)</f>
        <v>0.33006888847528537</v>
      </c>
      <c r="H7" s="26">
        <f>IFERROR((Valores!G7+Valores!I7+Valores!J7)/(Valores!H7),0)</f>
        <v>0.72280767082503661</v>
      </c>
      <c r="I7" s="26">
        <f>IFERROR(Valores!K7/Valores!H7,0)</f>
        <v>0.78480729845412056</v>
      </c>
      <c r="J7" s="26">
        <f>IFERROR(Valores!K7/Valores!G7,0)</f>
        <v>2.3777075812247741</v>
      </c>
      <c r="K7" s="26">
        <f>IFERROR(Valores!L7/Valores!M7,0)</f>
        <v>6.7194888178913734</v>
      </c>
      <c r="L7" s="26">
        <f>IFERROR(Valores!N7/Valores!O7,0)</f>
        <v>0.79964953271028039</v>
      </c>
      <c r="M7" s="26">
        <f>IFERROR(Valores!P7/Valores!Q7,0)</f>
        <v>0.89</v>
      </c>
      <c r="N7" s="26">
        <f>IFERROR(Valores!R7/Valores!S7,0)</f>
        <v>0.72635306019221046</v>
      </c>
      <c r="O7" s="24">
        <f>IF(Valores!W7&gt;0,Valores!T7/Valores!W7,IF(AND(Valores!W7=0,OR(Valores!V7&gt;0,Valores!U7&gt;0)),0,IF(AND(Valores!V7=0,Valores!W7=0,Valores!U7=0),"NC",)))</f>
        <v>0.5</v>
      </c>
      <c r="P7" s="27">
        <f>IFERROR((Valores!X7+Valores!Y7)*1000/(Valores!H7),0)</f>
        <v>1.6384285980253037</v>
      </c>
      <c r="Q7" s="28">
        <f t="array" ref="Q7">F7/MAX(IF($E$4:$E$18=$E7,F$4:F$18))</f>
        <v>0.63187009636739222</v>
      </c>
      <c r="R7" s="28">
        <f t="array" ref="R7">G7/MAX(IF($E$4:$E$18=$E7,G$4:G$18))</f>
        <v>0.74486502462839399</v>
      </c>
      <c r="S7" s="28">
        <f t="array" ref="S7">H7/MAX(IF($E$4:$E$18=$E7,H$4:H$18))</f>
        <v>0.87009160461941415</v>
      </c>
      <c r="T7" s="28">
        <f t="array" ref="T7">I7/MAX(IF($E$4:$E$18=$E7,I$4:I$18))</f>
        <v>0.62692208895389889</v>
      </c>
      <c r="U7" s="28">
        <f t="array" ref="U7">J7/MAX(IF($E$4:$E$18=$E7,J$4:J$18))</f>
        <v>0.78954383922637927</v>
      </c>
      <c r="V7" s="28">
        <f t="array" ref="V7">K7/MAX(IF($E$4:$E$18=$E7,K$4:K$18))</f>
        <v>0.57603653355264006</v>
      </c>
      <c r="W7" s="28">
        <f t="array" ref="W7">L7/MAX(IF($E$4:$E$18=$E7,L$4:L$18))</f>
        <v>0.98764805598279026</v>
      </c>
      <c r="X7" s="28">
        <f t="array" ref="X7">M7/MAX(IF($E$4:$E$18=$E7,M$4:M$18))</f>
        <v>0.99405472636815928</v>
      </c>
      <c r="Y7" s="28">
        <f t="array" ref="Y7">N7/MAX(IF($E$4:$E$18=$E7,N$4:N$18))</f>
        <v>0.95867756108754099</v>
      </c>
      <c r="Z7" s="28">
        <f t="array" ref="Z7">IF(O7="NC","NC",IF(O7=0,0,IF(O7&gt;0,O7/MAX(IF($E$4:$E$18=$E7,$O$4:$O$18,"ERROR")))))</f>
        <v>1</v>
      </c>
      <c r="AA7" s="29">
        <f t="array" ref="AA7">IF(P7=0,0,P7/MAX(IF($E$4:$E$18=$E7,$P$4:$P$18)))</f>
        <v>7.1086543199365484E-2</v>
      </c>
      <c r="AB7" s="30">
        <f t="shared" si="1"/>
        <v>0.75007237036236141</v>
      </c>
      <c r="AC7" s="10">
        <f t="array" ref="AC7">SUM(IF($E$4:$E$18=$E7,$AB$4:$AB$18,"ERROR"))</f>
        <v>3.8286792237851559</v>
      </c>
      <c r="AD7" s="34">
        <f t="shared" si="2"/>
        <v>0.19590890918796161</v>
      </c>
      <c r="AE7" s="62">
        <f>IFERROR(VLOOKUP(E7,Categorías!$A$26:$C$28,3,0),0)</f>
        <v>11965277</v>
      </c>
      <c r="AF7" s="63">
        <f t="shared" si="3"/>
        <v>2344104.3652018057</v>
      </c>
      <c r="AG7" s="62">
        <f t="shared" si="4"/>
        <v>2344104</v>
      </c>
      <c r="AH7" s="31">
        <f t="shared" si="4"/>
        <v>2344104</v>
      </c>
      <c r="AI7" s="18">
        <f t="array" ref="AI7">AG7/(SUM(IF($C$4:$C$18=$C7,$AG$4:$AG$18,0)))</f>
        <v>8.9049491655950372E-2</v>
      </c>
    </row>
    <row r="8" spans="1:35" x14ac:dyDescent="0.35">
      <c r="A8" s="21" t="str">
        <f>Valores!A8</f>
        <v>UNIVERSIDAD CATÓLICA DE TEMUCO</v>
      </c>
      <c r="B8" s="22" t="str">
        <f>Valores!B8</f>
        <v>UCT</v>
      </c>
      <c r="C8" s="23" t="str">
        <f>Valores!C8</f>
        <v>CRUCH-PRIVADA</v>
      </c>
      <c r="D8" s="23" t="str">
        <f>Valores!D8</f>
        <v>Categoría II</v>
      </c>
      <c r="E8" s="23" t="str">
        <f t="shared" si="0"/>
        <v>CRUCH-PRIVADACategoría II</v>
      </c>
      <c r="F8" s="25">
        <f>IFERROR(Valores!E8/Valores!F8*100,0)</f>
        <v>3.1315944964970033</v>
      </c>
      <c r="G8" s="26">
        <f>IFERROR(Valores!G8/Valores!H8,0)</f>
        <v>0.33931679208824778</v>
      </c>
      <c r="H8" s="26">
        <f>IFERROR((Valores!G8+Valores!I8+Valores!J8)/(Valores!H8),0)</f>
        <v>0.72782141760282115</v>
      </c>
      <c r="I8" s="26">
        <f>IFERROR(Valores!K8/Valores!H8,0)</f>
        <v>0.57378154701634476</v>
      </c>
      <c r="J8" s="26">
        <f>IFERROR(Valores!K8/Valores!G8,0)</f>
        <v>1.6909907213407775</v>
      </c>
      <c r="K8" s="26">
        <f>IFERROR(Valores!L8/Valores!M8,0)</f>
        <v>4.5816793893129768</v>
      </c>
      <c r="L8" s="26">
        <f>IFERROR(Valores!N8/Valores!O8,0)</f>
        <v>0.80659586361095581</v>
      </c>
      <c r="M8" s="26">
        <f>IFERROR(Valores!P8/Valores!Q8,0)</f>
        <v>0.85199774901519409</v>
      </c>
      <c r="N8" s="26">
        <f>IFERROR(Valores!R8/Valores!S8,0)</f>
        <v>0.72546012269938653</v>
      </c>
      <c r="O8" s="24">
        <f>IF(Valores!W8&gt;0,Valores!T8/Valores!W8,IF(AND(Valores!W8=0,OR(Valores!V8&gt;0,Valores!U8&gt;0)),0,IF(AND(Valores!V8=0,Valores!W8=0,Valores!U8=0),"NC",)))</f>
        <v>0.27272727272727271</v>
      </c>
      <c r="P8" s="27">
        <f>IFERROR((Valores!X8+Valores!Y8)*1000/(Valores!H8),0)</f>
        <v>0</v>
      </c>
      <c r="Q8" s="28">
        <f t="array" ref="Q8">F8/MAX(IF($E$4:$E$18=$E8,F$4:F$18))</f>
        <v>0.83148223967738188</v>
      </c>
      <c r="R8" s="28">
        <f t="array" ref="R8">G8/MAX(IF($E$4:$E$18=$E8,G$4:G$18))</f>
        <v>0.76573472847794666</v>
      </c>
      <c r="S8" s="28">
        <f t="array" ref="S8">H8/MAX(IF($E$4:$E$18=$E8,H$4:H$18))</f>
        <v>0.87612698464527716</v>
      </c>
      <c r="T8" s="28">
        <f t="array" ref="T8">I8/MAX(IF($E$4:$E$18=$E8,I$4:I$18))</f>
        <v>0.45834987361514123</v>
      </c>
      <c r="U8" s="28">
        <f t="array" ref="U8">J8/MAX(IF($E$4:$E$18=$E8,J$4:J$18))</f>
        <v>0.56151198606847041</v>
      </c>
      <c r="V8" s="28">
        <f t="array" ref="V8">K8/MAX(IF($E$4:$E$18=$E8,K$4:K$18))</f>
        <v>0.39277016225434086</v>
      </c>
      <c r="W8" s="28">
        <f t="array" ref="W8">L8/MAX(IF($E$4:$E$18=$E8,L$4:L$18))</f>
        <v>0.99622747725377214</v>
      </c>
      <c r="X8" s="28">
        <f t="array" ref="X8">M8/MAX(IF($E$4:$E$18=$E8,M$4:M$18))</f>
        <v>0.95160942613886113</v>
      </c>
      <c r="Y8" s="28">
        <f t="array" ref="Y8">N8/MAX(IF($E$4:$E$18=$E8,N$4:N$18))</f>
        <v>0.95749901695419959</v>
      </c>
      <c r="Z8" s="28">
        <f t="array" ref="Z8">IF(O8="NC","NC",IF(O8=0,0,IF(O8&gt;0,O8/MAX(IF($E$4:$E$18=$E8,$O$4:$O$18,"ERROR")))))</f>
        <v>0.54545454545454541</v>
      </c>
      <c r="AA8" s="29">
        <f t="array" ref="AA8">IF(P8=0,0,P8/MAX(IF($E$4:$E$18=$E8,$P$4:$P$18)))</f>
        <v>0</v>
      </c>
      <c r="AB8" s="30">
        <f t="shared" si="1"/>
        <v>0.66697876732181238</v>
      </c>
      <c r="AC8" s="10">
        <f t="array" ref="AC8">SUM(IF($E$4:$E$18=$E8,$AB$4:$AB$18,"ERROR"))</f>
        <v>3.8286792237851559</v>
      </c>
      <c r="AD8" s="34">
        <f t="shared" si="2"/>
        <v>0.17420596721143319</v>
      </c>
      <c r="AE8" s="62">
        <f>IFERROR(VLOOKUP(E8,Categorías!$A$26:$C$28,3,0),0)</f>
        <v>11965277</v>
      </c>
      <c r="AF8" s="63">
        <f t="shared" si="3"/>
        <v>2084422.6527377157</v>
      </c>
      <c r="AG8" s="62">
        <f t="shared" si="4"/>
        <v>2084423</v>
      </c>
      <c r="AH8" s="31">
        <f t="shared" si="4"/>
        <v>2084423</v>
      </c>
      <c r="AI8" s="18">
        <f t="array" ref="AI8">AG8/(SUM(IF($C$4:$C$18=$C8,$AG$4:$AG$18,0)))</f>
        <v>7.9184544945945678E-2</v>
      </c>
    </row>
    <row r="9" spans="1:35" x14ac:dyDescent="0.35">
      <c r="A9" s="21" t="str">
        <f>Valores!A9</f>
        <v>UNIVERSIDAD CATÓLICA DEL MAULE</v>
      </c>
      <c r="B9" s="22" t="str">
        <f>Valores!B9</f>
        <v>UCM</v>
      </c>
      <c r="C9" s="23" t="str">
        <f>Valores!C9</f>
        <v>CRUCH-PRIVADA</v>
      </c>
      <c r="D9" s="23" t="str">
        <f>Valores!D9</f>
        <v>Categoría II</v>
      </c>
      <c r="E9" s="23" t="str">
        <f t="shared" si="0"/>
        <v>CRUCH-PRIVADACategoría II</v>
      </c>
      <c r="F9" s="25">
        <f>IFERROR(Valores!E9/Valores!F9*100,0)</f>
        <v>3.1592249368155008</v>
      </c>
      <c r="G9" s="26">
        <f>IFERROR(Valores!G9/Valores!H9,0)</f>
        <v>0.43120832926998398</v>
      </c>
      <c r="H9" s="26">
        <f>IFERROR((Valores!G9+Valores!I9+Valores!J9)/(Valores!H9),0)</f>
        <v>0.83072594539192124</v>
      </c>
      <c r="I9" s="26">
        <f>IFERROR(Valores!K9/Valores!H9,0)</f>
        <v>1.0444949725644814</v>
      </c>
      <c r="J9" s="26">
        <f>IFERROR(Valores!K9/Valores!G9,0)</f>
        <v>2.4222513844590243</v>
      </c>
      <c r="K9" s="26">
        <f>IFERROR(Valores!L9/Valores!M9,0)</f>
        <v>5.8351126927639383</v>
      </c>
      <c r="L9" s="26">
        <f>IFERROR(Valores!N9/Valores!O9,0)</f>
        <v>0.80965028773793712</v>
      </c>
      <c r="M9" s="26">
        <f>IFERROR(Valores!P9/Valores!Q9,0)</f>
        <v>0.88577405857740588</v>
      </c>
      <c r="N9" s="26">
        <f>IFERROR(Valores!R9/Valores!S9,0)</f>
        <v>0.75766148043375769</v>
      </c>
      <c r="O9" s="24">
        <f>IF(Valores!W9&gt;0,Valores!T9/Valores!W9,IF(AND(Valores!W9=0,OR(Valores!V9&gt;0,Valores!U9&gt;0)),0,IF(AND(Valores!V9=0,Valores!W9=0,Valores!U9=0),"NC",)))</f>
        <v>0.41666666666666669</v>
      </c>
      <c r="P9" s="27">
        <f>IFERROR((Valores!X9+Valores!Y9)*1000/(Valores!H9),0)</f>
        <v>1.8819729235396063</v>
      </c>
      <c r="Q9" s="28">
        <f t="array" ref="Q9">F9/MAX(IF($E$4:$E$18=$E9,F$4:F$18))</f>
        <v>0.83881850892456422</v>
      </c>
      <c r="R9" s="28">
        <f t="array" ref="R9">G9/MAX(IF($E$4:$E$18=$E9,G$4:G$18))</f>
        <v>0.97310596065374144</v>
      </c>
      <c r="S9" s="28">
        <f t="array" ref="S9">H9/MAX(IF($E$4:$E$18=$E9,H$4:H$18))</f>
        <v>1</v>
      </c>
      <c r="T9" s="28">
        <f t="array" ref="T9">I9/MAX(IF($E$4:$E$18=$E9,I$4:I$18))</f>
        <v>0.83436656538719778</v>
      </c>
      <c r="U9" s="28">
        <f t="array" ref="U9">J9/MAX(IF($E$4:$E$18=$E9,J$4:J$18))</f>
        <v>0.80433509686336691</v>
      </c>
      <c r="V9" s="28">
        <f t="array" ref="V9">K9/MAX(IF($E$4:$E$18=$E9,K$4:K$18))</f>
        <v>0.50022229064197354</v>
      </c>
      <c r="W9" s="28">
        <f t="array" ref="W9">L9/MAX(IF($E$4:$E$18=$E9,L$4:L$18))</f>
        <v>1</v>
      </c>
      <c r="X9" s="28">
        <f t="array" ref="X9">M9/MAX(IF($E$4:$E$18=$E9,M$4:M$18))</f>
        <v>0.98933470721705286</v>
      </c>
      <c r="Y9" s="28">
        <f t="array" ref="Y9">N9/MAX(IF($E$4:$E$18=$E9,N$4:N$18))</f>
        <v>1</v>
      </c>
      <c r="Z9" s="28">
        <f t="array" ref="Z9">IF(O9="NC","NC",IF(O9=0,0,IF(O9&gt;0,O9/MAX(IF($E$4:$E$18=$E9,$O$4:$O$18,"ERROR")))))</f>
        <v>0.83333333333333337</v>
      </c>
      <c r="AA9" s="29">
        <f t="array" ref="AA9">IF(P9=0,0,P9/MAX(IF($E$4:$E$18=$E9,$P$4:$P$18)))</f>
        <v>8.1653207036592665E-2</v>
      </c>
      <c r="AB9" s="30">
        <f t="shared" si="1"/>
        <v>0.80501542455071129</v>
      </c>
      <c r="AC9" s="10">
        <f t="array" ref="AC9">SUM(IF($E$4:$E$18=$E9,$AB$4:$AB$18,"ERROR"))</f>
        <v>3.8286792237851559</v>
      </c>
      <c r="AD9" s="34">
        <f t="shared" si="2"/>
        <v>0.210259302881699</v>
      </c>
      <c r="AE9" s="62">
        <f>IFERROR(VLOOKUP(E9,Categorías!$A$26:$C$28,3,0),0)</f>
        <v>11965277</v>
      </c>
      <c r="AF9" s="63">
        <f t="shared" si="3"/>
        <v>2515810.8008064269</v>
      </c>
      <c r="AG9" s="62">
        <f t="shared" si="4"/>
        <v>2515811</v>
      </c>
      <c r="AH9" s="31">
        <f t="shared" si="4"/>
        <v>2515811</v>
      </c>
      <c r="AI9" s="18">
        <f t="array" ref="AI9">AG9/(SUM(IF($C$4:$C$18=$C9,$AG$4:$AG$18,0)))</f>
        <v>9.5572419420148658E-2</v>
      </c>
    </row>
    <row r="10" spans="1:35" x14ac:dyDescent="0.35">
      <c r="A10" s="21" t="str">
        <f>Valores!A10</f>
        <v>UNIVERSIDAD CATÓLICA DEL NORTE</v>
      </c>
      <c r="B10" s="22" t="str">
        <f>Valores!B10</f>
        <v>UCN</v>
      </c>
      <c r="C10" s="23" t="str">
        <f>Valores!C10</f>
        <v>CRUCH-PRIVADA</v>
      </c>
      <c r="D10" s="23" t="str">
        <f>Valores!D10</f>
        <v>Categoría II</v>
      </c>
      <c r="E10" s="23" t="str">
        <f t="shared" si="0"/>
        <v>CRUCH-PRIVADACategoría II</v>
      </c>
      <c r="F10" s="25">
        <f>IFERROR(Valores!E10/Valores!F10*100,0)</f>
        <v>3.7662794790566703</v>
      </c>
      <c r="G10" s="26">
        <f>IFERROR(Valores!G10/Valores!H10,0)</f>
        <v>0.41568778961164354</v>
      </c>
      <c r="H10" s="26">
        <f>IFERROR((Valores!G10+Valores!I10+Valores!J10)/(Valores!H10),0)</f>
        <v>0.72579022111729163</v>
      </c>
      <c r="I10" s="26">
        <f>IFERROR(Valores!K10/Valores!H10,0)</f>
        <v>1.2518418353446019</v>
      </c>
      <c r="J10" s="26">
        <f>IFERROR(Valores!K10/Valores!G10,0)</f>
        <v>3.0114953256484522</v>
      </c>
      <c r="K10" s="26">
        <f>IFERROR(Valores!L10/Valores!M10,0)</f>
        <v>8.1805135951661629</v>
      </c>
      <c r="L10" s="26">
        <f>IFERROR(Valores!N10/Valores!O10,0)</f>
        <v>0.55876068376068377</v>
      </c>
      <c r="M10" s="26">
        <f>IFERROR(Valores!P10/Valores!Q10,0)</f>
        <v>0.86176470588235299</v>
      </c>
      <c r="N10" s="26">
        <f>IFERROR(Valores!R10/Valores!S10,0)</f>
        <v>0.66866083755177175</v>
      </c>
      <c r="O10" s="24">
        <f>IF(Valores!W10&gt;0,Valores!T10/Valores!W10,IF(AND(Valores!W10=0,OR(Valores!V10&gt;0,Valores!U10&gt;0)),0,IF(AND(Valores!V10=0,Valores!W10=0,Valores!U10=0),"NC",)))</f>
        <v>0.19047619047619047</v>
      </c>
      <c r="P10" s="27">
        <f>IFERROR((Valores!X10+Valores!Y10)*1000/(Valores!H10),0)</f>
        <v>5.3345532756162006</v>
      </c>
      <c r="Q10" s="28">
        <f t="array" ref="Q10">F10/MAX(IF($E$4:$E$18=$E10,F$4:F$18))</f>
        <v>1</v>
      </c>
      <c r="R10" s="28">
        <f t="array" ref="R10">G10/MAX(IF($E$4:$E$18=$E10,G$4:G$18))</f>
        <v>0.93808082633023993</v>
      </c>
      <c r="S10" s="28">
        <f t="array" ref="S10">H10/MAX(IF($E$4:$E$18=$E10,H$4:H$18))</f>
        <v>0.87368189851693767</v>
      </c>
      <c r="T10" s="28">
        <f t="array" ref="T10">I10/MAX(IF($E$4:$E$18=$E10,I$4:I$18))</f>
        <v>1</v>
      </c>
      <c r="U10" s="28">
        <f t="array" ref="U10">J10/MAX(IF($E$4:$E$18=$E10,J$4:J$18))</f>
        <v>1</v>
      </c>
      <c r="V10" s="28">
        <f t="array" ref="V10">K10/MAX(IF($E$4:$E$18=$E10,K$4:K$18))</f>
        <v>0.70128469914152025</v>
      </c>
      <c r="W10" s="28">
        <f t="array" ref="W10">L10/MAX(IF($E$4:$E$18=$E10,L$4:L$18))</f>
        <v>0.69012596206417975</v>
      </c>
      <c r="X10" s="28">
        <f t="array" ref="X10">M10/MAX(IF($E$4:$E$18=$E10,M$4:M$18))</f>
        <v>0.96251829089844898</v>
      </c>
      <c r="Y10" s="28">
        <f t="array" ref="Y10">N10/MAX(IF($E$4:$E$18=$E10,N$4:N$18))</f>
        <v>0.88253244333995506</v>
      </c>
      <c r="Z10" s="28">
        <f t="array" ref="Z10">IF(O10="NC","NC",IF(O10=0,0,IF(O10&gt;0,O10/MAX(IF($E$4:$E$18=$E10,$O$4:$O$18,"ERROR")))))</f>
        <v>0.38095238095238093</v>
      </c>
      <c r="AA10" s="29">
        <f t="array" ref="AA10">IF(P10=0,0,P10/MAX(IF($E$4:$E$18=$E10,$P$4:$P$18)))</f>
        <v>0.23145039846927232</v>
      </c>
      <c r="AB10" s="30">
        <f t="shared" si="1"/>
        <v>0.78732971815572128</v>
      </c>
      <c r="AC10" s="10">
        <f t="array" ref="AC10">SUM(IF($E$4:$E$18=$E10,$AB$4:$AB$18,"ERROR"))</f>
        <v>3.8286792237851559</v>
      </c>
      <c r="AD10" s="34">
        <f t="shared" si="2"/>
        <v>0.20564003201535952</v>
      </c>
      <c r="AE10" s="62">
        <f>IFERROR(VLOOKUP(E10,Categorías!$A$26:$C$28,3,0),0)</f>
        <v>11965277</v>
      </c>
      <c r="AF10" s="63">
        <f t="shared" si="3"/>
        <v>2460539.9453526451</v>
      </c>
      <c r="AG10" s="62">
        <f t="shared" si="4"/>
        <v>2460540</v>
      </c>
      <c r="AH10" s="31">
        <f t="shared" si="4"/>
        <v>2460540</v>
      </c>
      <c r="AI10" s="18">
        <f t="array" ref="AI10">AG10/(SUM(IF($C$4:$C$18=$C10,$AG$4:$AG$18,0)))</f>
        <v>9.3472745321509676E-2</v>
      </c>
    </row>
    <row r="11" spans="1:35" x14ac:dyDescent="0.35">
      <c r="A11" s="21" t="str">
        <f>Valores!A11</f>
        <v>UNIVERSIDAD DE CONCEPCIÓN</v>
      </c>
      <c r="B11" s="22" t="str">
        <f>Valores!B11</f>
        <v>UCO</v>
      </c>
      <c r="C11" s="23" t="str">
        <f>Valores!C11</f>
        <v>CRUCH-PRIVADA</v>
      </c>
      <c r="D11" s="23" t="str">
        <f>Valores!D11</f>
        <v>Categoría I</v>
      </c>
      <c r="E11" s="23" t="str">
        <f t="shared" si="0"/>
        <v>CRUCH-PRIVADACategoría I</v>
      </c>
      <c r="F11" s="25">
        <f>IFERROR(Valores!E11/Valores!F11*100,0)</f>
        <v>3.9945420433225314</v>
      </c>
      <c r="G11" s="26">
        <f>IFERROR(Valores!G11/Valores!H11,0)</f>
        <v>0.56174445294565156</v>
      </c>
      <c r="H11" s="26">
        <f>IFERROR((Valores!G11+Valores!I11+Valores!J11)/(Valores!H11),0)</f>
        <v>0.88769701606731888</v>
      </c>
      <c r="I11" s="26">
        <f>IFERROR(Valores!K11/Valores!H11,0)</f>
        <v>1.1069013006885389</v>
      </c>
      <c r="J11" s="26">
        <f>IFERROR(Valores!K11/Valores!G11,0)</f>
        <v>1.9704712612367012</v>
      </c>
      <c r="K11" s="26">
        <f>IFERROR(Valores!L11/Valores!M11,0)</f>
        <v>10.21319587628866</v>
      </c>
      <c r="L11" s="26">
        <f>IFERROR(Valores!N11/Valores!O11,0)</f>
        <v>0.66186716209939622</v>
      </c>
      <c r="M11" s="26">
        <f>IFERROR(Valores!P11/Valores!Q11,0)</f>
        <v>0.9006098938332957</v>
      </c>
      <c r="N11" s="26">
        <f>IFERROR(Valores!R11/Valores!S11,0)</f>
        <v>0.71207974980453481</v>
      </c>
      <c r="O11" s="24">
        <f>IF(Valores!W11&gt;0,Valores!T11/Valores!W11,IF(AND(Valores!W11=0,OR(Valores!V11&gt;0,Valores!U11&gt;0)),0,IF(AND(Valores!V11=0,Valores!W11=0,Valores!U11=0),"NC",)))</f>
        <v>0.12820512820512819</v>
      </c>
      <c r="P11" s="27">
        <f>IFERROR((Valores!X11+Valores!Y11)*1000/(Valores!H11),0)</f>
        <v>14.139250191276956</v>
      </c>
      <c r="Q11" s="28">
        <f t="array" ref="Q11">F11/MAX(IF($E$4:$E$18=$E11,F$4:F$18))</f>
        <v>0.85724290430308625</v>
      </c>
      <c r="R11" s="28">
        <f t="array" ref="R11">G11/MAX(IF($E$4:$E$18=$E11,G$4:G$18))</f>
        <v>0.85921477828269333</v>
      </c>
      <c r="S11" s="28">
        <f t="array" ref="S11">H11/MAX(IF($E$4:$E$18=$E11,H$4:H$18))</f>
        <v>0.97704003767419934</v>
      </c>
      <c r="T11" s="28">
        <f t="array" ref="T11">I11/MAX(IF($E$4:$E$18=$E11,I$4:I$18))</f>
        <v>0.70091262374810759</v>
      </c>
      <c r="U11" s="28">
        <f t="array" ref="U11">J11/MAX(IF($E$4:$E$18=$E11,J$4:J$18))</f>
        <v>0.69013627242985098</v>
      </c>
      <c r="V11" s="28">
        <f t="array" ref="V11">K11/MAX(IF($E$4:$E$18=$E11,K$4:K$18))</f>
        <v>0.81516815398316567</v>
      </c>
      <c r="W11" s="28">
        <f t="array" ref="W11">L11/MAX(IF($E$4:$E$18=$E11,L$4:L$18))</f>
        <v>0.94189923380350982</v>
      </c>
      <c r="X11" s="28">
        <f t="array" ref="X11">M11/MAX(IF($E$4:$E$18=$E11,M$4:M$18))</f>
        <v>0.9860816795522731</v>
      </c>
      <c r="Y11" s="28">
        <f t="array" ref="Y11">N11/MAX(IF($E$4:$E$18=$E11,N$4:N$18))</f>
        <v>0.89274961745100867</v>
      </c>
      <c r="Z11" s="28">
        <f t="array" ref="Z11">IF(O11="NC","NC",IF(O11=0,0,IF(O11&gt;0,O11/MAX(IF($E$4:$E$18=$E11,$O$4:$O$18,"ERROR")))))</f>
        <v>0.7407407407407407</v>
      </c>
      <c r="AA11" s="29">
        <f t="array" ref="AA11">IF(P11=0,0,P11/MAX(IF($E$4:$E$18=$E11,$P$4:$P$18)))</f>
        <v>0.99874421384868317</v>
      </c>
      <c r="AB11" s="30">
        <f t="shared" si="1"/>
        <v>0.85999365961975627</v>
      </c>
      <c r="AC11" s="10">
        <f t="array" ref="AC11">SUM(IF($E$4:$E$18=$E11,$AB$4:$AB$18,"ERROR"))</f>
        <v>3.3774162866932982</v>
      </c>
      <c r="AD11" s="34">
        <f t="shared" si="2"/>
        <v>0.25463063674088687</v>
      </c>
      <c r="AE11" s="62">
        <f>IFERROR(VLOOKUP(E11,Categorías!$A$26:$C$28,3,0),0)</f>
        <v>14358332</v>
      </c>
      <c r="AF11" s="63">
        <f t="shared" si="3"/>
        <v>3656071.2196970517</v>
      </c>
      <c r="AG11" s="62">
        <f t="shared" si="4"/>
        <v>3656071</v>
      </c>
      <c r="AH11" s="31">
        <f t="shared" si="4"/>
        <v>3656071</v>
      </c>
      <c r="AI11" s="18">
        <f t="array" ref="AI11">AG11/(SUM(IF($C$4:$C$18=$C11,$AG$4:$AG$18,0)))</f>
        <v>0.13888942811755028</v>
      </c>
    </row>
    <row r="12" spans="1:35" x14ac:dyDescent="0.35">
      <c r="A12" s="21" t="str">
        <f>Valores!A12</f>
        <v>UNIVERSIDAD TÉCNICA FEDERICO SANTA MARÍA</v>
      </c>
      <c r="B12" s="22" t="str">
        <f>Valores!B12</f>
        <v>FSM</v>
      </c>
      <c r="C12" s="23" t="str">
        <f>Valores!C12</f>
        <v>CRUCH-PRIVADA</v>
      </c>
      <c r="D12" s="23" t="str">
        <f>Valores!D12</f>
        <v>Categoría II</v>
      </c>
      <c r="E12" s="23" t="str">
        <f t="shared" si="0"/>
        <v>CRUCH-PRIVADACategoría II</v>
      </c>
      <c r="F12" s="25">
        <f>IFERROR(Valores!E12/Valores!F12*100,0)</f>
        <v>2.2374674917047801</v>
      </c>
      <c r="G12" s="26">
        <f>IFERROR(Valores!G12/Valores!H12,0)</f>
        <v>0.44312577119586677</v>
      </c>
      <c r="H12" s="26">
        <f>IFERROR((Valores!G12+Valores!I12+Valores!J12)/(Valores!H12),0)</f>
        <v>0.77127116817280306</v>
      </c>
      <c r="I12" s="26">
        <f>IFERROR(Valores!K12/Valores!H12,0)</f>
        <v>1.0886963022163123</v>
      </c>
      <c r="J12" s="26">
        <f>IFERROR(Valores!K12/Valores!G12,0)</f>
        <v>2.4568562087423613</v>
      </c>
      <c r="K12" s="26">
        <f>IFERROR(Valores!L12/Valores!M12,0)</f>
        <v>11.665039327366422</v>
      </c>
      <c r="L12" s="26">
        <f>IFERROR(Valores!N12/Valores!O12,0)</f>
        <v>0.55672345052555272</v>
      </c>
      <c r="M12" s="26">
        <f>IFERROR(Valores!P12/Valores!Q12,0)</f>
        <v>0.89532293986636968</v>
      </c>
      <c r="N12" s="26">
        <f>IFERROR(Valores!R12/Valores!S12,0)</f>
        <v>0.68916518650088809</v>
      </c>
      <c r="O12" s="24">
        <f>IF(Valores!W12&gt;0,Valores!T12/Valores!W12,IF(AND(Valores!W12=0,OR(Valores!V12&gt;0,Valores!U12&gt;0)),0,IF(AND(Valores!V12=0,Valores!W12=0,Valores!U12=0),"NC",)))</f>
        <v>0.10344827586206896</v>
      </c>
      <c r="P12" s="27">
        <f>IFERROR((Valores!X12+Valores!Y12)*1000/(Valores!H12),0)</f>
        <v>23.048365053147332</v>
      </c>
      <c r="Q12" s="28">
        <f t="array" ref="Q12">F12/MAX(IF($E$4:$E$18=$E12,F$4:F$18))</f>
        <v>0.59407898541432524</v>
      </c>
      <c r="R12" s="28">
        <f t="array" ref="R12">G12/MAX(IF($E$4:$E$18=$E12,G$4:G$18))</f>
        <v>1</v>
      </c>
      <c r="S12" s="28">
        <f t="array" ref="S12">H12/MAX(IF($E$4:$E$18=$E12,H$4:H$18))</f>
        <v>0.92843033548077214</v>
      </c>
      <c r="T12" s="28">
        <f t="array" ref="T12">I12/MAX(IF($E$4:$E$18=$E12,I$4:I$18))</f>
        <v>0.86967560236283403</v>
      </c>
      <c r="U12" s="28">
        <f t="array" ref="U12">J12/MAX(IF($E$4:$E$18=$E12,J$4:J$18))</f>
        <v>0.81582600770377656</v>
      </c>
      <c r="V12" s="28">
        <f t="array" ref="V12">K12/MAX(IF($E$4:$E$18=$E12,K$4:K$18))</f>
        <v>1</v>
      </c>
      <c r="W12" s="28">
        <f t="array" ref="W12">L12/MAX(IF($E$4:$E$18=$E12,L$4:L$18))</f>
        <v>0.68760977295638248</v>
      </c>
      <c r="X12" s="28">
        <f t="array" ref="X12">M12/MAX(IF($E$4:$E$18=$E12,M$4:M$18))</f>
        <v>1</v>
      </c>
      <c r="Y12" s="28">
        <f t="array" ref="Y12">N12/MAX(IF($E$4:$E$18=$E12,N$4:N$18))</f>
        <v>0.90959512169781176</v>
      </c>
      <c r="Z12" s="28">
        <f t="array" ref="Z12">IF(O12="NC","NC",IF(O12=0,0,IF(O12&gt;0,O12/MAX(IF($E$4:$E$18=$E12,$O$4:$O$18,"ERROR")))))</f>
        <v>0.20689655172413793</v>
      </c>
      <c r="AA12" s="29">
        <f t="array" ref="AA12">IF(P12=0,0,P12/MAX(IF($E$4:$E$18=$E12,$P$4:$P$18)))</f>
        <v>1</v>
      </c>
      <c r="AB12" s="30">
        <f t="shared" si="1"/>
        <v>0.81928294339454932</v>
      </c>
      <c r="AC12" s="10">
        <f t="array" ref="AC12">SUM(IF($E$4:$E$18=$E12,$AB$4:$AB$18,"ERROR"))</f>
        <v>3.8286792237851559</v>
      </c>
      <c r="AD12" s="34">
        <f t="shared" si="2"/>
        <v>0.21398578870354665</v>
      </c>
      <c r="AE12" s="62">
        <f>IFERROR(VLOOKUP(E12,Categorías!$A$26:$C$28,3,0),0)</f>
        <v>11965277</v>
      </c>
      <c r="AF12" s="63">
        <f t="shared" si="3"/>
        <v>2560399.2359014065</v>
      </c>
      <c r="AG12" s="62">
        <f t="shared" si="4"/>
        <v>2560399</v>
      </c>
      <c r="AH12" s="31">
        <f t="shared" si="4"/>
        <v>2560399</v>
      </c>
      <c r="AI12" s="18">
        <f t="array" ref="AI12">AG12/(SUM(IF($C$4:$C$18=$C12,$AG$4:$AG$18,0)))</f>
        <v>9.7266260108938712E-2</v>
      </c>
    </row>
    <row r="13" spans="1:35" x14ac:dyDescent="0.35">
      <c r="F13" s="115">
        <f>SUM(F4:F12)</f>
        <v>30.728162722531682</v>
      </c>
      <c r="G13" s="115">
        <f t="shared" ref="G13:P13" si="5">SUM(G4:G12)</f>
        <v>4.2061258730527564</v>
      </c>
      <c r="H13" s="115">
        <f t="shared" si="5"/>
        <v>7.3401549541102815</v>
      </c>
      <c r="I13" s="115">
        <f t="shared" si="5"/>
        <v>9.8925500248567051</v>
      </c>
      <c r="J13" s="115">
        <f t="shared" si="5"/>
        <v>21.155852282209068</v>
      </c>
      <c r="K13" s="115">
        <f t="shared" si="5"/>
        <v>75.022455766832849</v>
      </c>
      <c r="L13" s="115">
        <f t="shared" si="5"/>
        <v>5.8065353041632504</v>
      </c>
      <c r="M13" s="115">
        <f t="shared" si="5"/>
        <v>7.9509069527556511</v>
      </c>
      <c r="N13" s="115">
        <f t="shared" si="5"/>
        <v>6.4959663752297807</v>
      </c>
      <c r="O13" s="115">
        <f t="shared" si="5"/>
        <v>2.0717854751532836</v>
      </c>
      <c r="P13" s="115">
        <f t="shared" si="5"/>
        <v>68.967545091970607</v>
      </c>
      <c r="AF13" s="64">
        <f>SUM(AF4:AF12)</f>
        <v>26323609</v>
      </c>
      <c r="AG13" s="65">
        <f>SUM(AG4:AG12)</f>
        <v>26323609</v>
      </c>
      <c r="AH13" s="59">
        <f t="shared" si="4"/>
        <v>26323609</v>
      </c>
      <c r="AI13" s="88">
        <f>SUM(AI4:AI12)</f>
        <v>1</v>
      </c>
    </row>
    <row r="15" spans="1:35" x14ac:dyDescent="0.35">
      <c r="B15">
        <v>1</v>
      </c>
      <c r="C15">
        <v>2</v>
      </c>
      <c r="D15">
        <v>3</v>
      </c>
      <c r="E15">
        <v>4</v>
      </c>
      <c r="F15">
        <v>5</v>
      </c>
      <c r="G15">
        <v>6</v>
      </c>
      <c r="H15">
        <v>7</v>
      </c>
      <c r="I15">
        <v>8</v>
      </c>
      <c r="J15">
        <v>9</v>
      </c>
      <c r="K15">
        <v>10</v>
      </c>
      <c r="L15">
        <v>11</v>
      </c>
      <c r="M15">
        <v>12</v>
      </c>
      <c r="N15">
        <v>13</v>
      </c>
      <c r="O15">
        <v>14</v>
      </c>
      <c r="P15">
        <v>15</v>
      </c>
      <c r="Q15">
        <v>16</v>
      </c>
      <c r="R15">
        <v>17</v>
      </c>
      <c r="S15">
        <v>18</v>
      </c>
      <c r="T15">
        <v>19</v>
      </c>
      <c r="U15">
        <v>20</v>
      </c>
      <c r="V15">
        <v>21</v>
      </c>
      <c r="W15">
        <v>22</v>
      </c>
      <c r="X15">
        <v>23</v>
      </c>
      <c r="Y15">
        <v>24</v>
      </c>
      <c r="Z15">
        <v>25</v>
      </c>
      <c r="AA15">
        <v>26</v>
      </c>
      <c r="AB15">
        <v>27</v>
      </c>
      <c r="AC15">
        <v>28</v>
      </c>
      <c r="AD15">
        <v>29</v>
      </c>
      <c r="AE15">
        <v>30</v>
      </c>
      <c r="AF15">
        <v>31</v>
      </c>
      <c r="AG15">
        <v>32</v>
      </c>
      <c r="AH15">
        <v>33</v>
      </c>
      <c r="AI15">
        <v>34</v>
      </c>
    </row>
    <row r="21" spans="33:35" x14ac:dyDescent="0.35">
      <c r="AG21" s="35"/>
      <c r="AI21" s="35"/>
    </row>
    <row r="22" spans="33:35" x14ac:dyDescent="0.35">
      <c r="AG22" s="35"/>
      <c r="AI22" s="35"/>
    </row>
    <row r="23" spans="33:35" x14ac:dyDescent="0.35">
      <c r="AG23" s="35"/>
      <c r="AI23" s="35"/>
    </row>
    <row r="24" spans="33:35" x14ac:dyDescent="0.35">
      <c r="AG24" s="35"/>
      <c r="AI24" s="35"/>
    </row>
    <row r="25" spans="33:35" x14ac:dyDescent="0.35">
      <c r="AG25" s="35"/>
      <c r="AI25" s="35"/>
    </row>
    <row r="26" spans="33:35" x14ac:dyDescent="0.35">
      <c r="AG26" s="35"/>
      <c r="AI26" s="35"/>
    </row>
    <row r="27" spans="33:35" x14ac:dyDescent="0.35">
      <c r="AG27" s="35"/>
      <c r="AI27" s="35"/>
    </row>
    <row r="28" spans="33:35" x14ac:dyDescent="0.35">
      <c r="AG28" s="35"/>
      <c r="AI28" s="35"/>
    </row>
    <row r="29" spans="33:35" x14ac:dyDescent="0.35">
      <c r="AG29" s="35"/>
      <c r="AI29" s="35"/>
    </row>
    <row r="30" spans="33:35" x14ac:dyDescent="0.35">
      <c r="AG30" s="35"/>
      <c r="AI30" s="35"/>
    </row>
    <row r="31" spans="33:35" x14ac:dyDescent="0.35">
      <c r="AG31" s="35"/>
      <c r="AI31" s="35"/>
    </row>
    <row r="32" spans="33:35" x14ac:dyDescent="0.35">
      <c r="AG32" s="35"/>
      <c r="AI32" s="35"/>
    </row>
    <row r="33" spans="17:35" x14ac:dyDescent="0.35">
      <c r="AE33" s="1"/>
      <c r="AF33" s="35"/>
      <c r="AG33" s="35"/>
      <c r="AI33" s="35"/>
    </row>
    <row r="34" spans="17:35" x14ac:dyDescent="0.35">
      <c r="AE34" s="1"/>
      <c r="AF34" s="35"/>
      <c r="AG34" s="35"/>
      <c r="AI34" s="35"/>
    </row>
    <row r="35" spans="17:35" x14ac:dyDescent="0.35">
      <c r="AE35" s="1"/>
      <c r="AF35" s="35"/>
      <c r="AG35" s="35"/>
      <c r="AI35" s="35"/>
    </row>
    <row r="36" spans="17:35" x14ac:dyDescent="0.35">
      <c r="AE36" s="1"/>
      <c r="AF36" s="35"/>
      <c r="AG36" s="35"/>
      <c r="AI36" s="35"/>
    </row>
    <row r="37" spans="17:35" x14ac:dyDescent="0.35">
      <c r="AE37" s="1"/>
      <c r="AF37" s="35"/>
      <c r="AG37" s="35"/>
      <c r="AI37" s="35"/>
    </row>
    <row r="38" spans="17:35" x14ac:dyDescent="0.35">
      <c r="AE38" s="1"/>
      <c r="AF38" s="35"/>
      <c r="AG38" s="35"/>
      <c r="AI38" s="35"/>
    </row>
    <row r="39" spans="17:35" x14ac:dyDescent="0.35">
      <c r="AE39" s="1"/>
      <c r="AF39" s="35"/>
      <c r="AG39" s="35"/>
      <c r="AI39" s="35"/>
    </row>
    <row r="40" spans="17:35" x14ac:dyDescent="0.35">
      <c r="AE40" s="1"/>
      <c r="AF40" s="35"/>
      <c r="AG40" s="35"/>
      <c r="AI40" s="35"/>
    </row>
    <row r="41" spans="17:35" x14ac:dyDescent="0.35">
      <c r="AE41" s="1"/>
      <c r="AF41" s="35"/>
      <c r="AG41" s="35"/>
      <c r="AI41" s="35"/>
    </row>
    <row r="42" spans="17:35" x14ac:dyDescent="0.35">
      <c r="AE42" s="1"/>
      <c r="AF42" s="35"/>
      <c r="AG42" s="35"/>
      <c r="AI42" s="35"/>
    </row>
    <row r="43" spans="17:35" x14ac:dyDescent="0.35">
      <c r="AE43" s="1"/>
      <c r="AF43" s="35"/>
      <c r="AG43" s="35"/>
      <c r="AI43" s="35"/>
    </row>
    <row r="44" spans="17:35" x14ac:dyDescent="0.35">
      <c r="AE44" s="1"/>
      <c r="AF44" s="35"/>
      <c r="AG44" s="35"/>
      <c r="AI44" s="35"/>
    </row>
    <row r="45" spans="17:35" x14ac:dyDescent="0.35">
      <c r="AE45" s="1"/>
      <c r="AF45" s="35"/>
      <c r="AG45" s="35"/>
      <c r="AI45" s="35"/>
    </row>
    <row r="46" spans="17:35" x14ac:dyDescent="0.35">
      <c r="AE46" s="1"/>
      <c r="AF46" s="35"/>
      <c r="AG46" s="35"/>
      <c r="AI46" s="35"/>
    </row>
    <row r="47" spans="17:35" x14ac:dyDescent="0.35">
      <c r="AE47" s="1"/>
      <c r="AF47" s="35"/>
      <c r="AG47" s="35"/>
      <c r="AI47" s="35"/>
    </row>
    <row r="48" spans="17:35" x14ac:dyDescent="0.35">
      <c r="Q48" s="36" t="e">
        <f>#REF!-#REF!</f>
        <v>#REF!</v>
      </c>
      <c r="R48" s="36" t="e">
        <f>#REF!-#REF!</f>
        <v>#REF!</v>
      </c>
      <c r="S48" s="36" t="e">
        <f>#REF!-#REF!</f>
        <v>#REF!</v>
      </c>
      <c r="T48" s="36" t="e">
        <f>#REF!-#REF!</f>
        <v>#REF!</v>
      </c>
      <c r="U48" s="36" t="e">
        <f>#REF!-#REF!</f>
        <v>#REF!</v>
      </c>
      <c r="V48" s="36"/>
      <c r="W48" s="36"/>
      <c r="X48" s="36"/>
      <c r="Y48" s="36"/>
      <c r="Z48" s="36"/>
      <c r="AA48" s="36"/>
      <c r="AB48" s="36"/>
      <c r="AC48" s="36"/>
      <c r="AD48" s="36"/>
      <c r="AE48" s="1"/>
      <c r="AF48" s="35"/>
      <c r="AG48" s="35"/>
      <c r="AI48" s="35"/>
    </row>
    <row r="49" spans="17:35" x14ac:dyDescent="0.35">
      <c r="Q49" s="36" t="e">
        <f>#REF!-Q18</f>
        <v>#REF!</v>
      </c>
      <c r="R49" s="36" t="e">
        <f>#REF!-R18</f>
        <v>#REF!</v>
      </c>
      <c r="S49" s="36" t="e">
        <f>#REF!-S18</f>
        <v>#REF!</v>
      </c>
      <c r="T49" s="36" t="e">
        <f>#REF!-T18</f>
        <v>#REF!</v>
      </c>
      <c r="U49" s="36" t="e">
        <f>#REF!-U18</f>
        <v>#REF!</v>
      </c>
      <c r="V49" s="36"/>
      <c r="W49" s="36"/>
      <c r="X49" s="36"/>
      <c r="Y49" s="36"/>
      <c r="Z49" s="36"/>
      <c r="AA49" s="36"/>
      <c r="AB49" s="36"/>
      <c r="AC49" s="36"/>
      <c r="AD49" s="36"/>
      <c r="AE49" s="1"/>
      <c r="AF49" s="35"/>
      <c r="AG49" s="35"/>
      <c r="AI49" s="35"/>
    </row>
    <row r="50" spans="17:35" x14ac:dyDescent="0.35">
      <c r="Q50" s="36" t="e">
        <f>#REF!-Q19</f>
        <v>#REF!</v>
      </c>
      <c r="R50" s="36" t="e">
        <f>#REF!-R19</f>
        <v>#REF!</v>
      </c>
      <c r="S50" s="36" t="e">
        <f>#REF!-S19</f>
        <v>#REF!</v>
      </c>
      <c r="T50" s="36" t="e">
        <f>#REF!-T19</f>
        <v>#REF!</v>
      </c>
      <c r="U50" s="36" t="e">
        <f>#REF!-U19</f>
        <v>#REF!</v>
      </c>
      <c r="V50" s="36"/>
      <c r="W50" s="36"/>
      <c r="X50" s="36"/>
      <c r="Y50" s="36"/>
      <c r="Z50" s="36"/>
      <c r="AA50" s="36"/>
      <c r="AB50" s="36"/>
      <c r="AC50" s="36"/>
      <c r="AD50" s="36"/>
      <c r="AE50" s="1"/>
      <c r="AF50" s="35"/>
      <c r="AG50" s="35"/>
      <c r="AI50" s="35"/>
    </row>
    <row r="51" spans="17:35" x14ac:dyDescent="0.35">
      <c r="Q51" s="36" t="e">
        <f>#REF!-Q20</f>
        <v>#REF!</v>
      </c>
      <c r="R51" s="36" t="e">
        <f>#REF!-R20</f>
        <v>#REF!</v>
      </c>
      <c r="S51" s="36" t="e">
        <f>#REF!-S20</f>
        <v>#REF!</v>
      </c>
      <c r="T51" s="36" t="e">
        <f>#REF!-T20</f>
        <v>#REF!</v>
      </c>
      <c r="U51" s="36" t="e">
        <f>#REF!-U20</f>
        <v>#REF!</v>
      </c>
      <c r="V51" s="36"/>
      <c r="W51" s="36"/>
      <c r="X51" s="36"/>
      <c r="Y51" s="36"/>
      <c r="Z51" s="36"/>
      <c r="AA51" s="36"/>
      <c r="AB51" s="36"/>
      <c r="AC51" s="36"/>
      <c r="AD51" s="36"/>
      <c r="AG51" s="35"/>
      <c r="AI51" s="35"/>
    </row>
    <row r="52" spans="17:35" x14ac:dyDescent="0.35">
      <c r="Q52" s="36" t="e">
        <f>#REF!-Q21</f>
        <v>#REF!</v>
      </c>
      <c r="R52" s="36" t="e">
        <f>#REF!-R21</f>
        <v>#REF!</v>
      </c>
      <c r="S52" s="36" t="e">
        <f>#REF!-S21</f>
        <v>#REF!</v>
      </c>
      <c r="T52" s="36" t="e">
        <f>#REF!-T21</f>
        <v>#REF!</v>
      </c>
      <c r="U52" s="36" t="e">
        <f>#REF!-U21</f>
        <v>#REF!</v>
      </c>
      <c r="V52" s="36"/>
      <c r="W52" s="36"/>
      <c r="X52" s="36"/>
      <c r="Y52" s="36"/>
      <c r="Z52" s="36"/>
      <c r="AA52" s="36"/>
      <c r="AB52" s="36"/>
      <c r="AC52" s="36"/>
      <c r="AD52" s="36"/>
    </row>
    <row r="53" spans="17:35" x14ac:dyDescent="0.35">
      <c r="Q53" s="36" t="e">
        <f>#REF!-Q22</f>
        <v>#REF!</v>
      </c>
      <c r="R53" s="36" t="e">
        <f>#REF!-R22</f>
        <v>#REF!</v>
      </c>
      <c r="S53" s="36" t="e">
        <f>#REF!-S22</f>
        <v>#REF!</v>
      </c>
      <c r="T53" s="36" t="e">
        <f>#REF!-T22</f>
        <v>#REF!</v>
      </c>
      <c r="U53" s="36" t="e">
        <f>#REF!-U22</f>
        <v>#REF!</v>
      </c>
      <c r="V53" s="36"/>
      <c r="W53" s="36"/>
      <c r="X53" s="36"/>
      <c r="Y53" s="36"/>
      <c r="Z53" s="36"/>
      <c r="AA53" s="36"/>
      <c r="AB53" s="36"/>
      <c r="AC53" s="36"/>
      <c r="AD53" s="36"/>
    </row>
    <row r="54" spans="17:35" x14ac:dyDescent="0.35">
      <c r="Q54" s="36" t="e">
        <f>#REF!-Q23</f>
        <v>#REF!</v>
      </c>
      <c r="R54" s="36" t="e">
        <f>#REF!-R23</f>
        <v>#REF!</v>
      </c>
      <c r="S54" s="36" t="e">
        <f>#REF!-S23</f>
        <v>#REF!</v>
      </c>
      <c r="T54" s="36" t="e">
        <f>#REF!-T23</f>
        <v>#REF!</v>
      </c>
      <c r="U54" s="36" t="e">
        <f>#REF!-U23</f>
        <v>#REF!</v>
      </c>
      <c r="V54" s="36"/>
      <c r="W54" s="36"/>
      <c r="X54" s="36"/>
      <c r="Y54" s="36"/>
      <c r="Z54" s="36"/>
      <c r="AA54" s="36"/>
      <c r="AB54" s="36"/>
      <c r="AC54" s="36"/>
      <c r="AD54" s="36"/>
    </row>
    <row r="55" spans="17:35" x14ac:dyDescent="0.35">
      <c r="Q55" s="36" t="e">
        <f>#REF!-Q24</f>
        <v>#REF!</v>
      </c>
      <c r="R55" s="36" t="e">
        <f>#REF!-R24</f>
        <v>#REF!</v>
      </c>
      <c r="S55" s="36" t="e">
        <f>#REF!-S24</f>
        <v>#REF!</v>
      </c>
      <c r="T55" s="36" t="e">
        <f>#REF!-T24</f>
        <v>#REF!</v>
      </c>
      <c r="U55" s="36" t="e">
        <f>#REF!-U24</f>
        <v>#REF!</v>
      </c>
      <c r="V55" s="36"/>
      <c r="W55" s="36"/>
      <c r="X55" s="36"/>
      <c r="Y55" s="36"/>
      <c r="Z55" s="36"/>
      <c r="AA55" s="36"/>
      <c r="AB55" s="36"/>
      <c r="AC55" s="36"/>
      <c r="AD55" s="36"/>
    </row>
    <row r="56" spans="17:35" x14ac:dyDescent="0.35">
      <c r="Q56" s="36" t="e">
        <f>#REF!-Q25</f>
        <v>#REF!</v>
      </c>
      <c r="R56" s="36" t="e">
        <f>#REF!-R25</f>
        <v>#REF!</v>
      </c>
      <c r="S56" s="36" t="e">
        <f>#REF!-S25</f>
        <v>#REF!</v>
      </c>
      <c r="T56" s="36" t="e">
        <f>#REF!-T25</f>
        <v>#REF!</v>
      </c>
      <c r="U56" s="36" t="e">
        <f>#REF!-U25</f>
        <v>#REF!</v>
      </c>
      <c r="V56" s="36"/>
      <c r="W56" s="36"/>
      <c r="X56" s="36"/>
      <c r="Y56" s="36"/>
      <c r="Z56" s="36"/>
      <c r="AA56" s="36"/>
      <c r="AB56" s="36"/>
      <c r="AC56" s="36"/>
      <c r="AD56" s="36"/>
    </row>
    <row r="57" spans="17:35" x14ac:dyDescent="0.35">
      <c r="Q57" s="36" t="e">
        <f>#REF!-Q26</f>
        <v>#REF!</v>
      </c>
      <c r="R57" s="36" t="e">
        <f>#REF!-R26</f>
        <v>#REF!</v>
      </c>
      <c r="S57" s="36" t="e">
        <f>#REF!-S26</f>
        <v>#REF!</v>
      </c>
      <c r="T57" s="36" t="e">
        <f>#REF!-T26</f>
        <v>#REF!</v>
      </c>
      <c r="U57" s="36" t="e">
        <f>#REF!-U26</f>
        <v>#REF!</v>
      </c>
      <c r="V57" s="36"/>
      <c r="W57" s="36"/>
      <c r="X57" s="36"/>
      <c r="Y57" s="36"/>
      <c r="Z57" s="36"/>
      <c r="AA57" s="36"/>
      <c r="AB57" s="36"/>
      <c r="AC57" s="36"/>
      <c r="AD57" s="36"/>
    </row>
    <row r="58" spans="17:35" x14ac:dyDescent="0.35">
      <c r="Q58" s="36" t="e">
        <f>#REF!-Q27</f>
        <v>#REF!</v>
      </c>
      <c r="R58" s="36" t="e">
        <f>#REF!-R27</f>
        <v>#REF!</v>
      </c>
      <c r="S58" s="36" t="e">
        <f>#REF!-S27</f>
        <v>#REF!</v>
      </c>
      <c r="T58" s="36" t="e">
        <f>#REF!-T27</f>
        <v>#REF!</v>
      </c>
      <c r="U58" s="36" t="e">
        <f>#REF!-U27</f>
        <v>#REF!</v>
      </c>
      <c r="V58" s="36"/>
      <c r="W58" s="36"/>
      <c r="X58" s="36"/>
      <c r="Y58" s="36"/>
      <c r="Z58" s="36"/>
      <c r="AA58" s="36"/>
      <c r="AB58" s="36"/>
      <c r="AC58" s="36"/>
      <c r="AD58" s="36"/>
    </row>
    <row r="59" spans="17:35" x14ac:dyDescent="0.35">
      <c r="Q59" s="36" t="e">
        <f>#REF!-Q28</f>
        <v>#REF!</v>
      </c>
      <c r="R59" s="36" t="e">
        <f>#REF!-R28</f>
        <v>#REF!</v>
      </c>
      <c r="S59" s="36" t="e">
        <f>#REF!-S28</f>
        <v>#REF!</v>
      </c>
      <c r="T59" s="36" t="e">
        <f>#REF!-T28</f>
        <v>#REF!</v>
      </c>
      <c r="U59" s="36" t="e">
        <f>#REF!-U28</f>
        <v>#REF!</v>
      </c>
      <c r="V59" s="36"/>
      <c r="W59" s="36"/>
      <c r="X59" s="36"/>
      <c r="Y59" s="36"/>
      <c r="Z59" s="36"/>
      <c r="AA59" s="36"/>
      <c r="AB59" s="36"/>
      <c r="AC59" s="36"/>
      <c r="AD59" s="36"/>
    </row>
    <row r="60" spans="17:35" x14ac:dyDescent="0.35">
      <c r="Q60" s="36" t="e">
        <f>#REF!-Q29</f>
        <v>#REF!</v>
      </c>
      <c r="R60" s="36" t="e">
        <f>#REF!-R29</f>
        <v>#REF!</v>
      </c>
      <c r="S60" s="36" t="e">
        <f>#REF!-S29</f>
        <v>#REF!</v>
      </c>
      <c r="T60" s="36" t="e">
        <f>#REF!-T29</f>
        <v>#REF!</v>
      </c>
      <c r="U60" s="36" t="e">
        <f>#REF!-U29</f>
        <v>#REF!</v>
      </c>
      <c r="V60" s="36"/>
      <c r="W60" s="36"/>
      <c r="X60" s="36"/>
      <c r="Y60" s="36"/>
      <c r="Z60" s="36"/>
      <c r="AA60" s="36"/>
      <c r="AB60" s="36"/>
      <c r="AC60" s="36"/>
      <c r="AD60" s="36"/>
    </row>
    <row r="61" spans="17:35" x14ac:dyDescent="0.35">
      <c r="Q61" s="36" t="e">
        <f>#REF!-Q30</f>
        <v>#REF!</v>
      </c>
      <c r="R61" s="36" t="e">
        <f>#REF!-R30</f>
        <v>#REF!</v>
      </c>
      <c r="S61" s="36" t="e">
        <f>#REF!-S30</f>
        <v>#REF!</v>
      </c>
      <c r="T61" s="36" t="e">
        <f>#REF!-T30</f>
        <v>#REF!</v>
      </c>
      <c r="U61" s="36" t="e">
        <f>#REF!-U30</f>
        <v>#REF!</v>
      </c>
      <c r="V61" s="36"/>
      <c r="W61" s="36"/>
      <c r="X61" s="36"/>
      <c r="Y61" s="36"/>
      <c r="Z61" s="36"/>
      <c r="AA61" s="36"/>
      <c r="AB61" s="36"/>
      <c r="AC61" s="36"/>
      <c r="AD61" s="36"/>
    </row>
    <row r="62" spans="17:35" x14ac:dyDescent="0.35">
      <c r="Q62" s="36" t="e">
        <f>#REF!-Q31</f>
        <v>#REF!</v>
      </c>
      <c r="R62" s="36" t="e">
        <f>#REF!-R31</f>
        <v>#REF!</v>
      </c>
      <c r="S62" s="36" t="e">
        <f>#REF!-S31</f>
        <v>#REF!</v>
      </c>
      <c r="T62" s="36" t="e">
        <f>#REF!-T31</f>
        <v>#REF!</v>
      </c>
      <c r="U62" s="36" t="e">
        <f>#REF!-U31</f>
        <v>#REF!</v>
      </c>
      <c r="V62" s="36"/>
      <c r="W62" s="36"/>
      <c r="X62" s="36"/>
      <c r="Y62" s="36"/>
      <c r="Z62" s="36"/>
      <c r="AA62" s="36"/>
      <c r="AB62" s="36"/>
      <c r="AC62" s="36"/>
      <c r="AD62" s="36"/>
    </row>
    <row r="63" spans="17:35" x14ac:dyDescent="0.35">
      <c r="Q63" s="36" t="e">
        <f>#REF!-Q32</f>
        <v>#REF!</v>
      </c>
      <c r="R63" s="36" t="e">
        <f>#REF!-R32</f>
        <v>#REF!</v>
      </c>
      <c r="S63" s="36" t="e">
        <f>#REF!-S32</f>
        <v>#REF!</v>
      </c>
      <c r="T63" s="36" t="e">
        <f>#REF!-T32</f>
        <v>#REF!</v>
      </c>
      <c r="U63" s="36" t="e">
        <f>#REF!-U32</f>
        <v>#REF!</v>
      </c>
      <c r="V63" s="36"/>
      <c r="W63" s="36"/>
      <c r="X63" s="36"/>
      <c r="Y63" s="36"/>
      <c r="Z63" s="36"/>
      <c r="AA63" s="36"/>
      <c r="AB63" s="36"/>
      <c r="AC63" s="36"/>
      <c r="AD63" s="36"/>
    </row>
    <row r="64" spans="17:35" x14ac:dyDescent="0.35">
      <c r="Q64" s="36">
        <f t="shared" ref="Q64:U77" si="6">Q4-Q33</f>
        <v>0.91436268060498693</v>
      </c>
      <c r="R64" s="36">
        <f t="shared" si="6"/>
        <v>0.75887657373079653</v>
      </c>
      <c r="S64" s="36">
        <f t="shared" si="6"/>
        <v>1</v>
      </c>
      <c r="T64" s="36">
        <f t="shared" si="6"/>
        <v>0.89701237889188656</v>
      </c>
      <c r="U64" s="36">
        <f t="shared" si="6"/>
        <v>1</v>
      </c>
      <c r="V64" s="36"/>
      <c r="W64" s="36"/>
      <c r="X64" s="36"/>
      <c r="Y64" s="36"/>
      <c r="Z64" s="36"/>
      <c r="AA64" s="36"/>
      <c r="AB64" s="36"/>
      <c r="AC64" s="36"/>
      <c r="AD64" s="36"/>
    </row>
    <row r="65" spans="17:30" x14ac:dyDescent="0.35">
      <c r="Q65" s="36">
        <f t="shared" si="6"/>
        <v>0.6735962343764057</v>
      </c>
      <c r="R65" s="36">
        <f t="shared" si="6"/>
        <v>1</v>
      </c>
      <c r="S65" s="36">
        <f t="shared" si="6"/>
        <v>0.97672915487672041</v>
      </c>
      <c r="T65" s="36">
        <f t="shared" si="6"/>
        <v>1</v>
      </c>
      <c r="U65" s="36">
        <f t="shared" si="6"/>
        <v>0.84600457205313673</v>
      </c>
      <c r="V65" s="36"/>
      <c r="W65" s="36"/>
      <c r="X65" s="36"/>
      <c r="Y65" s="36"/>
      <c r="Z65" s="36"/>
      <c r="AA65" s="36"/>
      <c r="AB65" s="36"/>
      <c r="AC65" s="36"/>
      <c r="AD65" s="36"/>
    </row>
    <row r="66" spans="17:30" x14ac:dyDescent="0.35">
      <c r="Q66" s="36">
        <f t="shared" si="6"/>
        <v>1</v>
      </c>
      <c r="R66" s="36">
        <f t="shared" si="6"/>
        <v>0.81837082922878746</v>
      </c>
      <c r="S66" s="36">
        <f t="shared" si="6"/>
        <v>0.96644354391994469</v>
      </c>
      <c r="T66" s="36">
        <f t="shared" si="6"/>
        <v>0.66248193722987325</v>
      </c>
      <c r="U66" s="36">
        <f t="shared" si="6"/>
        <v>0.68485181507172999</v>
      </c>
      <c r="V66" s="36"/>
      <c r="W66" s="36"/>
      <c r="X66" s="36"/>
      <c r="Y66" s="36"/>
      <c r="Z66" s="36"/>
      <c r="AA66" s="36"/>
      <c r="AB66" s="36"/>
      <c r="AC66" s="36"/>
      <c r="AD66" s="36"/>
    </row>
    <row r="67" spans="17:30" x14ac:dyDescent="0.35">
      <c r="Q67" s="36">
        <f t="shared" si="6"/>
        <v>0.63187009636739222</v>
      </c>
      <c r="R67" s="36">
        <f t="shared" si="6"/>
        <v>0.74486502462839399</v>
      </c>
      <c r="S67" s="36">
        <f t="shared" si="6"/>
        <v>0.87009160461941415</v>
      </c>
      <c r="T67" s="36">
        <f t="shared" si="6"/>
        <v>0.62692208895389889</v>
      </c>
      <c r="U67" s="36">
        <f t="shared" si="6"/>
        <v>0.78954383922637927</v>
      </c>
      <c r="V67" s="36"/>
      <c r="W67" s="36"/>
      <c r="X67" s="36"/>
      <c r="Y67" s="36"/>
      <c r="Z67" s="36"/>
      <c r="AA67" s="36"/>
      <c r="AB67" s="36"/>
      <c r="AC67" s="36"/>
      <c r="AD67" s="36"/>
    </row>
    <row r="68" spans="17:30" x14ac:dyDescent="0.35">
      <c r="Q68" s="36">
        <f t="shared" si="6"/>
        <v>0.83148223967738188</v>
      </c>
      <c r="R68" s="36">
        <f t="shared" si="6"/>
        <v>0.76573472847794666</v>
      </c>
      <c r="S68" s="36">
        <f t="shared" si="6"/>
        <v>0.87612698464527716</v>
      </c>
      <c r="T68" s="36">
        <f t="shared" si="6"/>
        <v>0.45834987361514123</v>
      </c>
      <c r="U68" s="36">
        <f t="shared" si="6"/>
        <v>0.56151198606847041</v>
      </c>
      <c r="V68" s="36"/>
      <c r="W68" s="36"/>
      <c r="X68" s="36"/>
      <c r="Y68" s="36"/>
      <c r="Z68" s="36"/>
      <c r="AA68" s="36"/>
      <c r="AB68" s="36"/>
      <c r="AC68" s="36"/>
      <c r="AD68" s="36"/>
    </row>
    <row r="69" spans="17:30" x14ac:dyDescent="0.35">
      <c r="Q69" s="36">
        <f t="shared" si="6"/>
        <v>0.83881850892456422</v>
      </c>
      <c r="R69" s="36">
        <f t="shared" si="6"/>
        <v>0.97310596065374144</v>
      </c>
      <c r="S69" s="36">
        <f t="shared" si="6"/>
        <v>1</v>
      </c>
      <c r="T69" s="36">
        <f t="shared" si="6"/>
        <v>0.83436656538719778</v>
      </c>
      <c r="U69" s="36">
        <f t="shared" si="6"/>
        <v>0.80433509686336691</v>
      </c>
      <c r="V69" s="36"/>
      <c r="W69" s="36"/>
      <c r="X69" s="36"/>
      <c r="Y69" s="36"/>
      <c r="Z69" s="36"/>
      <c r="AA69" s="36"/>
      <c r="AB69" s="36"/>
      <c r="AC69" s="36"/>
      <c r="AD69" s="36"/>
    </row>
    <row r="70" spans="17:30" x14ac:dyDescent="0.35">
      <c r="Q70" s="36">
        <f t="shared" si="6"/>
        <v>1</v>
      </c>
      <c r="R70" s="36">
        <f t="shared" si="6"/>
        <v>0.93808082633023993</v>
      </c>
      <c r="S70" s="36">
        <f t="shared" si="6"/>
        <v>0.87368189851693767</v>
      </c>
      <c r="T70" s="36">
        <f t="shared" si="6"/>
        <v>1</v>
      </c>
      <c r="U70" s="36">
        <f t="shared" si="6"/>
        <v>1</v>
      </c>
      <c r="V70" s="36"/>
      <c r="W70" s="36"/>
      <c r="X70" s="36"/>
      <c r="Y70" s="36"/>
      <c r="Z70" s="36"/>
      <c r="AA70" s="36"/>
      <c r="AB70" s="36"/>
      <c r="AC70" s="36"/>
      <c r="AD70" s="36"/>
    </row>
    <row r="71" spans="17:30" x14ac:dyDescent="0.35">
      <c r="Q71" s="36">
        <f t="shared" si="6"/>
        <v>0.85724290430308625</v>
      </c>
      <c r="R71" s="36">
        <f t="shared" si="6"/>
        <v>0.85921477828269333</v>
      </c>
      <c r="S71" s="36">
        <f t="shared" si="6"/>
        <v>0.97704003767419934</v>
      </c>
      <c r="T71" s="36">
        <f t="shared" si="6"/>
        <v>0.70091262374810759</v>
      </c>
      <c r="U71" s="36">
        <f t="shared" si="6"/>
        <v>0.69013627242985098</v>
      </c>
      <c r="V71" s="36"/>
      <c r="W71" s="36"/>
      <c r="X71" s="36"/>
      <c r="Y71" s="36"/>
      <c r="Z71" s="36"/>
      <c r="AA71" s="36"/>
      <c r="AB71" s="36"/>
      <c r="AC71" s="36"/>
      <c r="AD71" s="36"/>
    </row>
    <row r="72" spans="17:30" x14ac:dyDescent="0.35">
      <c r="Q72" s="36">
        <f t="shared" si="6"/>
        <v>0.59407898541432524</v>
      </c>
      <c r="R72" s="36">
        <f t="shared" si="6"/>
        <v>1</v>
      </c>
      <c r="S72" s="36">
        <f t="shared" si="6"/>
        <v>0.92843033548077214</v>
      </c>
      <c r="T72" s="36">
        <f t="shared" si="6"/>
        <v>0.86967560236283403</v>
      </c>
      <c r="U72" s="36">
        <f t="shared" si="6"/>
        <v>0.81582600770377656</v>
      </c>
      <c r="V72" s="36"/>
      <c r="W72" s="36"/>
      <c r="X72" s="36"/>
      <c r="Y72" s="36"/>
      <c r="Z72" s="36"/>
      <c r="AA72" s="36"/>
      <c r="AB72" s="36"/>
      <c r="AC72" s="36"/>
      <c r="AD72" s="36"/>
    </row>
    <row r="73" spans="17:30" x14ac:dyDescent="0.35">
      <c r="Q73" s="36">
        <f t="shared" si="6"/>
        <v>0</v>
      </c>
      <c r="R73" s="36">
        <f t="shared" si="6"/>
        <v>0</v>
      </c>
      <c r="S73" s="36">
        <f t="shared" si="6"/>
        <v>0</v>
      </c>
      <c r="T73" s="36">
        <f t="shared" si="6"/>
        <v>0</v>
      </c>
      <c r="U73" s="36">
        <f t="shared" si="6"/>
        <v>0</v>
      </c>
      <c r="V73" s="36"/>
      <c r="W73" s="36"/>
      <c r="X73" s="36"/>
      <c r="Y73" s="36"/>
      <c r="Z73" s="36"/>
      <c r="AA73" s="36"/>
      <c r="AB73" s="36"/>
      <c r="AC73" s="36"/>
      <c r="AD73" s="36"/>
    </row>
    <row r="74" spans="17:30" x14ac:dyDescent="0.35">
      <c r="Q74" s="36">
        <f t="shared" si="6"/>
        <v>0</v>
      </c>
      <c r="R74" s="36">
        <f t="shared" si="6"/>
        <v>0</v>
      </c>
      <c r="S74" s="36">
        <f t="shared" si="6"/>
        <v>0</v>
      </c>
      <c r="T74" s="36">
        <f t="shared" si="6"/>
        <v>0</v>
      </c>
      <c r="U74" s="36">
        <f t="shared" si="6"/>
        <v>0</v>
      </c>
      <c r="V74" s="36"/>
      <c r="W74" s="36"/>
      <c r="X74" s="36"/>
      <c r="Y74" s="36"/>
      <c r="Z74" s="36"/>
      <c r="AA74" s="36"/>
      <c r="AB74" s="36"/>
      <c r="AC74" s="36"/>
      <c r="AD74" s="36"/>
    </row>
    <row r="75" spans="17:30" x14ac:dyDescent="0.35">
      <c r="Q75" s="36">
        <f t="shared" si="6"/>
        <v>16</v>
      </c>
      <c r="R75" s="36">
        <f t="shared" si="6"/>
        <v>17</v>
      </c>
      <c r="S75" s="36">
        <f t="shared" si="6"/>
        <v>18</v>
      </c>
      <c r="T75" s="36">
        <f t="shared" si="6"/>
        <v>19</v>
      </c>
      <c r="U75" s="36">
        <f t="shared" si="6"/>
        <v>20</v>
      </c>
      <c r="V75" s="36"/>
      <c r="W75" s="36"/>
      <c r="X75" s="36"/>
      <c r="Y75" s="36"/>
      <c r="Z75" s="36"/>
      <c r="AA75" s="36"/>
      <c r="AB75" s="36"/>
      <c r="AC75" s="36"/>
      <c r="AD75" s="36"/>
    </row>
    <row r="76" spans="17:30" x14ac:dyDescent="0.35">
      <c r="Q76" s="36">
        <f t="shared" si="6"/>
        <v>0</v>
      </c>
      <c r="R76" s="36">
        <f t="shared" si="6"/>
        <v>0</v>
      </c>
      <c r="S76" s="36">
        <f t="shared" si="6"/>
        <v>0</v>
      </c>
      <c r="T76" s="36">
        <f t="shared" si="6"/>
        <v>0</v>
      </c>
      <c r="U76" s="36">
        <f t="shared" si="6"/>
        <v>0</v>
      </c>
      <c r="V76" s="36"/>
      <c r="W76" s="36"/>
      <c r="X76" s="36"/>
      <c r="Y76" s="36"/>
      <c r="Z76" s="36"/>
      <c r="AA76" s="36"/>
      <c r="AB76" s="36"/>
      <c r="AC76" s="36"/>
      <c r="AD76" s="36"/>
    </row>
    <row r="77" spans="17:30" x14ac:dyDescent="0.35">
      <c r="Q77" s="36">
        <f t="shared" si="6"/>
        <v>0</v>
      </c>
      <c r="R77" s="36">
        <f t="shared" si="6"/>
        <v>0</v>
      </c>
      <c r="S77" s="36">
        <f t="shared" si="6"/>
        <v>0</v>
      </c>
      <c r="T77" s="36">
        <f t="shared" si="6"/>
        <v>0</v>
      </c>
      <c r="U77" s="36">
        <f t="shared" si="6"/>
        <v>0</v>
      </c>
      <c r="V77" s="36"/>
      <c r="W77" s="36"/>
      <c r="X77" s="36"/>
      <c r="Y77" s="36"/>
      <c r="Z77" s="36"/>
      <c r="AA77" s="36"/>
      <c r="AB77" s="36"/>
      <c r="AC77" s="36"/>
      <c r="AD77" s="36"/>
    </row>
    <row r="78" spans="17:30" x14ac:dyDescent="0.35">
      <c r="Q78" s="36"/>
    </row>
    <row r="79" spans="17:30" x14ac:dyDescent="0.35">
      <c r="Q79" s="36"/>
    </row>
    <row r="80" spans="17:30" x14ac:dyDescent="0.35">
      <c r="Q80" s="36"/>
    </row>
    <row r="81" spans="17:17" x14ac:dyDescent="0.35">
      <c r="Q81" s="36"/>
    </row>
  </sheetData>
  <pageMargins left="0.70866141732283472" right="0.70866141732283472" top="0.74803149606299213" bottom="0.74803149606299213" header="0.31496062992125984" footer="0.31496062992125984"/>
  <pageSetup scale="80" orientation="landscape" verticalDpi="0" r:id="rId1"/>
  <ignoredErrors>
    <ignoredError sqref="M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2:E16"/>
  <sheetViews>
    <sheetView zoomScale="90" zoomScaleNormal="90" workbookViewId="0">
      <selection activeCell="F13" sqref="F13"/>
    </sheetView>
  </sheetViews>
  <sheetFormatPr baseColWidth="10" defaultRowHeight="14.5" x14ac:dyDescent="0.35"/>
  <cols>
    <col min="1" max="1" width="44.7265625" bestFit="1" customWidth="1"/>
    <col min="2" max="2" width="13.1796875" bestFit="1" customWidth="1"/>
    <col min="3" max="3" width="12.1796875" bestFit="1" customWidth="1"/>
    <col min="5" max="5" width="14.453125" bestFit="1" customWidth="1"/>
  </cols>
  <sheetData>
    <row r="2" spans="1:5" x14ac:dyDescent="0.35">
      <c r="B2" s="206">
        <v>1</v>
      </c>
      <c r="C2" s="206">
        <v>2</v>
      </c>
      <c r="D2" s="206">
        <v>3</v>
      </c>
      <c r="E2" s="206">
        <v>4</v>
      </c>
    </row>
    <row r="3" spans="1:5" ht="26" x14ac:dyDescent="0.35">
      <c r="A3" s="46" t="s">
        <v>8</v>
      </c>
      <c r="B3" s="47" t="s">
        <v>0</v>
      </c>
      <c r="C3" s="47" t="s">
        <v>146</v>
      </c>
      <c r="D3" s="47" t="s">
        <v>76</v>
      </c>
      <c r="E3" s="47" t="s">
        <v>77</v>
      </c>
    </row>
    <row r="4" spans="1:5" x14ac:dyDescent="0.35">
      <c r="A4" s="40" t="s">
        <v>9</v>
      </c>
      <c r="B4" s="40" t="s">
        <v>1</v>
      </c>
      <c r="C4" s="41">
        <v>3202</v>
      </c>
      <c r="D4" s="44">
        <f t="shared" ref="D4:D12" si="0">C4/$C$13</f>
        <v>0.32783864031944304</v>
      </c>
      <c r="E4" s="45">
        <f t="shared" ref="E4:E12" si="1">$B$16*D4</f>
        <v>746334.95882051811</v>
      </c>
    </row>
    <row r="5" spans="1:5" x14ac:dyDescent="0.35">
      <c r="A5" s="40" t="s">
        <v>10</v>
      </c>
      <c r="B5" s="40" t="s">
        <v>2</v>
      </c>
      <c r="C5" s="41">
        <v>1644</v>
      </c>
      <c r="D5" s="44">
        <f t="shared" si="0"/>
        <v>0.16832190027644109</v>
      </c>
      <c r="E5" s="45">
        <f t="shared" si="1"/>
        <v>383190.09128698678</v>
      </c>
    </row>
    <row r="6" spans="1:5" x14ac:dyDescent="0.35">
      <c r="A6" s="40" t="s">
        <v>11</v>
      </c>
      <c r="B6" s="40" t="s">
        <v>3</v>
      </c>
      <c r="C6" s="41">
        <v>1051</v>
      </c>
      <c r="D6" s="44">
        <f t="shared" si="0"/>
        <v>0.10760724889935497</v>
      </c>
      <c r="E6" s="45">
        <f t="shared" si="1"/>
        <v>244971.28098699701</v>
      </c>
    </row>
    <row r="7" spans="1:5" x14ac:dyDescent="0.35">
      <c r="A7" s="40" t="s">
        <v>12</v>
      </c>
      <c r="B7" s="40" t="s">
        <v>4</v>
      </c>
      <c r="C7" s="41">
        <v>1008</v>
      </c>
      <c r="D7" s="44">
        <f t="shared" si="0"/>
        <v>0.1032046687826354</v>
      </c>
      <c r="E7" s="45">
        <f t="shared" si="1"/>
        <v>234948.66911026926</v>
      </c>
    </row>
    <row r="8" spans="1:5" x14ac:dyDescent="0.35">
      <c r="A8" s="40" t="s">
        <v>14</v>
      </c>
      <c r="B8" s="40" t="s">
        <v>6</v>
      </c>
      <c r="C8" s="41">
        <v>704</v>
      </c>
      <c r="D8" s="44">
        <f t="shared" si="0"/>
        <v>7.2079451213269169E-2</v>
      </c>
      <c r="E8" s="45">
        <f t="shared" si="1"/>
        <v>164091.13398177535</v>
      </c>
    </row>
    <row r="9" spans="1:5" x14ac:dyDescent="0.35">
      <c r="A9" s="40" t="s">
        <v>13</v>
      </c>
      <c r="B9" s="40" t="s">
        <v>5</v>
      </c>
      <c r="C9" s="41">
        <v>803</v>
      </c>
      <c r="D9" s="44">
        <f t="shared" si="0"/>
        <v>8.2215624040135146E-2</v>
      </c>
      <c r="E9" s="45">
        <f t="shared" si="1"/>
        <v>187166.44969796253</v>
      </c>
    </row>
    <row r="10" spans="1:5" x14ac:dyDescent="0.35">
      <c r="A10" s="40" t="s">
        <v>15</v>
      </c>
      <c r="B10" s="40" t="s">
        <v>7</v>
      </c>
      <c r="C10" s="41">
        <v>321</v>
      </c>
      <c r="D10" s="44">
        <f t="shared" si="0"/>
        <v>3.2865772499232108E-2</v>
      </c>
      <c r="E10" s="45">
        <f t="shared" si="1"/>
        <v>74819.963079758367</v>
      </c>
    </row>
    <row r="11" spans="1:5" x14ac:dyDescent="0.35">
      <c r="A11" s="40" t="s">
        <v>20</v>
      </c>
      <c r="B11" s="40" t="s">
        <v>19</v>
      </c>
      <c r="C11" s="41">
        <v>479</v>
      </c>
      <c r="D11" s="44">
        <f t="shared" si="0"/>
        <v>4.9042694788573767E-2</v>
      </c>
      <c r="E11" s="45">
        <f t="shared" si="1"/>
        <v>111647.23462680454</v>
      </c>
    </row>
    <row r="12" spans="1:5" x14ac:dyDescent="0.35">
      <c r="A12" s="40" t="s">
        <v>21</v>
      </c>
      <c r="B12" s="40" t="s">
        <v>18</v>
      </c>
      <c r="C12" s="41">
        <v>555</v>
      </c>
      <c r="D12" s="44">
        <f t="shared" si="0"/>
        <v>5.6823999180915324E-2</v>
      </c>
      <c r="E12" s="45">
        <f t="shared" si="1"/>
        <v>129361.61840892801</v>
      </c>
    </row>
    <row r="13" spans="1:5" x14ac:dyDescent="0.35">
      <c r="C13" s="39">
        <f>SUM(C4:C12)</f>
        <v>9767</v>
      </c>
      <c r="D13" s="52">
        <f>SUM(D4:D12)</f>
        <v>1</v>
      </c>
      <c r="E13" s="53">
        <f>SUM(E4:E12)</f>
        <v>2276531.4000000004</v>
      </c>
    </row>
    <row r="16" spans="1:5" x14ac:dyDescent="0.35">
      <c r="A16" t="s">
        <v>78</v>
      </c>
      <c r="B16" s="5">
        <f>'Montos BD 2023'!B30/6</f>
        <v>2276531.4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2:K16"/>
  <sheetViews>
    <sheetView zoomScale="90" zoomScaleNormal="90" workbookViewId="0">
      <selection activeCell="L13" sqref="L13"/>
    </sheetView>
  </sheetViews>
  <sheetFormatPr baseColWidth="10" defaultRowHeight="14.5" x14ac:dyDescent="0.35"/>
  <cols>
    <col min="1" max="1" width="44.7265625" bestFit="1" customWidth="1"/>
  </cols>
  <sheetData>
    <row r="2" spans="1:11" x14ac:dyDescent="0.35">
      <c r="B2" s="206">
        <v>1</v>
      </c>
      <c r="C2" s="206">
        <v>2</v>
      </c>
      <c r="D2" s="206">
        <v>3</v>
      </c>
      <c r="E2" s="206">
        <v>4</v>
      </c>
      <c r="F2" s="206">
        <v>5</v>
      </c>
      <c r="G2" s="206">
        <v>6</v>
      </c>
      <c r="H2" s="206">
        <v>7</v>
      </c>
      <c r="I2" s="206">
        <v>8</v>
      </c>
      <c r="J2" s="206">
        <v>9</v>
      </c>
      <c r="K2" s="206">
        <v>10</v>
      </c>
    </row>
    <row r="3" spans="1:11" ht="52" x14ac:dyDescent="0.35">
      <c r="A3" s="50" t="s">
        <v>8</v>
      </c>
      <c r="B3" s="51" t="s">
        <v>0</v>
      </c>
      <c r="C3" s="47" t="s">
        <v>147</v>
      </c>
      <c r="D3" s="47" t="s">
        <v>148</v>
      </c>
      <c r="E3" s="47" t="s">
        <v>149</v>
      </c>
      <c r="F3" s="47" t="s">
        <v>85</v>
      </c>
      <c r="G3" s="47" t="s">
        <v>86</v>
      </c>
      <c r="H3" s="47" t="s">
        <v>87</v>
      </c>
      <c r="I3" s="47" t="s">
        <v>88</v>
      </c>
      <c r="J3" s="47" t="s">
        <v>90</v>
      </c>
      <c r="K3" s="47" t="s">
        <v>89</v>
      </c>
    </row>
    <row r="4" spans="1:11" x14ac:dyDescent="0.35">
      <c r="A4" s="40" t="s">
        <v>9</v>
      </c>
      <c r="B4" s="40" t="s">
        <v>1</v>
      </c>
      <c r="C4" s="108">
        <v>1</v>
      </c>
      <c r="D4" s="108">
        <v>1</v>
      </c>
      <c r="E4" s="108">
        <v>7</v>
      </c>
      <c r="F4" s="108">
        <f>C4*100</f>
        <v>100</v>
      </c>
      <c r="G4" s="108">
        <f>D4*100</f>
        <v>100</v>
      </c>
      <c r="H4" s="108">
        <f>E4/7*100</f>
        <v>100</v>
      </c>
      <c r="I4" s="108">
        <f>F4+G4+H4</f>
        <v>300</v>
      </c>
      <c r="J4" s="109">
        <f t="shared" ref="J4:J12" si="0">I4/$I$13</f>
        <v>0.13207547169811318</v>
      </c>
      <c r="K4" s="110">
        <f t="shared" ref="K4:K12" si="1">J4*$B$16</f>
        <v>300673.95849056594</v>
      </c>
    </row>
    <row r="5" spans="1:11" x14ac:dyDescent="0.35">
      <c r="A5" s="40" t="s">
        <v>10</v>
      </c>
      <c r="B5" s="40" t="s">
        <v>2</v>
      </c>
      <c r="C5" s="108">
        <v>1</v>
      </c>
      <c r="D5" s="108">
        <v>1</v>
      </c>
      <c r="E5" s="108">
        <v>7</v>
      </c>
      <c r="F5" s="108">
        <f t="shared" ref="F5:F12" si="2">C5*100</f>
        <v>100</v>
      </c>
      <c r="G5" s="108">
        <f t="shared" ref="G5:G12" si="3">D5*100</f>
        <v>100</v>
      </c>
      <c r="H5" s="108">
        <f t="shared" ref="H5:H12" si="4">E5/7*100</f>
        <v>100</v>
      </c>
      <c r="I5" s="108">
        <f t="shared" ref="I5:I12" si="5">F5+G5+H5</f>
        <v>300</v>
      </c>
      <c r="J5" s="109">
        <f t="shared" si="0"/>
        <v>0.13207547169811318</v>
      </c>
      <c r="K5" s="110">
        <f t="shared" si="1"/>
        <v>300673.95849056594</v>
      </c>
    </row>
    <row r="6" spans="1:11" x14ac:dyDescent="0.35">
      <c r="A6" s="40" t="s">
        <v>11</v>
      </c>
      <c r="B6" s="40" t="s">
        <v>3</v>
      </c>
      <c r="C6" s="108">
        <v>1</v>
      </c>
      <c r="D6" s="108">
        <v>1</v>
      </c>
      <c r="E6" s="108">
        <v>7</v>
      </c>
      <c r="F6" s="108">
        <f t="shared" si="2"/>
        <v>100</v>
      </c>
      <c r="G6" s="108">
        <f t="shared" si="3"/>
        <v>100</v>
      </c>
      <c r="H6" s="108">
        <f t="shared" si="4"/>
        <v>100</v>
      </c>
      <c r="I6" s="108">
        <f t="shared" si="5"/>
        <v>300</v>
      </c>
      <c r="J6" s="109">
        <f t="shared" si="0"/>
        <v>0.13207547169811318</v>
      </c>
      <c r="K6" s="110">
        <f t="shared" si="1"/>
        <v>300673.95849056594</v>
      </c>
    </row>
    <row r="7" spans="1:11" x14ac:dyDescent="0.35">
      <c r="A7" s="40" t="s">
        <v>12</v>
      </c>
      <c r="B7" s="40" t="s">
        <v>4</v>
      </c>
      <c r="C7" s="108">
        <v>1</v>
      </c>
      <c r="D7" s="108">
        <v>1</v>
      </c>
      <c r="E7" s="108">
        <v>6</v>
      </c>
      <c r="F7" s="108">
        <f t="shared" si="2"/>
        <v>100</v>
      </c>
      <c r="G7" s="108">
        <f t="shared" si="3"/>
        <v>100</v>
      </c>
      <c r="H7" s="108">
        <f t="shared" si="4"/>
        <v>85.714285714285708</v>
      </c>
      <c r="I7" s="108">
        <f t="shared" si="5"/>
        <v>285.71428571428572</v>
      </c>
      <c r="J7" s="109">
        <f t="shared" si="0"/>
        <v>0.12578616352201255</v>
      </c>
      <c r="K7" s="110">
        <f t="shared" si="1"/>
        <v>286356.15094339615</v>
      </c>
    </row>
    <row r="8" spans="1:11" x14ac:dyDescent="0.35">
      <c r="A8" s="40" t="s">
        <v>14</v>
      </c>
      <c r="B8" s="40" t="s">
        <v>6</v>
      </c>
      <c r="C8" s="108">
        <v>1</v>
      </c>
      <c r="D8" s="108">
        <v>1</v>
      </c>
      <c r="E8" s="108">
        <v>6</v>
      </c>
      <c r="F8" s="108">
        <f t="shared" si="2"/>
        <v>100</v>
      </c>
      <c r="G8" s="108">
        <f t="shared" si="3"/>
        <v>100</v>
      </c>
      <c r="H8" s="108">
        <f t="shared" si="4"/>
        <v>85.714285714285708</v>
      </c>
      <c r="I8" s="108">
        <f t="shared" si="5"/>
        <v>285.71428571428572</v>
      </c>
      <c r="J8" s="109">
        <f t="shared" si="0"/>
        <v>0.12578616352201255</v>
      </c>
      <c r="K8" s="110">
        <f t="shared" si="1"/>
        <v>286356.15094339615</v>
      </c>
    </row>
    <row r="9" spans="1:11" x14ac:dyDescent="0.35">
      <c r="A9" s="40" t="s">
        <v>13</v>
      </c>
      <c r="B9" s="40" t="s">
        <v>5</v>
      </c>
      <c r="C9" s="108">
        <v>1</v>
      </c>
      <c r="D9" s="108">
        <v>1</v>
      </c>
      <c r="E9" s="108">
        <v>6</v>
      </c>
      <c r="F9" s="108">
        <f t="shared" si="2"/>
        <v>100</v>
      </c>
      <c r="G9" s="108">
        <f t="shared" si="3"/>
        <v>100</v>
      </c>
      <c r="H9" s="108">
        <f t="shared" si="4"/>
        <v>85.714285714285708</v>
      </c>
      <c r="I9" s="108">
        <f t="shared" si="5"/>
        <v>285.71428571428572</v>
      </c>
      <c r="J9" s="109">
        <f t="shared" si="0"/>
        <v>0.12578616352201255</v>
      </c>
      <c r="K9" s="110">
        <f t="shared" si="1"/>
        <v>286356.15094339615</v>
      </c>
    </row>
    <row r="10" spans="1:11" x14ac:dyDescent="0.35">
      <c r="A10" s="40" t="s">
        <v>15</v>
      </c>
      <c r="B10" s="40" t="s">
        <v>7</v>
      </c>
      <c r="C10" s="108">
        <v>1</v>
      </c>
      <c r="D10" s="108">
        <v>0</v>
      </c>
      <c r="E10" s="108">
        <v>5</v>
      </c>
      <c r="F10" s="108">
        <f t="shared" si="2"/>
        <v>100</v>
      </c>
      <c r="G10" s="108">
        <f t="shared" si="3"/>
        <v>0</v>
      </c>
      <c r="H10" s="108">
        <f t="shared" si="4"/>
        <v>71.428571428571431</v>
      </c>
      <c r="I10" s="108">
        <f t="shared" si="5"/>
        <v>171.42857142857144</v>
      </c>
      <c r="J10" s="109">
        <f t="shared" si="0"/>
        <v>7.547169811320753E-2</v>
      </c>
      <c r="K10" s="110">
        <f t="shared" si="1"/>
        <v>171813.69056603769</v>
      </c>
    </row>
    <row r="11" spans="1:11" x14ac:dyDescent="0.35">
      <c r="A11" s="40" t="s">
        <v>20</v>
      </c>
      <c r="B11" s="40" t="s">
        <v>19</v>
      </c>
      <c r="C11" s="108">
        <v>1</v>
      </c>
      <c r="D11" s="108">
        <v>0</v>
      </c>
      <c r="E11" s="108">
        <v>5</v>
      </c>
      <c r="F11" s="108">
        <f t="shared" si="2"/>
        <v>100</v>
      </c>
      <c r="G11" s="108">
        <f t="shared" si="3"/>
        <v>0</v>
      </c>
      <c r="H11" s="108">
        <f t="shared" si="4"/>
        <v>71.428571428571431</v>
      </c>
      <c r="I11" s="108">
        <f t="shared" si="5"/>
        <v>171.42857142857144</v>
      </c>
      <c r="J11" s="109">
        <f t="shared" si="0"/>
        <v>7.547169811320753E-2</v>
      </c>
      <c r="K11" s="110">
        <f t="shared" si="1"/>
        <v>171813.69056603769</v>
      </c>
    </row>
    <row r="12" spans="1:11" x14ac:dyDescent="0.35">
      <c r="A12" s="40" t="s">
        <v>21</v>
      </c>
      <c r="B12" s="40" t="s">
        <v>18</v>
      </c>
      <c r="C12" s="108">
        <v>1</v>
      </c>
      <c r="D12" s="108">
        <v>0</v>
      </c>
      <c r="E12" s="108">
        <v>5</v>
      </c>
      <c r="F12" s="108">
        <f t="shared" si="2"/>
        <v>100</v>
      </c>
      <c r="G12" s="108">
        <f t="shared" si="3"/>
        <v>0</v>
      </c>
      <c r="H12" s="108">
        <f t="shared" si="4"/>
        <v>71.428571428571431</v>
      </c>
      <c r="I12" s="108">
        <f t="shared" si="5"/>
        <v>171.42857142857144</v>
      </c>
      <c r="J12" s="109">
        <f t="shared" si="0"/>
        <v>7.547169811320753E-2</v>
      </c>
      <c r="K12" s="110">
        <f t="shared" si="1"/>
        <v>171813.69056603769</v>
      </c>
    </row>
    <row r="13" spans="1:11" x14ac:dyDescent="0.35">
      <c r="C13" s="54">
        <f t="shared" ref="C13:K13" si="6">SUM(C4:C12)</f>
        <v>9</v>
      </c>
      <c r="D13" s="54">
        <f t="shared" si="6"/>
        <v>6</v>
      </c>
      <c r="E13" s="54">
        <f t="shared" si="6"/>
        <v>54</v>
      </c>
      <c r="F13" s="54">
        <f t="shared" si="6"/>
        <v>900</v>
      </c>
      <c r="G13" s="54">
        <f t="shared" si="6"/>
        <v>600</v>
      </c>
      <c r="H13" s="54">
        <f t="shared" si="6"/>
        <v>771.42857142857144</v>
      </c>
      <c r="I13" s="54">
        <f t="shared" si="6"/>
        <v>2271.428571428572</v>
      </c>
      <c r="J13" s="54">
        <f t="shared" si="6"/>
        <v>0.99999999999999978</v>
      </c>
      <c r="K13" s="54">
        <f t="shared" si="6"/>
        <v>2276531.3999999994</v>
      </c>
    </row>
    <row r="16" spans="1:11" x14ac:dyDescent="0.35">
      <c r="A16" t="s">
        <v>91</v>
      </c>
      <c r="B16" s="5">
        <f>'Montos BD 2023'!B30/6</f>
        <v>2276531.4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4559A-3A8B-4F61-8795-8F172962E6FA}">
  <sheetPr>
    <tabColor theme="4" tint="0.79998168889431442"/>
  </sheetPr>
  <dimension ref="A2:E16"/>
  <sheetViews>
    <sheetView zoomScale="90" zoomScaleNormal="90" workbookViewId="0">
      <selection activeCell="F13" sqref="F13"/>
    </sheetView>
  </sheetViews>
  <sheetFormatPr baseColWidth="10" defaultRowHeight="14.5" x14ac:dyDescent="0.35"/>
  <cols>
    <col min="1" max="1" width="50" bestFit="1" customWidth="1"/>
    <col min="5" max="5" width="12.1796875" bestFit="1" customWidth="1"/>
  </cols>
  <sheetData>
    <row r="2" spans="1:5" x14ac:dyDescent="0.35">
      <c r="B2" s="206">
        <v>1</v>
      </c>
      <c r="C2" s="206">
        <v>2</v>
      </c>
      <c r="D2" s="206">
        <v>3</v>
      </c>
      <c r="E2" s="206">
        <v>4</v>
      </c>
    </row>
    <row r="3" spans="1:5" ht="26" x14ac:dyDescent="0.35">
      <c r="A3" s="46" t="s">
        <v>8</v>
      </c>
      <c r="B3" s="47" t="s">
        <v>0</v>
      </c>
      <c r="C3" s="47" t="s">
        <v>150</v>
      </c>
      <c r="D3" s="47" t="s">
        <v>90</v>
      </c>
      <c r="E3" s="47" t="s">
        <v>89</v>
      </c>
    </row>
    <row r="4" spans="1:5" x14ac:dyDescent="0.35">
      <c r="A4" s="40" t="s">
        <v>93</v>
      </c>
      <c r="B4" s="40" t="s">
        <v>1</v>
      </c>
      <c r="C4" s="110">
        <v>988</v>
      </c>
      <c r="D4" s="48">
        <f t="shared" ref="D4:D12" si="0">C4/$C$13</f>
        <v>0.25275006395497568</v>
      </c>
      <c r="E4" s="55">
        <f t="shared" ref="E4:E12" si="1">D4*$B$16</f>
        <v>575393.45694551035</v>
      </c>
    </row>
    <row r="5" spans="1:5" x14ac:dyDescent="0.35">
      <c r="A5" s="40" t="s">
        <v>94</v>
      </c>
      <c r="B5" s="40" t="s">
        <v>2</v>
      </c>
      <c r="C5" s="110">
        <v>824</v>
      </c>
      <c r="D5" s="48">
        <f t="shared" si="0"/>
        <v>0.21079559989767205</v>
      </c>
      <c r="E5" s="55">
        <f t="shared" si="1"/>
        <v>479882.80214888719</v>
      </c>
    </row>
    <row r="6" spans="1:5" x14ac:dyDescent="0.35">
      <c r="A6" s="40" t="s">
        <v>95</v>
      </c>
      <c r="B6" s="40" t="s">
        <v>3</v>
      </c>
      <c r="C6" s="110">
        <v>434</v>
      </c>
      <c r="D6" s="48">
        <f t="shared" si="0"/>
        <v>0.11102583781018163</v>
      </c>
      <c r="E6" s="55">
        <f t="shared" si="1"/>
        <v>252753.8059861857</v>
      </c>
    </row>
    <row r="7" spans="1:5" x14ac:dyDescent="0.35">
      <c r="A7" s="40" t="s">
        <v>12</v>
      </c>
      <c r="B7" s="40" t="s">
        <v>4</v>
      </c>
      <c r="C7" s="110">
        <v>528</v>
      </c>
      <c r="D7" s="48">
        <f t="shared" si="0"/>
        <v>0.13507290867229471</v>
      </c>
      <c r="E7" s="55">
        <f t="shared" si="1"/>
        <v>307497.7178818112</v>
      </c>
    </row>
    <row r="8" spans="1:5" x14ac:dyDescent="0.35">
      <c r="A8" s="40" t="s">
        <v>96</v>
      </c>
      <c r="B8" s="40" t="s">
        <v>6</v>
      </c>
      <c r="C8" s="110">
        <v>241</v>
      </c>
      <c r="D8" s="48">
        <f t="shared" si="0"/>
        <v>6.1652596572013302E-2</v>
      </c>
      <c r="E8" s="55">
        <f t="shared" si="1"/>
        <v>140354.07198772064</v>
      </c>
    </row>
    <row r="9" spans="1:5" x14ac:dyDescent="0.35">
      <c r="A9" s="40" t="s">
        <v>97</v>
      </c>
      <c r="B9" s="40" t="s">
        <v>5</v>
      </c>
      <c r="C9" s="110">
        <v>287</v>
      </c>
      <c r="D9" s="48">
        <f t="shared" si="0"/>
        <v>7.3420312100281396E-2</v>
      </c>
      <c r="E9" s="55">
        <f t="shared" si="1"/>
        <v>167143.64589409053</v>
      </c>
    </row>
    <row r="10" spans="1:5" x14ac:dyDescent="0.35">
      <c r="A10" s="40" t="s">
        <v>98</v>
      </c>
      <c r="B10" s="40" t="s">
        <v>7</v>
      </c>
      <c r="C10" s="110">
        <v>186</v>
      </c>
      <c r="D10" s="48">
        <f t="shared" si="0"/>
        <v>4.7582501918649274E-2</v>
      </c>
      <c r="E10" s="55">
        <f t="shared" si="1"/>
        <v>108323.05970836531</v>
      </c>
    </row>
    <row r="11" spans="1:5" x14ac:dyDescent="0.35">
      <c r="A11" s="40" t="s">
        <v>99</v>
      </c>
      <c r="B11" s="40" t="s">
        <v>19</v>
      </c>
      <c r="C11" s="110">
        <v>194</v>
      </c>
      <c r="D11" s="48">
        <f t="shared" si="0"/>
        <v>4.9629061140956769E-2</v>
      </c>
      <c r="E11" s="55">
        <f t="shared" si="1"/>
        <v>112982.11603990791</v>
      </c>
    </row>
    <row r="12" spans="1:5" x14ac:dyDescent="0.35">
      <c r="A12" s="40" t="s">
        <v>100</v>
      </c>
      <c r="B12" s="40" t="s">
        <v>18</v>
      </c>
      <c r="C12" s="110">
        <v>227</v>
      </c>
      <c r="D12" s="48">
        <f t="shared" si="0"/>
        <v>5.8071117932975189E-2</v>
      </c>
      <c r="E12" s="55">
        <f t="shared" si="1"/>
        <v>132200.72340752112</v>
      </c>
    </row>
    <row r="13" spans="1:5" x14ac:dyDescent="0.35">
      <c r="C13" s="54">
        <f>SUM(C4:C12)</f>
        <v>3909</v>
      </c>
      <c r="D13" s="210">
        <f>SUM(D4:D12)</f>
        <v>1</v>
      </c>
      <c r="E13" s="209">
        <f>SUM(E4:E12)</f>
        <v>2276531.4</v>
      </c>
    </row>
    <row r="16" spans="1:5" x14ac:dyDescent="0.35">
      <c r="A16" t="s">
        <v>92</v>
      </c>
      <c r="B16" s="5">
        <f>'Montos BD 2023'!B30/6</f>
        <v>2276531.4</v>
      </c>
    </row>
  </sheetData>
  <autoFilter ref="A3:C12" xr:uid="{8ABAA2A2-4EA5-4CA7-A3F1-190DB176F36F}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BB12F-9721-4CA1-B8BD-0B9F5ECF5FC5}">
  <sheetPr>
    <tabColor theme="4" tint="0.79998168889431442"/>
  </sheetPr>
  <dimension ref="A2:E16"/>
  <sheetViews>
    <sheetView zoomScale="90" zoomScaleNormal="90" workbookViewId="0">
      <selection activeCell="F13" sqref="F13"/>
    </sheetView>
  </sheetViews>
  <sheetFormatPr baseColWidth="10" defaultRowHeight="14.5" x14ac:dyDescent="0.35"/>
  <cols>
    <col min="1" max="1" width="50" bestFit="1" customWidth="1"/>
    <col min="5" max="5" width="13.1796875" bestFit="1" customWidth="1"/>
  </cols>
  <sheetData>
    <row r="2" spans="1:5" x14ac:dyDescent="0.35">
      <c r="B2" s="206">
        <v>1</v>
      </c>
      <c r="C2" s="206">
        <v>2</v>
      </c>
      <c r="D2" s="206">
        <v>3</v>
      </c>
      <c r="E2" s="206">
        <v>4</v>
      </c>
    </row>
    <row r="3" spans="1:5" ht="52" x14ac:dyDescent="0.35">
      <c r="A3" s="46" t="s">
        <v>8</v>
      </c>
      <c r="B3" s="47" t="s">
        <v>0</v>
      </c>
      <c r="C3" s="47" t="s">
        <v>151</v>
      </c>
      <c r="D3" s="47" t="s">
        <v>90</v>
      </c>
      <c r="E3" s="47" t="s">
        <v>89</v>
      </c>
    </row>
    <row r="4" spans="1:5" x14ac:dyDescent="0.35">
      <c r="A4" s="40" t="s">
        <v>9</v>
      </c>
      <c r="B4" s="56" t="s">
        <v>1</v>
      </c>
      <c r="C4" s="108">
        <v>39</v>
      </c>
      <c r="D4" s="48">
        <f t="shared" ref="D4:D12" si="0">C4/$C$13</f>
        <v>0.33913043478260868</v>
      </c>
      <c r="E4" s="55">
        <f t="shared" ref="E4:E12" si="1">D4*$B$16</f>
        <v>772041.08347826079</v>
      </c>
    </row>
    <row r="5" spans="1:5" x14ac:dyDescent="0.35">
      <c r="A5" s="40" t="s">
        <v>10</v>
      </c>
      <c r="B5" s="56" t="s">
        <v>2</v>
      </c>
      <c r="C5" s="108">
        <v>29</v>
      </c>
      <c r="D5" s="48">
        <f t="shared" si="0"/>
        <v>0.25217391304347825</v>
      </c>
      <c r="E5" s="55">
        <f t="shared" si="1"/>
        <v>574081.83130434772</v>
      </c>
    </row>
    <row r="6" spans="1:5" x14ac:dyDescent="0.35">
      <c r="A6" s="40" t="s">
        <v>11</v>
      </c>
      <c r="B6" s="56" t="s">
        <v>3</v>
      </c>
      <c r="C6" s="108">
        <v>17</v>
      </c>
      <c r="D6" s="48">
        <f t="shared" si="0"/>
        <v>0.14782608695652175</v>
      </c>
      <c r="E6" s="55">
        <f t="shared" si="1"/>
        <v>336530.72869565216</v>
      </c>
    </row>
    <row r="7" spans="1:5" x14ac:dyDescent="0.35">
      <c r="A7" s="40" t="s">
        <v>12</v>
      </c>
      <c r="B7" s="56" t="s">
        <v>4</v>
      </c>
      <c r="C7" s="108">
        <v>10</v>
      </c>
      <c r="D7" s="48">
        <f t="shared" si="0"/>
        <v>8.6956521739130432E-2</v>
      </c>
      <c r="E7" s="55">
        <f t="shared" si="1"/>
        <v>197959.25217391303</v>
      </c>
    </row>
    <row r="8" spans="1:5" x14ac:dyDescent="0.35">
      <c r="A8" s="40" t="s">
        <v>14</v>
      </c>
      <c r="B8" s="56" t="s">
        <v>6</v>
      </c>
      <c r="C8" s="108">
        <v>7</v>
      </c>
      <c r="D8" s="48">
        <f t="shared" si="0"/>
        <v>6.0869565217391307E-2</v>
      </c>
      <c r="E8" s="55">
        <f t="shared" si="1"/>
        <v>138571.47652173913</v>
      </c>
    </row>
    <row r="9" spans="1:5" x14ac:dyDescent="0.35">
      <c r="A9" s="40" t="s">
        <v>13</v>
      </c>
      <c r="B9" s="56" t="s">
        <v>5</v>
      </c>
      <c r="C9" s="108">
        <v>6</v>
      </c>
      <c r="D9" s="48">
        <f t="shared" si="0"/>
        <v>5.2173913043478258E-2</v>
      </c>
      <c r="E9" s="55">
        <f t="shared" si="1"/>
        <v>118775.55130434781</v>
      </c>
    </row>
    <row r="10" spans="1:5" x14ac:dyDescent="0.35">
      <c r="A10" s="40" t="s">
        <v>15</v>
      </c>
      <c r="B10" s="56" t="s">
        <v>7</v>
      </c>
      <c r="C10" s="108">
        <v>3</v>
      </c>
      <c r="D10" s="48">
        <f t="shared" si="0"/>
        <v>2.6086956521739129E-2</v>
      </c>
      <c r="E10" s="55">
        <f t="shared" si="1"/>
        <v>59387.775652173907</v>
      </c>
    </row>
    <row r="11" spans="1:5" x14ac:dyDescent="0.35">
      <c r="A11" s="40" t="s">
        <v>20</v>
      </c>
      <c r="B11" s="56" t="s">
        <v>19</v>
      </c>
      <c r="C11" s="108">
        <v>1</v>
      </c>
      <c r="D11" s="48">
        <f t="shared" si="0"/>
        <v>8.6956521739130436E-3</v>
      </c>
      <c r="E11" s="55">
        <f t="shared" si="1"/>
        <v>19795.925217391305</v>
      </c>
    </row>
    <row r="12" spans="1:5" x14ac:dyDescent="0.35">
      <c r="A12" s="40" t="s">
        <v>21</v>
      </c>
      <c r="B12" s="56" t="s">
        <v>18</v>
      </c>
      <c r="C12" s="108">
        <v>3</v>
      </c>
      <c r="D12" s="48">
        <f t="shared" si="0"/>
        <v>2.6086956521739129E-2</v>
      </c>
      <c r="E12" s="55">
        <f t="shared" si="1"/>
        <v>59387.775652173907</v>
      </c>
    </row>
    <row r="13" spans="1:5" x14ac:dyDescent="0.35">
      <c r="C13" s="207">
        <f>SUM(C4:C12)</f>
        <v>115</v>
      </c>
      <c r="D13" s="208">
        <f>SUM(D4:D12)</f>
        <v>0.99999999999999978</v>
      </c>
      <c r="E13" s="209">
        <f>SUM(E4:E12)</f>
        <v>2276531.4</v>
      </c>
    </row>
    <row r="16" spans="1:5" x14ac:dyDescent="0.35">
      <c r="A16" t="s">
        <v>103</v>
      </c>
      <c r="B16" s="5">
        <f>'Montos BD 2023'!B30/6</f>
        <v>2276531.4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EE5E-24A6-4BFE-AB11-397F663DB8B0}">
  <sheetPr>
    <tabColor theme="4" tint="0.79998168889431442"/>
  </sheetPr>
  <dimension ref="A2:E16"/>
  <sheetViews>
    <sheetView zoomScale="90" zoomScaleNormal="90" workbookViewId="0">
      <selection activeCell="F13" sqref="F13"/>
    </sheetView>
  </sheetViews>
  <sheetFormatPr baseColWidth="10" defaultRowHeight="14.5" x14ac:dyDescent="0.35"/>
  <cols>
    <col min="1" max="1" width="50" bestFit="1" customWidth="1"/>
    <col min="5" max="5" width="12" bestFit="1" customWidth="1"/>
  </cols>
  <sheetData>
    <row r="2" spans="1:5" x14ac:dyDescent="0.35">
      <c r="B2" s="206">
        <v>1</v>
      </c>
      <c r="C2" s="206">
        <v>2</v>
      </c>
      <c r="D2" s="206">
        <v>3</v>
      </c>
      <c r="E2" s="206">
        <v>4</v>
      </c>
    </row>
    <row r="3" spans="1:5" ht="26" x14ac:dyDescent="0.35">
      <c r="A3" s="46" t="s">
        <v>8</v>
      </c>
      <c r="B3" s="47" t="s">
        <v>0</v>
      </c>
      <c r="C3" s="47" t="s">
        <v>152</v>
      </c>
      <c r="D3" s="47" t="s">
        <v>90</v>
      </c>
      <c r="E3" s="47" t="s">
        <v>89</v>
      </c>
    </row>
    <row r="4" spans="1:5" x14ac:dyDescent="0.35">
      <c r="A4" s="40" t="s">
        <v>93</v>
      </c>
      <c r="B4" s="56" t="s">
        <v>1</v>
      </c>
      <c r="C4" s="110">
        <v>1557</v>
      </c>
      <c r="D4" s="48">
        <f t="shared" ref="D4:D12" si="0">C4/$C$13</f>
        <v>0.24951923076923077</v>
      </c>
      <c r="E4" s="55">
        <f t="shared" ref="E4:E12" si="1">D4*$B$16</f>
        <v>568038.36375000002</v>
      </c>
    </row>
    <row r="5" spans="1:5" x14ac:dyDescent="0.35">
      <c r="A5" s="40" t="s">
        <v>94</v>
      </c>
      <c r="B5" s="56" t="s">
        <v>2</v>
      </c>
      <c r="C5" s="110">
        <v>1175</v>
      </c>
      <c r="D5" s="48">
        <f t="shared" si="0"/>
        <v>0.18830128205128205</v>
      </c>
      <c r="E5" s="55">
        <f t="shared" si="1"/>
        <v>428673.78125</v>
      </c>
    </row>
    <row r="6" spans="1:5" x14ac:dyDescent="0.35">
      <c r="A6" s="40" t="s">
        <v>95</v>
      </c>
      <c r="B6" s="56" t="s">
        <v>3</v>
      </c>
      <c r="C6" s="110">
        <v>588</v>
      </c>
      <c r="D6" s="48">
        <f t="shared" si="0"/>
        <v>9.4230769230769229E-2</v>
      </c>
      <c r="E6" s="55">
        <f t="shared" si="1"/>
        <v>214519.30499999999</v>
      </c>
    </row>
    <row r="7" spans="1:5" x14ac:dyDescent="0.35">
      <c r="A7" s="40" t="s">
        <v>12</v>
      </c>
      <c r="B7" s="56" t="s">
        <v>4</v>
      </c>
      <c r="C7" s="110">
        <v>866</v>
      </c>
      <c r="D7" s="48">
        <f t="shared" si="0"/>
        <v>0.13878205128205129</v>
      </c>
      <c r="E7" s="55">
        <f t="shared" si="1"/>
        <v>315941.69750000001</v>
      </c>
    </row>
    <row r="8" spans="1:5" x14ac:dyDescent="0.35">
      <c r="A8" s="40" t="s">
        <v>96</v>
      </c>
      <c r="B8" s="56" t="s">
        <v>6</v>
      </c>
      <c r="C8" s="110">
        <v>426</v>
      </c>
      <c r="D8" s="48">
        <f t="shared" si="0"/>
        <v>6.8269230769230763E-2</v>
      </c>
      <c r="E8" s="55">
        <f t="shared" si="1"/>
        <v>155417.04749999999</v>
      </c>
    </row>
    <row r="9" spans="1:5" x14ac:dyDescent="0.35">
      <c r="A9" s="40" t="s">
        <v>97</v>
      </c>
      <c r="B9" s="56" t="s">
        <v>5</v>
      </c>
      <c r="C9" s="110">
        <v>472</v>
      </c>
      <c r="D9" s="48">
        <f t="shared" si="0"/>
        <v>7.5641025641025636E-2</v>
      </c>
      <c r="E9" s="55">
        <f t="shared" si="1"/>
        <v>172199.16999999998</v>
      </c>
    </row>
    <row r="10" spans="1:5" x14ac:dyDescent="0.35">
      <c r="A10" s="40" t="s">
        <v>98</v>
      </c>
      <c r="B10" s="56" t="s">
        <v>7</v>
      </c>
      <c r="C10" s="110">
        <v>384</v>
      </c>
      <c r="D10" s="48">
        <f t="shared" si="0"/>
        <v>6.1538461538461542E-2</v>
      </c>
      <c r="E10" s="55">
        <f t="shared" si="1"/>
        <v>140094.24</v>
      </c>
    </row>
    <row r="11" spans="1:5" x14ac:dyDescent="0.35">
      <c r="A11" s="40" t="s">
        <v>99</v>
      </c>
      <c r="B11" s="56" t="s">
        <v>19</v>
      </c>
      <c r="C11" s="110">
        <v>358</v>
      </c>
      <c r="D11" s="48">
        <f t="shared" si="0"/>
        <v>5.7371794871794869E-2</v>
      </c>
      <c r="E11" s="55">
        <f t="shared" si="1"/>
        <v>130608.69249999999</v>
      </c>
    </row>
    <row r="12" spans="1:5" x14ac:dyDescent="0.35">
      <c r="A12" s="40" t="s">
        <v>100</v>
      </c>
      <c r="B12" s="56" t="s">
        <v>18</v>
      </c>
      <c r="C12" s="110">
        <v>414</v>
      </c>
      <c r="D12" s="48">
        <f t="shared" si="0"/>
        <v>6.6346153846153846E-2</v>
      </c>
      <c r="E12" s="55">
        <f t="shared" si="1"/>
        <v>151039.10250000001</v>
      </c>
    </row>
    <row r="13" spans="1:5" x14ac:dyDescent="0.35">
      <c r="C13" s="54">
        <f>SUM(C4:C12)</f>
        <v>6240</v>
      </c>
      <c r="D13" s="208">
        <f>SUM(D4:D12)</f>
        <v>1</v>
      </c>
      <c r="E13" s="54">
        <f>SUM(E4:E12)</f>
        <v>2276531.4</v>
      </c>
    </row>
    <row r="16" spans="1:5" x14ac:dyDescent="0.35">
      <c r="A16" t="s">
        <v>102</v>
      </c>
      <c r="B16" s="5">
        <f>'Montos BD 2023'!B30/6</f>
        <v>2276531.4</v>
      </c>
    </row>
  </sheetData>
  <autoFilter ref="A3:C12" xr:uid="{F104A81B-AC08-48F4-A852-4A21590014B4}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DC5B1-E8B6-4875-B61D-F7AD45B4FE41}">
  <sheetPr>
    <tabColor theme="4" tint="0.79998168889431442"/>
  </sheetPr>
  <dimension ref="A2:E16"/>
  <sheetViews>
    <sheetView zoomScale="90" zoomScaleNormal="90" workbookViewId="0">
      <selection activeCell="F13" sqref="F13"/>
    </sheetView>
  </sheetViews>
  <sheetFormatPr baseColWidth="10" defaultRowHeight="14.5" x14ac:dyDescent="0.35"/>
  <cols>
    <col min="1" max="1" width="50" bestFit="1" customWidth="1"/>
  </cols>
  <sheetData>
    <row r="2" spans="1:5" x14ac:dyDescent="0.35">
      <c r="B2" s="206">
        <v>1</v>
      </c>
      <c r="C2" s="206">
        <v>2</v>
      </c>
      <c r="D2" s="206">
        <v>3</v>
      </c>
      <c r="E2" s="206">
        <v>4</v>
      </c>
    </row>
    <row r="3" spans="1:5" ht="52" x14ac:dyDescent="0.35">
      <c r="A3" s="46" t="s">
        <v>8</v>
      </c>
      <c r="B3" s="47" t="s">
        <v>0</v>
      </c>
      <c r="C3" s="47" t="s">
        <v>153</v>
      </c>
      <c r="D3" s="47" t="s">
        <v>90</v>
      </c>
      <c r="E3" s="47" t="s">
        <v>89</v>
      </c>
    </row>
    <row r="4" spans="1:5" x14ac:dyDescent="0.35">
      <c r="A4" s="40" t="s">
        <v>93</v>
      </c>
      <c r="B4" s="56" t="s">
        <v>1</v>
      </c>
      <c r="C4" s="110">
        <v>30476</v>
      </c>
      <c r="D4" s="48">
        <f t="shared" ref="D4:D12" si="0">C4/$C$13</f>
        <v>0.19507636372946885</v>
      </c>
      <c r="E4" s="49">
        <f t="shared" ref="E4:E12" si="1">D4*$B$16</f>
        <v>444097.46742795693</v>
      </c>
    </row>
    <row r="5" spans="1:5" x14ac:dyDescent="0.35">
      <c r="A5" s="40" t="s">
        <v>95</v>
      </c>
      <c r="B5" s="56" t="s">
        <v>3</v>
      </c>
      <c r="C5" s="110">
        <v>16915</v>
      </c>
      <c r="D5" s="48">
        <f t="shared" si="0"/>
        <v>0.10827263067607185</v>
      </c>
      <c r="E5" s="49">
        <f t="shared" si="1"/>
        <v>246486.04349468078</v>
      </c>
    </row>
    <row r="6" spans="1:5" x14ac:dyDescent="0.35">
      <c r="A6" s="40" t="s">
        <v>12</v>
      </c>
      <c r="B6" s="56" t="s">
        <v>4</v>
      </c>
      <c r="C6" s="110">
        <v>17511</v>
      </c>
      <c r="D6" s="48">
        <f t="shared" si="0"/>
        <v>0.11208761665791865</v>
      </c>
      <c r="E6" s="49">
        <f t="shared" si="1"/>
        <v>255170.97887291486</v>
      </c>
    </row>
    <row r="7" spans="1:5" x14ac:dyDescent="0.35">
      <c r="A7" s="40" t="s">
        <v>99</v>
      </c>
      <c r="B7" s="56" t="s">
        <v>19</v>
      </c>
      <c r="C7" s="110">
        <v>11894</v>
      </c>
      <c r="D7" s="48">
        <f t="shared" si="0"/>
        <v>7.6133294073969765E-2</v>
      </c>
      <c r="E7" s="49">
        <f t="shared" si="1"/>
        <v>173319.8345448261</v>
      </c>
    </row>
    <row r="8" spans="1:5" x14ac:dyDescent="0.35">
      <c r="A8" s="40" t="s">
        <v>98</v>
      </c>
      <c r="B8" s="56" t="s">
        <v>7</v>
      </c>
      <c r="C8" s="110">
        <v>11127</v>
      </c>
      <c r="D8" s="48">
        <f t="shared" si="0"/>
        <v>7.1223739966458852E-2</v>
      </c>
      <c r="E8" s="49">
        <f t="shared" si="1"/>
        <v>162143.08045907851</v>
      </c>
    </row>
    <row r="9" spans="1:5" x14ac:dyDescent="0.35">
      <c r="A9" s="40" t="s">
        <v>100</v>
      </c>
      <c r="B9" s="56" t="s">
        <v>18</v>
      </c>
      <c r="C9" s="110">
        <v>11320</v>
      </c>
      <c r="D9" s="48">
        <f t="shared" si="0"/>
        <v>7.2459129722325349E-2</v>
      </c>
      <c r="E9" s="49">
        <f t="shared" si="1"/>
        <v>164955.48402954693</v>
      </c>
    </row>
    <row r="10" spans="1:5" x14ac:dyDescent="0.35">
      <c r="A10" s="40" t="s">
        <v>96</v>
      </c>
      <c r="B10" s="56" t="s">
        <v>6</v>
      </c>
      <c r="C10" s="110">
        <v>10693</v>
      </c>
      <c r="D10" s="48">
        <f t="shared" si="0"/>
        <v>6.8445713261556976E-2</v>
      </c>
      <c r="E10" s="49">
        <f t="shared" si="1"/>
        <v>155818.81543533085</v>
      </c>
    </row>
    <row r="11" spans="1:5" x14ac:dyDescent="0.35">
      <c r="A11" s="40" t="s">
        <v>94</v>
      </c>
      <c r="B11" s="56" t="s">
        <v>2</v>
      </c>
      <c r="C11" s="110">
        <v>27444</v>
      </c>
      <c r="D11" s="48">
        <f t="shared" si="0"/>
        <v>0.17566858269430186</v>
      </c>
      <c r="E11" s="49">
        <f t="shared" si="1"/>
        <v>399915.04449707473</v>
      </c>
    </row>
    <row r="12" spans="1:5" x14ac:dyDescent="0.35">
      <c r="A12" s="40" t="s">
        <v>97</v>
      </c>
      <c r="B12" s="56" t="s">
        <v>5</v>
      </c>
      <c r="C12" s="110">
        <v>18846</v>
      </c>
      <c r="D12" s="48">
        <f t="shared" si="0"/>
        <v>0.12063292921792787</v>
      </c>
      <c r="E12" s="49">
        <f t="shared" si="1"/>
        <v>274624.65123859025</v>
      </c>
    </row>
    <row r="13" spans="1:5" x14ac:dyDescent="0.35">
      <c r="C13" s="54">
        <f>SUM(C4:C12)</f>
        <v>156226</v>
      </c>
      <c r="D13" s="54">
        <f>SUM(D4:D12)</f>
        <v>1</v>
      </c>
      <c r="E13" s="54">
        <f>SUM(E4:E12)</f>
        <v>2276531.4</v>
      </c>
    </row>
    <row r="16" spans="1:5" x14ac:dyDescent="0.35">
      <c r="A16" t="s">
        <v>101</v>
      </c>
      <c r="B16" s="5">
        <f>'Montos BD 2023'!B30/6</f>
        <v>2276531.4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</vt:i4>
      </vt:variant>
    </vt:vector>
  </HeadingPairs>
  <TitlesOfParts>
    <vt:vector size="13" baseType="lpstr">
      <vt:lpstr>Montos BD 2023</vt:lpstr>
      <vt:lpstr>Montos Anticipo BD 2023</vt:lpstr>
      <vt:lpstr>Categorías</vt:lpstr>
      <vt:lpstr>Valores</vt:lpstr>
      <vt:lpstr>Indicadores</vt:lpstr>
      <vt:lpstr>Publicaciones BD</vt:lpstr>
      <vt:lpstr>Acreditación BD</vt:lpstr>
      <vt:lpstr>Doctorado JC BD</vt:lpstr>
      <vt:lpstr>Programas Doct. Acreditados BD</vt:lpstr>
      <vt:lpstr>Académicos JC BD</vt:lpstr>
      <vt:lpstr>Matrícula Regular Pre BD</vt:lpstr>
      <vt:lpstr>'Montos Anticipo BD 2023'!Títulos_a_imprimir</vt:lpstr>
      <vt:lpstr>'Montos BD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Torres Huerta</dc:creator>
  <cp:lastModifiedBy>Andrea Saavedra Barra</cp:lastModifiedBy>
  <cp:lastPrinted>2023-05-25T19:10:21Z</cp:lastPrinted>
  <dcterms:created xsi:type="dcterms:W3CDTF">2016-05-30T15:19:10Z</dcterms:created>
  <dcterms:modified xsi:type="dcterms:W3CDTF">2023-05-29T15:24:12Z</dcterms:modified>
</cp:coreProperties>
</file>