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CD Basal/AIUE 2023/"/>
    </mc:Choice>
  </mc:AlternateContent>
  <xr:revisionPtr revIDLastSave="45" documentId="8_{1C83C79A-EB80-45DD-8C4E-02C82564F2EF}" xr6:coauthVersionLast="47" xr6:coauthVersionMax="47" xr10:uidLastSave="{1443C6AA-3BC8-4A75-9F38-D91F9F15E67B}"/>
  <bookViews>
    <workbookView xWindow="20370" yWindow="-120" windowWidth="19440" windowHeight="15000" tabRatio="839" xr2:uid="{00000000-000D-0000-FFFF-FFFF00000000}"/>
  </bookViews>
  <sheets>
    <sheet name="Montos AIUE 2023 " sheetId="4" r:id="rId1"/>
    <sheet name="Categorías" sheetId="1" r:id="rId2"/>
    <sheet name="Valores" sheetId="2" r:id="rId3"/>
    <sheet name="Indicadores" sheetId="3" r:id="rId4"/>
    <sheet name="Tutoras" sheetId="11" r:id="rId5"/>
    <sheet name="Publicaciones" sheetId="5" r:id="rId6"/>
    <sheet name="Acreditación" sheetId="6" r:id="rId7"/>
    <sheet name="Doctorado JC " sheetId="7" r:id="rId8"/>
    <sheet name="Programas Doct. Acreditados " sheetId="8" r:id="rId9"/>
    <sheet name="Académicos JC " sheetId="9" r:id="rId10"/>
    <sheet name="Matrícula Regular Pre " sheetId="10" r:id="rId11"/>
    <sheet name="Compensación" sheetId="12" r:id="rId12"/>
  </sheets>
  <definedNames>
    <definedName name="_xlnm._FilterDatabase" localSheetId="9" hidden="1">'Académicos JC '!$A$2:$C$20</definedName>
    <definedName name="_xlnm._FilterDatabase" localSheetId="1" hidden="1">Categorías!$A$2:$AA$23</definedName>
    <definedName name="_xlnm._FilterDatabase" localSheetId="7" hidden="1">'Doctorado JC '!$A$2:$C$20</definedName>
    <definedName name="_xlnm._FilterDatabase" localSheetId="3" hidden="1">Indicadores!$A$1:$AI$20</definedName>
    <definedName name="_xlnm._FilterDatabase" localSheetId="0" hidden="1">'Montos AIUE 2023 '!$A$7:$P$33</definedName>
    <definedName name="_xlnm._FilterDatabase" localSheetId="2" hidden="1">Valores!$A$1:$Y$26</definedName>
    <definedName name="_xlnm.Print_Area" localSheetId="0">'Montos AIUE 2023 '!$A$1:$AI$32</definedName>
    <definedName name="_xlnm.Print_Titles" localSheetId="0">'Montos AIUE 2023 '!$B:$B</definedName>
  </definedNames>
  <calcPr calcId="191029"/>
  <pivotCaches>
    <pivotCache cacheId="57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1" i="4" l="1"/>
  <c r="AH33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15" i="4"/>
  <c r="AH14" i="4"/>
  <c r="AF32" i="4"/>
  <c r="AE32" i="4"/>
  <c r="AD32" i="4"/>
  <c r="AH32" i="4" l="1"/>
  <c r="I6" i="12"/>
  <c r="M5" i="3"/>
  <c r="AI16" i="4" l="1"/>
  <c r="AI20" i="4"/>
  <c r="AI24" i="4"/>
  <c r="AI28" i="4"/>
  <c r="AI15" i="4"/>
  <c r="AI17" i="4"/>
  <c r="AI21" i="4"/>
  <c r="AI25" i="4"/>
  <c r="AI29" i="4"/>
  <c r="AI19" i="4"/>
  <c r="AI23" i="4"/>
  <c r="AI27" i="4"/>
  <c r="AI31" i="4"/>
  <c r="AI18" i="4"/>
  <c r="AI22" i="4"/>
  <c r="AI26" i="4"/>
  <c r="AI30" i="4"/>
  <c r="AI14" i="4"/>
  <c r="K24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6" i="12"/>
  <c r="J24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E26" i="12"/>
  <c r="C26" i="12"/>
  <c r="G10" i="12"/>
  <c r="G16" i="12"/>
  <c r="G14" i="12"/>
  <c r="G12" i="12"/>
  <c r="G11" i="12"/>
  <c r="G8" i="12"/>
  <c r="G22" i="12"/>
  <c r="G7" i="12"/>
  <c r="G23" i="12"/>
  <c r="G9" i="12"/>
  <c r="G20" i="12"/>
  <c r="G17" i="12"/>
  <c r="G18" i="12"/>
  <c r="G13" i="12"/>
  <c r="G21" i="12"/>
  <c r="G15" i="12"/>
  <c r="G19" i="12"/>
  <c r="G6" i="12"/>
  <c r="E24" i="12"/>
  <c r="F10" i="12" s="1"/>
  <c r="D11" i="12"/>
  <c r="D7" i="12"/>
  <c r="D18" i="12"/>
  <c r="D15" i="12"/>
  <c r="C24" i="12"/>
  <c r="AI32" i="4" l="1"/>
  <c r="H13" i="12"/>
  <c r="H8" i="12"/>
  <c r="F23" i="12"/>
  <c r="G24" i="12"/>
  <c r="H6" i="12" s="1"/>
  <c r="D17" i="12"/>
  <c r="D12" i="12"/>
  <c r="F15" i="12"/>
  <c r="F7" i="12"/>
  <c r="F17" i="12"/>
  <c r="H9" i="12"/>
  <c r="H16" i="12"/>
  <c r="F19" i="12"/>
  <c r="D19" i="12"/>
  <c r="D23" i="12"/>
  <c r="D10" i="12"/>
  <c r="F18" i="12"/>
  <c r="F12" i="12"/>
  <c r="H10" i="12"/>
  <c r="H11" i="12"/>
  <c r="H23" i="12"/>
  <c r="H18" i="12"/>
  <c r="H19" i="12"/>
  <c r="H15" i="12"/>
  <c r="H17" i="12"/>
  <c r="H7" i="12"/>
  <c r="H12" i="12"/>
  <c r="H21" i="12"/>
  <c r="H20" i="12"/>
  <c r="H22" i="12"/>
  <c r="H14" i="12"/>
  <c r="D21" i="12"/>
  <c r="D20" i="12"/>
  <c r="D22" i="12"/>
  <c r="D14" i="12"/>
  <c r="F21" i="12"/>
  <c r="F20" i="12"/>
  <c r="F22" i="12"/>
  <c r="F14" i="12"/>
  <c r="G26" i="12"/>
  <c r="D6" i="12"/>
  <c r="D13" i="12"/>
  <c r="D9" i="12"/>
  <c r="D8" i="12"/>
  <c r="D16" i="12"/>
  <c r="F6" i="12"/>
  <c r="F13" i="12"/>
  <c r="F9" i="12"/>
  <c r="F8" i="12"/>
  <c r="F16" i="12"/>
  <c r="F11" i="12"/>
  <c r="H24" i="12" l="1"/>
  <c r="F24" i="12"/>
  <c r="D24" i="12"/>
  <c r="T23" i="1" l="1"/>
  <c r="U20" i="1" l="1"/>
  <c r="W5" i="1"/>
  <c r="U5" i="1"/>
  <c r="U22" i="1"/>
  <c r="U15" i="1"/>
  <c r="U7" i="1"/>
  <c r="U19" i="1"/>
  <c r="U8" i="1"/>
  <c r="U18" i="1"/>
  <c r="U14" i="1"/>
  <c r="U10" i="1"/>
  <c r="U6" i="1"/>
  <c r="U11" i="1"/>
  <c r="C21" i="6"/>
  <c r="U16" i="1"/>
  <c r="U12" i="1"/>
  <c r="U21" i="1"/>
  <c r="U17" i="1"/>
  <c r="U13" i="1"/>
  <c r="U9" i="1"/>
  <c r="H15" i="4" l="1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14" i="4"/>
  <c r="G14" i="4"/>
  <c r="G5" i="11"/>
  <c r="G6" i="11"/>
  <c r="G7" i="11"/>
  <c r="G8" i="11"/>
  <c r="G9" i="11"/>
  <c r="G10" i="11"/>
  <c r="G4" i="11"/>
  <c r="G3" i="11"/>
  <c r="G24" i="11" s="1"/>
  <c r="D37" i="4"/>
  <c r="D38" i="4" s="1"/>
  <c r="D47" i="4"/>
  <c r="D20" i="11"/>
  <c r="E20" i="11"/>
  <c r="D21" i="11"/>
  <c r="E21" i="11"/>
  <c r="D22" i="11"/>
  <c r="E22" i="11"/>
  <c r="D23" i="11"/>
  <c r="E23" i="11"/>
  <c r="E19" i="11"/>
  <c r="D19" i="11"/>
  <c r="D8" i="11"/>
  <c r="E8" i="11"/>
  <c r="D9" i="11"/>
  <c r="E9" i="11"/>
  <c r="D10" i="11"/>
  <c r="E10" i="11"/>
  <c r="D11" i="11"/>
  <c r="E11" i="11"/>
  <c r="D12" i="11"/>
  <c r="E12" i="11"/>
  <c r="D13" i="11"/>
  <c r="E13" i="11"/>
  <c r="D14" i="11"/>
  <c r="E14" i="11"/>
  <c r="D15" i="11"/>
  <c r="E15" i="11"/>
  <c r="D16" i="11"/>
  <c r="E16" i="11"/>
  <c r="E7" i="11"/>
  <c r="D7" i="11"/>
  <c r="D17" i="11"/>
  <c r="E3" i="11"/>
  <c r="D5" i="11"/>
  <c r="B40" i="4" l="1"/>
  <c r="B42" i="4"/>
  <c r="B28" i="12" s="1"/>
  <c r="E24" i="11"/>
  <c r="D24" i="11"/>
  <c r="L10" i="12" l="1"/>
  <c r="R15" i="4" s="1"/>
  <c r="L14" i="12"/>
  <c r="R16" i="4" s="1"/>
  <c r="L18" i="12"/>
  <c r="R23" i="4" s="1"/>
  <c r="L22" i="12"/>
  <c r="R27" i="4" s="1"/>
  <c r="L12" i="12"/>
  <c r="R22" i="4" s="1"/>
  <c r="L20" i="12"/>
  <c r="R24" i="4" s="1"/>
  <c r="L9" i="12"/>
  <c r="R19" i="4" s="1"/>
  <c r="L17" i="12"/>
  <c r="R28" i="4" s="1"/>
  <c r="L7" i="12"/>
  <c r="R18" i="4" s="1"/>
  <c r="L11" i="12"/>
  <c r="R21" i="4" s="1"/>
  <c r="L15" i="12"/>
  <c r="R30" i="4" s="1"/>
  <c r="L19" i="12"/>
  <c r="R31" i="4" s="1"/>
  <c r="L23" i="12"/>
  <c r="R25" i="4" s="1"/>
  <c r="L8" i="12"/>
  <c r="R17" i="4" s="1"/>
  <c r="L16" i="12"/>
  <c r="R20" i="4" s="1"/>
  <c r="L6" i="12"/>
  <c r="L13" i="12"/>
  <c r="R29" i="4" s="1"/>
  <c r="L21" i="12"/>
  <c r="R26" i="4" s="1"/>
  <c r="C24" i="11"/>
  <c r="L24" i="12" l="1"/>
  <c r="R14" i="4"/>
  <c r="R32" i="4" s="1"/>
  <c r="K37" i="4" s="1"/>
  <c r="B14" i="2"/>
  <c r="Z32" i="4" l="1"/>
  <c r="C46" i="4" s="1"/>
  <c r="Y32" i="4"/>
  <c r="B46" i="4" s="1"/>
  <c r="B48" i="4" s="1"/>
  <c r="C48" i="4" l="1"/>
  <c r="D46" i="4"/>
  <c r="W21" i="1"/>
  <c r="W17" i="1"/>
  <c r="W13" i="1"/>
  <c r="W9" i="1"/>
  <c r="W19" i="1"/>
  <c r="W15" i="1"/>
  <c r="W11" i="1"/>
  <c r="W7" i="1"/>
  <c r="K20" i="1"/>
  <c r="K16" i="1"/>
  <c r="K12" i="1"/>
  <c r="K8" i="1"/>
  <c r="W22" i="1"/>
  <c r="W18" i="1"/>
  <c r="W14" i="1"/>
  <c r="W10" i="1"/>
  <c r="W6" i="1"/>
  <c r="K18" i="1"/>
  <c r="K10" i="1"/>
  <c r="K19" i="1"/>
  <c r="K15" i="1"/>
  <c r="K11" i="1"/>
  <c r="K7" i="1"/>
  <c r="W20" i="1"/>
  <c r="W16" i="1"/>
  <c r="W12" i="1"/>
  <c r="W8" i="1"/>
  <c r="K14" i="1"/>
  <c r="K6" i="1"/>
  <c r="K22" i="1"/>
  <c r="K17" i="1"/>
  <c r="K13" i="1"/>
  <c r="K9" i="1"/>
  <c r="K21" i="1"/>
  <c r="K5" i="1"/>
  <c r="V5" i="1" s="1"/>
  <c r="C21" i="7"/>
  <c r="D48" i="4" l="1"/>
  <c r="B49" i="4" s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5" i="1"/>
  <c r="C49" i="4" l="1"/>
  <c r="N23" i="1"/>
  <c r="C20" i="2" l="1"/>
  <c r="C21" i="3" s="1"/>
  <c r="C21" i="2"/>
  <c r="C22" i="3" s="1"/>
  <c r="B20" i="2"/>
  <c r="B21" i="2"/>
  <c r="A20" i="2"/>
  <c r="A21" i="3" s="1"/>
  <c r="A21" i="2"/>
  <c r="A22" i="3" s="1"/>
  <c r="O22" i="3" l="1"/>
  <c r="Z22" i="3" s="1" a="1"/>
  <c r="Z22" i="3" s="1"/>
  <c r="L21" i="3"/>
  <c r="O21" i="3"/>
  <c r="Z21" i="3" s="1" a="1"/>
  <c r="Z21" i="3" s="1"/>
  <c r="B22" i="3"/>
  <c r="B21" i="3"/>
  <c r="H20" i="6"/>
  <c r="G20" i="6"/>
  <c r="F20" i="6"/>
  <c r="H19" i="6"/>
  <c r="G19" i="6"/>
  <c r="F19" i="6"/>
  <c r="H18" i="6"/>
  <c r="G18" i="6"/>
  <c r="F18" i="6"/>
  <c r="H17" i="6"/>
  <c r="G17" i="6"/>
  <c r="F17" i="6"/>
  <c r="H16" i="6"/>
  <c r="G16" i="6"/>
  <c r="F16" i="6"/>
  <c r="H15" i="6"/>
  <c r="G15" i="6"/>
  <c r="F15" i="6"/>
  <c r="H14" i="6"/>
  <c r="G14" i="6"/>
  <c r="F14" i="6"/>
  <c r="H13" i="6"/>
  <c r="G13" i="6"/>
  <c r="F13" i="6"/>
  <c r="H12" i="6"/>
  <c r="G12" i="6"/>
  <c r="F12" i="6"/>
  <c r="H11" i="6"/>
  <c r="G11" i="6"/>
  <c r="F11" i="6"/>
  <c r="H10" i="6"/>
  <c r="G10" i="6"/>
  <c r="F10" i="6"/>
  <c r="H9" i="6"/>
  <c r="G9" i="6"/>
  <c r="F9" i="6"/>
  <c r="H8" i="6"/>
  <c r="G8" i="6"/>
  <c r="F8" i="6"/>
  <c r="H7" i="6"/>
  <c r="G7" i="6"/>
  <c r="F7" i="6"/>
  <c r="H6" i="6"/>
  <c r="G6" i="6"/>
  <c r="F6" i="6"/>
  <c r="H5" i="6"/>
  <c r="G5" i="6"/>
  <c r="F5" i="6"/>
  <c r="H4" i="6"/>
  <c r="G4" i="6"/>
  <c r="F4" i="6"/>
  <c r="G3" i="6"/>
  <c r="C19" i="2"/>
  <c r="C20" i="3" s="1"/>
  <c r="B19" i="2"/>
  <c r="A19" i="2"/>
  <c r="A20" i="3" s="1"/>
  <c r="A29" i="4" s="1"/>
  <c r="C18" i="2"/>
  <c r="C19" i="3" s="1"/>
  <c r="B18" i="2"/>
  <c r="A18" i="2"/>
  <c r="A19" i="3" s="1"/>
  <c r="C17" i="2"/>
  <c r="C18" i="3" s="1"/>
  <c r="B17" i="2"/>
  <c r="A17" i="2"/>
  <c r="A18" i="3" s="1"/>
  <c r="C16" i="2"/>
  <c r="C17" i="3" s="1"/>
  <c r="B16" i="2"/>
  <c r="A16" i="2"/>
  <c r="A17" i="3" s="1"/>
  <c r="C15" i="2"/>
  <c r="C16" i="3" s="1"/>
  <c r="B15" i="2"/>
  <c r="A15" i="2"/>
  <c r="A16" i="3" s="1"/>
  <c r="C14" i="2"/>
  <c r="C15" i="3" s="1"/>
  <c r="C24" i="4" s="1"/>
  <c r="A14" i="2"/>
  <c r="A15" i="3" s="1"/>
  <c r="C13" i="2"/>
  <c r="C14" i="3" s="1"/>
  <c r="B13" i="2"/>
  <c r="A13" i="2"/>
  <c r="A14" i="3" s="1"/>
  <c r="A23" i="4" s="1"/>
  <c r="C12" i="2"/>
  <c r="C13" i="3" s="1"/>
  <c r="C22" i="4" s="1"/>
  <c r="B12" i="2"/>
  <c r="A12" i="2"/>
  <c r="A13" i="3" s="1"/>
  <c r="A22" i="4" s="1"/>
  <c r="C11" i="2"/>
  <c r="C12" i="3" s="1"/>
  <c r="B11" i="2"/>
  <c r="A11" i="2"/>
  <c r="A12" i="3" s="1"/>
  <c r="A21" i="4" s="1"/>
  <c r="C10" i="2"/>
  <c r="C11" i="3" s="1"/>
  <c r="B10" i="2"/>
  <c r="A10" i="2"/>
  <c r="A11" i="3" s="1"/>
  <c r="C9" i="2"/>
  <c r="C10" i="3" s="1"/>
  <c r="C19" i="4" s="1"/>
  <c r="B9" i="2"/>
  <c r="A9" i="2"/>
  <c r="A10" i="3" s="1"/>
  <c r="A19" i="4" s="1"/>
  <c r="C8" i="2"/>
  <c r="C9" i="3" s="1"/>
  <c r="B8" i="2"/>
  <c r="A8" i="2"/>
  <c r="A9" i="3" s="1"/>
  <c r="C7" i="2"/>
  <c r="C8" i="3" s="1"/>
  <c r="B7" i="2"/>
  <c r="A7" i="2"/>
  <c r="A8" i="3" s="1"/>
  <c r="C6" i="2"/>
  <c r="C7" i="3" s="1"/>
  <c r="C16" i="4" s="1"/>
  <c r="B6" i="2"/>
  <c r="A6" i="2"/>
  <c r="A7" i="3" s="1"/>
  <c r="C5" i="2"/>
  <c r="C6" i="3" s="1"/>
  <c r="C15" i="4" s="1"/>
  <c r="B5" i="2"/>
  <c r="A5" i="2"/>
  <c r="A6" i="3" s="1"/>
  <c r="C4" i="2"/>
  <c r="C5" i="3" s="1"/>
  <c r="B4" i="2"/>
  <c r="A4" i="2"/>
  <c r="A5" i="3" s="1"/>
  <c r="D39" i="4"/>
  <c r="G32" i="4"/>
  <c r="F37" i="4" s="1"/>
  <c r="E32" i="4"/>
  <c r="AK31" i="4"/>
  <c r="F31" i="4"/>
  <c r="AK30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O18" i="3" l="1"/>
  <c r="Z18" i="3" s="1" a="1"/>
  <c r="Z18" i="3" s="1"/>
  <c r="O10" i="3"/>
  <c r="Z10" i="3" s="1" a="1"/>
  <c r="Z10" i="3" s="1"/>
  <c r="L22" i="3"/>
  <c r="J22" i="3"/>
  <c r="M22" i="3"/>
  <c r="F22" i="3"/>
  <c r="O15" i="3"/>
  <c r="O16" i="3"/>
  <c r="Z16" i="3" s="1" a="1"/>
  <c r="Z16" i="3" s="1"/>
  <c r="G22" i="3"/>
  <c r="I21" i="3"/>
  <c r="F21" i="3"/>
  <c r="P22" i="3"/>
  <c r="AA22" i="3" s="1" a="1"/>
  <c r="AA22" i="3" s="1"/>
  <c r="N21" i="3"/>
  <c r="I22" i="3"/>
  <c r="B24" i="8"/>
  <c r="K21" i="3"/>
  <c r="K22" i="3"/>
  <c r="G21" i="3"/>
  <c r="P21" i="3"/>
  <c r="AA21" i="3" s="1" a="1"/>
  <c r="AA21" i="3" s="1"/>
  <c r="A25" i="4"/>
  <c r="M21" i="3"/>
  <c r="V21" i="1"/>
  <c r="E19" i="8" s="1"/>
  <c r="X22" i="1"/>
  <c r="Z22" i="1" s="1"/>
  <c r="D21" i="2" s="1"/>
  <c r="D22" i="3" s="1"/>
  <c r="E22" i="3" s="1"/>
  <c r="N22" i="3"/>
  <c r="J21" i="3"/>
  <c r="R23" i="1"/>
  <c r="V22" i="1"/>
  <c r="E20" i="8" s="1"/>
  <c r="M23" i="1"/>
  <c r="Q23" i="1"/>
  <c r="O23" i="1"/>
  <c r="S23" i="1"/>
  <c r="L23" i="1"/>
  <c r="P23" i="1"/>
  <c r="X21" i="1"/>
  <c r="Z21" i="1" s="1"/>
  <c r="Y23" i="1"/>
  <c r="I7" i="6"/>
  <c r="F32" i="4"/>
  <c r="E37" i="4" s="1"/>
  <c r="C26" i="4"/>
  <c r="A16" i="4"/>
  <c r="A20" i="4"/>
  <c r="C23" i="4"/>
  <c r="A28" i="4"/>
  <c r="C18" i="4"/>
  <c r="A27" i="4"/>
  <c r="A14" i="4"/>
  <c r="C28" i="4"/>
  <c r="C20" i="4"/>
  <c r="A24" i="4"/>
  <c r="A26" i="4"/>
  <c r="C27" i="4"/>
  <c r="A18" i="4"/>
  <c r="C14" i="4"/>
  <c r="A17" i="4"/>
  <c r="B11" i="3"/>
  <c r="B12" i="3"/>
  <c r="B13" i="3"/>
  <c r="B5" i="3"/>
  <c r="B6" i="3"/>
  <c r="B7" i="3"/>
  <c r="B8" i="3"/>
  <c r="B9" i="3"/>
  <c r="B15" i="3"/>
  <c r="B16" i="3"/>
  <c r="B17" i="3"/>
  <c r="B19" i="3"/>
  <c r="B10" i="3"/>
  <c r="B14" i="3"/>
  <c r="B18" i="3"/>
  <c r="B20" i="3"/>
  <c r="F3" i="6"/>
  <c r="F21" i="6" s="1"/>
  <c r="A15" i="4"/>
  <c r="C17" i="4"/>
  <c r="C25" i="4"/>
  <c r="C21" i="4"/>
  <c r="C29" i="4"/>
  <c r="I11" i="6"/>
  <c r="I19" i="6"/>
  <c r="I10" i="6"/>
  <c r="I18" i="6"/>
  <c r="I4" i="6"/>
  <c r="I5" i="6"/>
  <c r="I12" i="6"/>
  <c r="I13" i="6"/>
  <c r="I15" i="6"/>
  <c r="I20" i="6"/>
  <c r="G21" i="6"/>
  <c r="C21" i="5"/>
  <c r="D7" i="5" s="1"/>
  <c r="H3" i="6"/>
  <c r="H21" i="6" s="1"/>
  <c r="E21" i="6"/>
  <c r="I6" i="6"/>
  <c r="I8" i="6"/>
  <c r="I9" i="6"/>
  <c r="C21" i="9"/>
  <c r="D7" i="9" s="1"/>
  <c r="C21" i="10"/>
  <c r="D13" i="10" s="1"/>
  <c r="I14" i="6"/>
  <c r="I16" i="6"/>
  <c r="I17" i="6"/>
  <c r="D15" i="7"/>
  <c r="D21" i="6"/>
  <c r="N5" i="3" l="1"/>
  <c r="P5" i="3"/>
  <c r="I5" i="3"/>
  <c r="O5" i="3"/>
  <c r="L5" i="3"/>
  <c r="X5" i="1"/>
  <c r="E3" i="8"/>
  <c r="B24" i="10"/>
  <c r="E13" i="10" s="1"/>
  <c r="N24" i="4" s="1"/>
  <c r="F18" i="3"/>
  <c r="K10" i="3"/>
  <c r="B24" i="6"/>
  <c r="B24" i="9"/>
  <c r="E7" i="9" s="1"/>
  <c r="M18" i="4" s="1"/>
  <c r="B24" i="5"/>
  <c r="E7" i="5" s="1"/>
  <c r="I18" i="4" s="1"/>
  <c r="P9" i="3"/>
  <c r="K19" i="3"/>
  <c r="B24" i="7"/>
  <c r="E15" i="7" s="1"/>
  <c r="K26" i="4" s="1"/>
  <c r="M12" i="3"/>
  <c r="P17" i="3"/>
  <c r="AK29" i="4"/>
  <c r="AK28" i="4"/>
  <c r="AK15" i="4"/>
  <c r="AK20" i="4"/>
  <c r="AK21" i="4"/>
  <c r="AK27" i="4"/>
  <c r="AK26" i="4"/>
  <c r="AK23" i="4"/>
  <c r="AK17" i="4"/>
  <c r="M15" i="3"/>
  <c r="M11" i="3"/>
  <c r="AA22" i="1"/>
  <c r="I7" i="3"/>
  <c r="G12" i="3"/>
  <c r="K11" i="3"/>
  <c r="M14" i="3"/>
  <c r="L15" i="3"/>
  <c r="M8" i="3"/>
  <c r="K12" i="3"/>
  <c r="M19" i="3"/>
  <c r="J12" i="3"/>
  <c r="W23" i="1"/>
  <c r="X18" i="1"/>
  <c r="Z18" i="1" s="1"/>
  <c r="D17" i="2" s="1"/>
  <c r="D18" i="3" s="1"/>
  <c r="X20" i="1"/>
  <c r="Z20" i="1" s="1"/>
  <c r="AA20" i="1" s="1"/>
  <c r="K23" i="1"/>
  <c r="K6" i="3"/>
  <c r="I8" i="3"/>
  <c r="L7" i="3"/>
  <c r="F5" i="3"/>
  <c r="P10" i="3"/>
  <c r="G7" i="3"/>
  <c r="L12" i="3"/>
  <c r="AA21" i="1"/>
  <c r="D20" i="2"/>
  <c r="D21" i="3" s="1"/>
  <c r="E21" i="3" s="1"/>
  <c r="U23" i="1"/>
  <c r="D6" i="9"/>
  <c r="K5" i="3"/>
  <c r="I6" i="3"/>
  <c r="K18" i="3"/>
  <c r="P18" i="3"/>
  <c r="AA18" i="3" s="1" a="1"/>
  <c r="AA18" i="3" s="1"/>
  <c r="G9" i="3"/>
  <c r="G16" i="3"/>
  <c r="N13" i="3"/>
  <c r="P16" i="3"/>
  <c r="M7" i="3"/>
  <c r="L13" i="3"/>
  <c r="V11" i="1"/>
  <c r="E9" i="8" s="1"/>
  <c r="X8" i="1"/>
  <c r="Z8" i="1" s="1"/>
  <c r="D7" i="2" s="1"/>
  <c r="D8" i="3" s="1"/>
  <c r="D17" i="4" s="1"/>
  <c r="I12" i="3"/>
  <c r="J9" i="3"/>
  <c r="V15" i="1"/>
  <c r="E13" i="8" s="1"/>
  <c r="J11" i="3"/>
  <c r="V7" i="1"/>
  <c r="E5" i="8" s="1"/>
  <c r="X19" i="1"/>
  <c r="Z19" i="1" s="1"/>
  <c r="D16" i="10"/>
  <c r="V19" i="1"/>
  <c r="E17" i="8" s="1"/>
  <c r="X14" i="1"/>
  <c r="Z14" i="1" s="1"/>
  <c r="D13" i="2" s="1"/>
  <c r="D14" i="3" s="1"/>
  <c r="X10" i="1"/>
  <c r="Z10" i="1" s="1"/>
  <c r="AA10" i="1" s="1"/>
  <c r="D20" i="10"/>
  <c r="D8" i="10"/>
  <c r="D19" i="9"/>
  <c r="D4" i="10"/>
  <c r="D15" i="5"/>
  <c r="K16" i="3"/>
  <c r="I10" i="3"/>
  <c r="K7" i="3"/>
  <c r="J6" i="3"/>
  <c r="J18" i="3"/>
  <c r="I18" i="3"/>
  <c r="N9" i="3"/>
  <c r="X6" i="1"/>
  <c r="Z6" i="1" s="1"/>
  <c r="AA6" i="1" s="1"/>
  <c r="O20" i="3"/>
  <c r="Z20" i="3" s="1" a="1"/>
  <c r="Z20" i="3" s="1"/>
  <c r="K15" i="3"/>
  <c r="I16" i="3"/>
  <c r="D11" i="10"/>
  <c r="J20" i="3"/>
  <c r="G5" i="3"/>
  <c r="J5" i="3"/>
  <c r="G14" i="3"/>
  <c r="P8" i="3"/>
  <c r="X16" i="1"/>
  <c r="Z16" i="1" s="1"/>
  <c r="D15" i="2" s="1"/>
  <c r="D16" i="3" s="1"/>
  <c r="X12" i="1"/>
  <c r="Z12" i="1" s="1"/>
  <c r="AA12" i="1" s="1"/>
  <c r="G6" i="3"/>
  <c r="J13" i="3"/>
  <c r="I9" i="3"/>
  <c r="M10" i="3"/>
  <c r="F9" i="3"/>
  <c r="J10" i="3"/>
  <c r="L10" i="3"/>
  <c r="G8" i="3"/>
  <c r="L14" i="3"/>
  <c r="P14" i="3"/>
  <c r="AA14" i="3" s="1" a="1"/>
  <c r="AA14" i="3" s="1"/>
  <c r="AK18" i="4"/>
  <c r="AK16" i="4"/>
  <c r="P6" i="3"/>
  <c r="G20" i="3"/>
  <c r="M13" i="3"/>
  <c r="F13" i="3"/>
  <c r="K13" i="3"/>
  <c r="F14" i="3"/>
  <c r="J8" i="3"/>
  <c r="N12" i="3"/>
  <c r="F16" i="3"/>
  <c r="F12" i="3"/>
  <c r="L18" i="3"/>
  <c r="K20" i="3"/>
  <c r="L8" i="3"/>
  <c r="N6" i="3"/>
  <c r="G11" i="3"/>
  <c r="L9" i="3"/>
  <c r="L16" i="3"/>
  <c r="M17" i="3"/>
  <c r="J7" i="3"/>
  <c r="K9" i="3"/>
  <c r="J17" i="3"/>
  <c r="F8" i="3"/>
  <c r="N11" i="3"/>
  <c r="F6" i="3"/>
  <c r="I20" i="3"/>
  <c r="I14" i="3"/>
  <c r="L20" i="3"/>
  <c r="K17" i="3"/>
  <c r="N17" i="3"/>
  <c r="M6" i="3"/>
  <c r="I17" i="3"/>
  <c r="AK25" i="4"/>
  <c r="I11" i="3"/>
  <c r="P19" i="3"/>
  <c r="P15" i="3"/>
  <c r="AA15" i="3" s="1" a="1"/>
  <c r="AA15" i="3" s="1"/>
  <c r="P11" i="3"/>
  <c r="F15" i="3"/>
  <c r="N7" i="3"/>
  <c r="L19" i="3"/>
  <c r="P20" i="3"/>
  <c r="M18" i="3"/>
  <c r="G15" i="3"/>
  <c r="I19" i="3"/>
  <c r="K14" i="3"/>
  <c r="N15" i="3"/>
  <c r="P7" i="3"/>
  <c r="G17" i="3"/>
  <c r="F7" i="3"/>
  <c r="P12" i="3"/>
  <c r="F10" i="3"/>
  <c r="L6" i="3"/>
  <c r="J16" i="3"/>
  <c r="J15" i="3"/>
  <c r="N8" i="3"/>
  <c r="L11" i="3"/>
  <c r="G13" i="3"/>
  <c r="AK24" i="4"/>
  <c r="N10" i="3"/>
  <c r="I13" i="3"/>
  <c r="F11" i="3"/>
  <c r="K8" i="3"/>
  <c r="P13" i="3"/>
  <c r="AA13" i="3" s="1" a="1"/>
  <c r="AA13" i="3" s="1"/>
  <c r="M16" i="3"/>
  <c r="L17" i="3"/>
  <c r="I15" i="3"/>
  <c r="M9" i="3"/>
  <c r="F17" i="3"/>
  <c r="F20" i="3"/>
  <c r="N18" i="3"/>
  <c r="N14" i="3"/>
  <c r="V20" i="1"/>
  <c r="E18" i="8" s="1"/>
  <c r="V16" i="1"/>
  <c r="E14" i="8" s="1"/>
  <c r="V12" i="1"/>
  <c r="E10" i="8" s="1"/>
  <c r="G18" i="3"/>
  <c r="J14" i="3"/>
  <c r="Z15" i="3" a="1"/>
  <c r="Z15" i="3" s="1"/>
  <c r="V9" i="1"/>
  <c r="E7" i="8" s="1"/>
  <c r="V18" i="1"/>
  <c r="E16" i="8" s="1"/>
  <c r="V14" i="1"/>
  <c r="E12" i="8" s="1"/>
  <c r="V10" i="1"/>
  <c r="E8" i="8" s="1"/>
  <c r="G10" i="3"/>
  <c r="F19" i="3"/>
  <c r="N16" i="3"/>
  <c r="AK19" i="4"/>
  <c r="AK22" i="4"/>
  <c r="N20" i="3"/>
  <c r="G19" i="3"/>
  <c r="J19" i="3"/>
  <c r="N19" i="3"/>
  <c r="M20" i="3"/>
  <c r="X17" i="1"/>
  <c r="Z17" i="1" s="1"/>
  <c r="V13" i="1"/>
  <c r="E11" i="8" s="1"/>
  <c r="X11" i="1"/>
  <c r="Z11" i="1" s="1"/>
  <c r="V8" i="1"/>
  <c r="E6" i="8" s="1"/>
  <c r="V6" i="1"/>
  <c r="E4" i="8" s="1"/>
  <c r="D18" i="5"/>
  <c r="D13" i="5"/>
  <c r="D19" i="5"/>
  <c r="I3" i="6"/>
  <c r="I21" i="6" s="1"/>
  <c r="J8" i="6" s="1"/>
  <c r="V17" i="1"/>
  <c r="E15" i="8" s="1"/>
  <c r="D14" i="5"/>
  <c r="D10" i="5"/>
  <c r="D3" i="5"/>
  <c r="D6" i="5"/>
  <c r="X15" i="1"/>
  <c r="Z15" i="1" s="1"/>
  <c r="X9" i="1"/>
  <c r="Z9" i="1" s="1"/>
  <c r="X13" i="1"/>
  <c r="Z13" i="1" s="1"/>
  <c r="D18" i="9"/>
  <c r="X7" i="1"/>
  <c r="Z7" i="1" s="1"/>
  <c r="D5" i="7"/>
  <c r="D11" i="9"/>
  <c r="D7" i="7"/>
  <c r="D10" i="9"/>
  <c r="D14" i="9"/>
  <c r="D3" i="9"/>
  <c r="D16" i="7"/>
  <c r="D19" i="7"/>
  <c r="D18" i="10"/>
  <c r="D10" i="10"/>
  <c r="D14" i="10"/>
  <c r="D6" i="10"/>
  <c r="D20" i="7"/>
  <c r="D4" i="7"/>
  <c r="D15" i="10"/>
  <c r="D17" i="7"/>
  <c r="D8" i="7"/>
  <c r="D17" i="5"/>
  <c r="D9" i="5"/>
  <c r="D20" i="5"/>
  <c r="D12" i="5"/>
  <c r="D4" i="5"/>
  <c r="D16" i="5"/>
  <c r="D8" i="5"/>
  <c r="D5" i="5"/>
  <c r="D11" i="7"/>
  <c r="D12" i="10"/>
  <c r="D18" i="7"/>
  <c r="D10" i="7"/>
  <c r="D14" i="7"/>
  <c r="D6" i="7"/>
  <c r="D9" i="7"/>
  <c r="D17" i="10"/>
  <c r="D3" i="7"/>
  <c r="D19" i="10"/>
  <c r="D3" i="10"/>
  <c r="D13" i="7"/>
  <c r="D5" i="10"/>
  <c r="D17" i="9"/>
  <c r="D13" i="9"/>
  <c r="D9" i="9"/>
  <c r="D5" i="9"/>
  <c r="D16" i="9"/>
  <c r="D8" i="9"/>
  <c r="D20" i="9"/>
  <c r="D4" i="9"/>
  <c r="D12" i="9"/>
  <c r="D12" i="7"/>
  <c r="D7" i="10"/>
  <c r="D15" i="9"/>
  <c r="D11" i="5"/>
  <c r="D9" i="10"/>
  <c r="E9" i="9" l="1"/>
  <c r="M20" i="4" s="1"/>
  <c r="E17" i="10"/>
  <c r="N28" i="4" s="1"/>
  <c r="E7" i="10"/>
  <c r="N18" i="4" s="1"/>
  <c r="J23" i="3"/>
  <c r="G23" i="3"/>
  <c r="K23" i="3"/>
  <c r="F23" i="3"/>
  <c r="I23" i="3"/>
  <c r="M23" i="3"/>
  <c r="P23" i="3"/>
  <c r="L23" i="3"/>
  <c r="N23" i="3"/>
  <c r="E18" i="10"/>
  <c r="N29" i="4" s="1"/>
  <c r="E20" i="9"/>
  <c r="M31" i="4" s="1"/>
  <c r="E4" i="10"/>
  <c r="N15" i="4" s="1"/>
  <c r="E15" i="5"/>
  <c r="I26" i="4" s="1"/>
  <c r="E9" i="10"/>
  <c r="N20" i="4" s="1"/>
  <c r="E6" i="10"/>
  <c r="N17" i="4" s="1"/>
  <c r="E11" i="10"/>
  <c r="N22" i="4" s="1"/>
  <c r="E20" i="10"/>
  <c r="N31" i="4" s="1"/>
  <c r="E16" i="10"/>
  <c r="N27" i="4" s="1"/>
  <c r="E8" i="9"/>
  <c r="M19" i="4" s="1"/>
  <c r="E13" i="9"/>
  <c r="M24" i="4" s="1"/>
  <c r="E8" i="5"/>
  <c r="I19" i="4" s="1"/>
  <c r="E20" i="5"/>
  <c r="I31" i="4" s="1"/>
  <c r="E14" i="5"/>
  <c r="I25" i="4" s="1"/>
  <c r="E13" i="5"/>
  <c r="I24" i="4" s="1"/>
  <c r="E11" i="5"/>
  <c r="I22" i="4" s="1"/>
  <c r="E12" i="9"/>
  <c r="M23" i="4" s="1"/>
  <c r="E16" i="9"/>
  <c r="M27" i="4" s="1"/>
  <c r="E17" i="9"/>
  <c r="M28" i="4" s="1"/>
  <c r="E19" i="10"/>
  <c r="N30" i="4" s="1"/>
  <c r="E12" i="10"/>
  <c r="N23" i="4" s="1"/>
  <c r="E16" i="5"/>
  <c r="I27" i="4" s="1"/>
  <c r="E9" i="5"/>
  <c r="I20" i="4" s="1"/>
  <c r="E15" i="10"/>
  <c r="N26" i="4" s="1"/>
  <c r="E14" i="10"/>
  <c r="N25" i="4" s="1"/>
  <c r="E18" i="9"/>
  <c r="M29" i="4" s="1"/>
  <c r="E6" i="5"/>
  <c r="I17" i="4" s="1"/>
  <c r="E18" i="5"/>
  <c r="I29" i="4" s="1"/>
  <c r="E19" i="9"/>
  <c r="M30" i="4" s="1"/>
  <c r="E5" i="10"/>
  <c r="N16" i="4" s="1"/>
  <c r="E10" i="10"/>
  <c r="N21" i="4" s="1"/>
  <c r="K8" i="6"/>
  <c r="J19" i="4" s="1"/>
  <c r="E8" i="10"/>
  <c r="N19" i="4" s="1"/>
  <c r="E15" i="9"/>
  <c r="M26" i="4" s="1"/>
  <c r="E4" i="9"/>
  <c r="M15" i="4" s="1"/>
  <c r="E5" i="9"/>
  <c r="M16" i="4" s="1"/>
  <c r="E3" i="9"/>
  <c r="M14" i="4" s="1"/>
  <c r="E11" i="9"/>
  <c r="M22" i="4" s="1"/>
  <c r="E14" i="9"/>
  <c r="M25" i="4" s="1"/>
  <c r="E10" i="9"/>
  <c r="M21" i="4" s="1"/>
  <c r="E6" i="9"/>
  <c r="M17" i="4" s="1"/>
  <c r="D21" i="8"/>
  <c r="E9" i="7"/>
  <c r="K20" i="4" s="1"/>
  <c r="E18" i="7"/>
  <c r="K29" i="4" s="1"/>
  <c r="E17" i="7"/>
  <c r="K28" i="4" s="1"/>
  <c r="E19" i="7"/>
  <c r="K30" i="4" s="1"/>
  <c r="E12" i="7"/>
  <c r="K23" i="4" s="1"/>
  <c r="E17" i="5"/>
  <c r="I28" i="4" s="1"/>
  <c r="E3" i="5"/>
  <c r="I14" i="4" s="1"/>
  <c r="E4" i="5"/>
  <c r="I15" i="4" s="1"/>
  <c r="E5" i="5"/>
  <c r="I16" i="4" s="1"/>
  <c r="E12" i="5"/>
  <c r="I23" i="4" s="1"/>
  <c r="E10" i="5"/>
  <c r="I21" i="4" s="1"/>
  <c r="E19" i="5"/>
  <c r="I30" i="4" s="1"/>
  <c r="E6" i="7"/>
  <c r="K17" i="4" s="1"/>
  <c r="E16" i="7"/>
  <c r="K27" i="4" s="1"/>
  <c r="E13" i="7"/>
  <c r="K24" i="4" s="1"/>
  <c r="E10" i="7"/>
  <c r="K21" i="4" s="1"/>
  <c r="E8" i="7"/>
  <c r="K19" i="4" s="1"/>
  <c r="E20" i="7"/>
  <c r="K31" i="4" s="1"/>
  <c r="U32" i="4"/>
  <c r="E14" i="7"/>
  <c r="K25" i="4" s="1"/>
  <c r="E11" i="7"/>
  <c r="K22" i="4" s="1"/>
  <c r="E4" i="7"/>
  <c r="K15" i="4" s="1"/>
  <c r="E5" i="7"/>
  <c r="K16" i="4" s="1"/>
  <c r="E7" i="7"/>
  <c r="K18" i="4" s="1"/>
  <c r="H32" i="4"/>
  <c r="G37" i="4" s="1"/>
  <c r="C21" i="8"/>
  <c r="E21" i="8"/>
  <c r="F6" i="8" s="1"/>
  <c r="G6" i="8" s="1"/>
  <c r="L17" i="4" s="1"/>
  <c r="AA14" i="1"/>
  <c r="D9" i="2"/>
  <c r="D10" i="3" s="1"/>
  <c r="E10" i="3" s="1"/>
  <c r="D19" i="2"/>
  <c r="D20" i="3" s="1"/>
  <c r="E20" i="3" s="1"/>
  <c r="E8" i="3"/>
  <c r="AA8" i="1"/>
  <c r="AA18" i="1"/>
  <c r="X23" i="1"/>
  <c r="D5" i="2"/>
  <c r="D6" i="3" s="1"/>
  <c r="D15" i="4" s="1"/>
  <c r="V23" i="1"/>
  <c r="D11" i="2"/>
  <c r="D12" i="3" s="1"/>
  <c r="E12" i="3" s="1"/>
  <c r="AA16" i="1"/>
  <c r="D25" i="4"/>
  <c r="E16" i="3"/>
  <c r="D18" i="2"/>
  <c r="D19" i="3" s="1"/>
  <c r="AA19" i="1"/>
  <c r="AA19" i="3" a="1"/>
  <c r="AA19" i="3" s="1"/>
  <c r="AK14" i="4"/>
  <c r="D10" i="2"/>
  <c r="D11" i="3" s="1"/>
  <c r="AA11" i="1"/>
  <c r="J3" i="6"/>
  <c r="K3" i="6" s="1"/>
  <c r="D16" i="2"/>
  <c r="D17" i="3" s="1"/>
  <c r="AA17" i="1"/>
  <c r="J9" i="6"/>
  <c r="K9" i="6" s="1"/>
  <c r="J20" i="4" s="1"/>
  <c r="J6" i="6"/>
  <c r="K6" i="6" s="1"/>
  <c r="J17" i="4" s="1"/>
  <c r="AA15" i="1"/>
  <c r="D14" i="2"/>
  <c r="D15" i="3" s="1"/>
  <c r="D12" i="2"/>
  <c r="D13" i="3" s="1"/>
  <c r="AA13" i="1"/>
  <c r="J14" i="6"/>
  <c r="K14" i="6" s="1"/>
  <c r="J25" i="4" s="1"/>
  <c r="J16" i="6"/>
  <c r="K16" i="6" s="1"/>
  <c r="J27" i="4" s="1"/>
  <c r="AA7" i="1"/>
  <c r="D6" i="2"/>
  <c r="D7" i="3" s="1"/>
  <c r="AA9" i="1"/>
  <c r="D8" i="2"/>
  <c r="D9" i="3" s="1"/>
  <c r="D21" i="7"/>
  <c r="E3" i="7"/>
  <c r="D21" i="10"/>
  <c r="E3" i="10"/>
  <c r="Z5" i="1"/>
  <c r="D21" i="9"/>
  <c r="E14" i="3"/>
  <c r="D23" i="4"/>
  <c r="D21" i="5"/>
  <c r="E18" i="3"/>
  <c r="D27" i="4"/>
  <c r="J10" i="6"/>
  <c r="K10" i="6" s="1"/>
  <c r="J21" i="4" s="1"/>
  <c r="J20" i="6"/>
  <c r="K20" i="6" s="1"/>
  <c r="J31" i="4" s="1"/>
  <c r="J18" i="6"/>
  <c r="K18" i="6" s="1"/>
  <c r="J29" i="4" s="1"/>
  <c r="J19" i="6"/>
  <c r="K19" i="6" s="1"/>
  <c r="J30" i="4" s="1"/>
  <c r="J7" i="6"/>
  <c r="K7" i="6" s="1"/>
  <c r="J18" i="4" s="1"/>
  <c r="J12" i="6"/>
  <c r="K12" i="6" s="1"/>
  <c r="J23" i="4" s="1"/>
  <c r="J15" i="6"/>
  <c r="K15" i="6" s="1"/>
  <c r="J26" i="4" s="1"/>
  <c r="J11" i="6"/>
  <c r="K11" i="6" s="1"/>
  <c r="J22" i="4" s="1"/>
  <c r="J13" i="6"/>
  <c r="K13" i="6" s="1"/>
  <c r="J24" i="4" s="1"/>
  <c r="J5" i="6"/>
  <c r="K5" i="6" s="1"/>
  <c r="J16" i="4" s="1"/>
  <c r="J4" i="6"/>
  <c r="K4" i="6" s="1"/>
  <c r="J15" i="4" s="1"/>
  <c r="J17" i="6"/>
  <c r="K17" i="6" s="1"/>
  <c r="J28" i="4" s="1"/>
  <c r="E21" i="9" l="1"/>
  <c r="M32" i="4"/>
  <c r="E21" i="5"/>
  <c r="D29" i="4"/>
  <c r="F13" i="8"/>
  <c r="G13" i="8" s="1"/>
  <c r="L24" i="4" s="1"/>
  <c r="O24" i="4" s="1"/>
  <c r="F15" i="8"/>
  <c r="G15" i="8" s="1"/>
  <c r="L26" i="4" s="1"/>
  <c r="O26" i="4" s="1"/>
  <c r="F4" i="8"/>
  <c r="G4" i="8" s="1"/>
  <c r="L15" i="4" s="1"/>
  <c r="P15" i="4" s="1"/>
  <c r="F20" i="8"/>
  <c r="G20" i="8" s="1"/>
  <c r="L31" i="4" s="1"/>
  <c r="P31" i="4" s="1"/>
  <c r="F11" i="8"/>
  <c r="G11" i="8" s="1"/>
  <c r="L22" i="4" s="1"/>
  <c r="O22" i="4" s="1"/>
  <c r="F7" i="8"/>
  <c r="G7" i="8" s="1"/>
  <c r="L18" i="4" s="1"/>
  <c r="P18" i="4" s="1"/>
  <c r="F8" i="8"/>
  <c r="G8" i="8" s="1"/>
  <c r="L19" i="4" s="1"/>
  <c r="P19" i="4" s="1"/>
  <c r="F14" i="8"/>
  <c r="G14" i="8" s="1"/>
  <c r="L25" i="4" s="1"/>
  <c r="P25" i="4" s="1"/>
  <c r="F17" i="8"/>
  <c r="G17" i="8" s="1"/>
  <c r="L28" i="4" s="1"/>
  <c r="O28" i="4" s="1"/>
  <c r="F5" i="8"/>
  <c r="G5" i="8" s="1"/>
  <c r="L16" i="4" s="1"/>
  <c r="P16" i="4" s="1"/>
  <c r="F12" i="8"/>
  <c r="G12" i="8" s="1"/>
  <c r="L23" i="4" s="1"/>
  <c r="P23" i="4" s="1"/>
  <c r="F18" i="8"/>
  <c r="G18" i="8" s="1"/>
  <c r="L29" i="4" s="1"/>
  <c r="O29" i="4" s="1"/>
  <c r="F3" i="8"/>
  <c r="G3" i="8" s="1"/>
  <c r="L14" i="4" s="1"/>
  <c r="F9" i="8"/>
  <c r="G9" i="8" s="1"/>
  <c r="L20" i="4" s="1"/>
  <c r="O20" i="4" s="1"/>
  <c r="F19" i="8"/>
  <c r="G19" i="8" s="1"/>
  <c r="L30" i="4" s="1"/>
  <c r="O30" i="4" s="1"/>
  <c r="F16" i="8"/>
  <c r="G16" i="8" s="1"/>
  <c r="L27" i="4" s="1"/>
  <c r="O27" i="4" s="1"/>
  <c r="F10" i="8"/>
  <c r="G10" i="8" s="1"/>
  <c r="L21" i="4" s="1"/>
  <c r="P21" i="4" s="1"/>
  <c r="P17" i="4"/>
  <c r="D19" i="4"/>
  <c r="E6" i="3"/>
  <c r="D21" i="4"/>
  <c r="E19" i="3"/>
  <c r="D28" i="4"/>
  <c r="O17" i="4"/>
  <c r="D26" i="4"/>
  <c r="E17" i="3"/>
  <c r="D20" i="4"/>
  <c r="E11" i="3"/>
  <c r="D16" i="4"/>
  <c r="E7" i="3"/>
  <c r="D18" i="4"/>
  <c r="E9" i="3"/>
  <c r="E13" i="3"/>
  <c r="D22" i="4"/>
  <c r="E15" i="3"/>
  <c r="D24" i="4"/>
  <c r="E21" i="10"/>
  <c r="N14" i="4"/>
  <c r="N32" i="4" s="1"/>
  <c r="D4" i="2"/>
  <c r="D5" i="3" s="1"/>
  <c r="AA5" i="1"/>
  <c r="J21" i="6"/>
  <c r="K21" i="6"/>
  <c r="J14" i="4"/>
  <c r="I32" i="4"/>
  <c r="E21" i="7"/>
  <c r="K14" i="4"/>
  <c r="K32" i="4" s="1"/>
  <c r="J32" i="4" l="1"/>
  <c r="P24" i="4"/>
  <c r="O23" i="4"/>
  <c r="P26" i="4"/>
  <c r="O18" i="4"/>
  <c r="O16" i="4"/>
  <c r="P30" i="4"/>
  <c r="O15" i="4"/>
  <c r="P28" i="4"/>
  <c r="P20" i="4"/>
  <c r="O19" i="4"/>
  <c r="O31" i="4"/>
  <c r="O25" i="4"/>
  <c r="P22" i="4"/>
  <c r="O21" i="4"/>
  <c r="P29" i="4"/>
  <c r="F21" i="8"/>
  <c r="P27" i="4"/>
  <c r="L32" i="4"/>
  <c r="G21" i="8"/>
  <c r="P14" i="4"/>
  <c r="B29" i="1"/>
  <c r="B27" i="1"/>
  <c r="B28" i="1"/>
  <c r="O14" i="4"/>
  <c r="E5" i="3"/>
  <c r="AA20" i="3" s="1" a="1"/>
  <c r="AA20" i="3" s="1"/>
  <c r="D14" i="4"/>
  <c r="C27" i="1" l="1"/>
  <c r="AA10" i="3" a="1"/>
  <c r="AA10" i="3" s="1"/>
  <c r="AA8" i="3" a="1"/>
  <c r="AA8" i="3" s="1"/>
  <c r="AA16" i="3" a="1"/>
  <c r="AA16" i="3" s="1"/>
  <c r="B30" i="1"/>
  <c r="P32" i="4"/>
  <c r="I37" i="4" s="1"/>
  <c r="J37" i="4" s="1"/>
  <c r="O32" i="4"/>
  <c r="H37" i="4" s="1"/>
  <c r="U22" i="3" a="1"/>
  <c r="U22" i="3" s="1"/>
  <c r="T21" i="3" a="1"/>
  <c r="T21" i="3" s="1"/>
  <c r="W21" i="3" a="1"/>
  <c r="W21" i="3" s="1"/>
  <c r="R22" i="3" a="1"/>
  <c r="R22" i="3" s="1"/>
  <c r="V22" i="3" a="1"/>
  <c r="V22" i="3" s="1"/>
  <c r="T22" i="3" a="1"/>
  <c r="T22" i="3" s="1"/>
  <c r="R21" i="3" a="1"/>
  <c r="R21" i="3" s="1"/>
  <c r="W22" i="3" a="1"/>
  <c r="W22" i="3" s="1"/>
  <c r="Y21" i="3" a="1"/>
  <c r="Y21" i="3" s="1"/>
  <c r="Y22" i="3" a="1"/>
  <c r="Y22" i="3" s="1"/>
  <c r="Q21" i="3" a="1"/>
  <c r="Q21" i="3" s="1"/>
  <c r="X22" i="3" a="1"/>
  <c r="X22" i="3" s="1"/>
  <c r="V21" i="3" a="1"/>
  <c r="V21" i="3" s="1"/>
  <c r="U21" i="3" a="1"/>
  <c r="U21" i="3" s="1"/>
  <c r="X21" i="3" a="1"/>
  <c r="X21" i="3" s="1"/>
  <c r="Q22" i="3" a="1"/>
  <c r="Q22" i="3" s="1"/>
  <c r="C29" i="1"/>
  <c r="C28" i="1"/>
  <c r="Q5" i="3" a="1"/>
  <c r="Q5" i="3" s="1"/>
  <c r="T5" i="3" a="1"/>
  <c r="T5" i="3" s="1"/>
  <c r="X5" i="3" a="1"/>
  <c r="X5" i="3" s="1"/>
  <c r="V5" i="3" a="1"/>
  <c r="V5" i="3" s="1"/>
  <c r="T12" i="3" a="1"/>
  <c r="T12" i="3" s="1"/>
  <c r="U5" i="3" a="1"/>
  <c r="U5" i="3" s="1"/>
  <c r="R19" i="3" a="1"/>
  <c r="R19" i="3" s="1"/>
  <c r="R6" i="3" a="1"/>
  <c r="R6" i="3" s="1"/>
  <c r="X19" i="3" a="1"/>
  <c r="X19" i="3" s="1"/>
  <c r="AA5" i="3" a="1"/>
  <c r="AA5" i="3" s="1"/>
  <c r="W13" i="3" a="1"/>
  <c r="W13" i="3" s="1"/>
  <c r="T6" i="3" a="1"/>
  <c r="T6" i="3" s="1"/>
  <c r="U11" i="3" a="1"/>
  <c r="U11" i="3" s="1"/>
  <c r="V19" i="3" a="1"/>
  <c r="V19" i="3" s="1"/>
  <c r="V9" i="3" a="1"/>
  <c r="V9" i="3" s="1"/>
  <c r="R11" i="3" a="1"/>
  <c r="R11" i="3" s="1"/>
  <c r="W9" i="3" a="1"/>
  <c r="W9" i="3" s="1"/>
  <c r="X6" i="3" a="1"/>
  <c r="X6" i="3" s="1"/>
  <c r="T15" i="3" a="1"/>
  <c r="T15" i="3" s="1"/>
  <c r="R5" i="3" a="1"/>
  <c r="R5" i="3" s="1"/>
  <c r="Y5" i="3" a="1"/>
  <c r="Y5" i="3" s="1"/>
  <c r="Y8" i="3" a="1"/>
  <c r="Y8" i="3" s="1"/>
  <c r="V16" i="3" a="1"/>
  <c r="V16" i="3" s="1"/>
  <c r="U6" i="3" a="1"/>
  <c r="U6" i="3" s="1"/>
  <c r="U16" i="3" a="1"/>
  <c r="U16" i="3" s="1"/>
  <c r="T19" i="3" a="1"/>
  <c r="T19" i="3" s="1"/>
  <c r="X9" i="3" a="1"/>
  <c r="X9" i="3" s="1"/>
  <c r="U19" i="3" a="1"/>
  <c r="U19" i="3" s="1"/>
  <c r="U9" i="3" a="1"/>
  <c r="U9" i="3" s="1"/>
  <c r="X7" i="3" a="1"/>
  <c r="X7" i="3" s="1"/>
  <c r="W5" i="3" a="1"/>
  <c r="W5" i="3" s="1"/>
  <c r="W11" i="3" a="1"/>
  <c r="W11" i="3" s="1"/>
  <c r="T7" i="3" a="1"/>
  <c r="T7" i="3" s="1"/>
  <c r="Y9" i="3" a="1"/>
  <c r="Y9" i="3" s="1"/>
  <c r="T16" i="3" a="1"/>
  <c r="T16" i="3" s="1"/>
  <c r="V7" i="3" a="1"/>
  <c r="V7" i="3" s="1"/>
  <c r="AA12" i="3" a="1"/>
  <c r="AA12" i="3" s="1"/>
  <c r="Q12" i="3" a="1"/>
  <c r="Q12" i="3" s="1"/>
  <c r="X15" i="3" a="1"/>
  <c r="X15" i="3" s="1"/>
  <c r="X8" i="3" a="1"/>
  <c r="X8" i="3" s="1"/>
  <c r="X16" i="3" a="1"/>
  <c r="X16" i="3" s="1"/>
  <c r="R17" i="3" a="1"/>
  <c r="R17" i="3" s="1"/>
  <c r="X20" i="3" a="1"/>
  <c r="X20" i="3" s="1"/>
  <c r="Y20" i="3" a="1"/>
  <c r="Y20" i="3" s="1"/>
  <c r="Q6" i="3" a="1"/>
  <c r="Q6" i="3" s="1"/>
  <c r="W19" i="3" a="1"/>
  <c r="W19" i="3" s="1"/>
  <c r="Q13" i="3" a="1"/>
  <c r="Q13" i="3" s="1"/>
  <c r="R7" i="3" a="1"/>
  <c r="R7" i="3" s="1"/>
  <c r="V11" i="3" a="1"/>
  <c r="V11" i="3" s="1"/>
  <c r="W20" i="3" a="1"/>
  <c r="W20" i="3" s="1"/>
  <c r="T17" i="3" a="1"/>
  <c r="T17" i="3" s="1"/>
  <c r="W17" i="3" a="1"/>
  <c r="W17" i="3" s="1"/>
  <c r="R9" i="3" a="1"/>
  <c r="R9" i="3" s="1"/>
  <c r="Y19" i="3" a="1"/>
  <c r="Y19" i="3" s="1"/>
  <c r="U8" i="3" a="1"/>
  <c r="U8" i="3" s="1"/>
  <c r="Q20" i="3" a="1"/>
  <c r="Q20" i="3" s="1"/>
  <c r="T13" i="3" a="1"/>
  <c r="T13" i="3" s="1"/>
  <c r="U20" i="3" a="1"/>
  <c r="U20" i="3" s="1"/>
  <c r="Q15" i="3" a="1"/>
  <c r="Q15" i="3" s="1"/>
  <c r="Y7" i="3" a="1"/>
  <c r="Y7" i="3" s="1"/>
  <c r="R16" i="3" a="1"/>
  <c r="R16" i="3" s="1"/>
  <c r="Y16" i="3" a="1"/>
  <c r="Y16" i="3" s="1"/>
  <c r="W12" i="3" a="1"/>
  <c r="W12" i="3" s="1"/>
  <c r="U12" i="3" a="1"/>
  <c r="U12" i="3" s="1"/>
  <c r="Q8" i="3" a="1"/>
  <c r="Q8" i="3" s="1"/>
  <c r="R20" i="3" a="1"/>
  <c r="R20" i="3" s="1"/>
  <c r="W6" i="3" a="1"/>
  <c r="W6" i="3" s="1"/>
  <c r="U15" i="3" a="1"/>
  <c r="U15" i="3" s="1"/>
  <c r="V13" i="3" a="1"/>
  <c r="V13" i="3" s="1"/>
  <c r="V17" i="3" a="1"/>
  <c r="V17" i="3" s="1"/>
  <c r="V6" i="3" a="1"/>
  <c r="V6" i="3" s="1"/>
  <c r="Y15" i="3" a="1"/>
  <c r="Y15" i="3" s="1"/>
  <c r="X11" i="3" a="1"/>
  <c r="X11" i="3" s="1"/>
  <c r="Q19" i="3" a="1"/>
  <c r="Q19" i="3" s="1"/>
  <c r="Y13" i="3" a="1"/>
  <c r="Y13" i="3" s="1"/>
  <c r="U7" i="3" a="1"/>
  <c r="U7" i="3" s="1"/>
  <c r="T11" i="3" a="1"/>
  <c r="T11" i="3" s="1"/>
  <c r="V15" i="3" a="1"/>
  <c r="V15" i="3" s="1"/>
  <c r="Q9" i="3" a="1"/>
  <c r="Q9" i="3" s="1"/>
  <c r="Y17" i="3" a="1"/>
  <c r="Y17" i="3" s="1"/>
  <c r="R8" i="3" a="1"/>
  <c r="R8" i="3" s="1"/>
  <c r="Y6" i="3" a="1"/>
  <c r="Y6" i="3" s="1"/>
  <c r="Q11" i="3" a="1"/>
  <c r="Q11" i="3" s="1"/>
  <c r="U13" i="3" a="1"/>
  <c r="U13" i="3" s="1"/>
  <c r="W15" i="3" a="1"/>
  <c r="W15" i="3" s="1"/>
  <c r="Q7" i="3" a="1"/>
  <c r="Q7" i="3" s="1"/>
  <c r="T9" i="3" a="1"/>
  <c r="T9" i="3" s="1"/>
  <c r="AA9" i="3" a="1"/>
  <c r="AA9" i="3" s="1"/>
  <c r="Q16" i="3" a="1"/>
  <c r="Q16" i="3" s="1"/>
  <c r="W7" i="3" a="1"/>
  <c r="W7" i="3" s="1"/>
  <c r="X12" i="3" a="1"/>
  <c r="X12" i="3" s="1"/>
  <c r="Y12" i="3" a="1"/>
  <c r="Y12" i="3" s="1"/>
  <c r="V12" i="3" a="1"/>
  <c r="V12" i="3" s="1"/>
  <c r="V8" i="3" a="1"/>
  <c r="V8" i="3" s="1"/>
  <c r="R13" i="3" a="1"/>
  <c r="R13" i="3" s="1"/>
  <c r="AA17" i="3" a="1"/>
  <c r="AA17" i="3" s="1"/>
  <c r="V20" i="3" a="1"/>
  <c r="V20" i="3" s="1"/>
  <c r="R15" i="3" a="1"/>
  <c r="R15" i="3" s="1"/>
  <c r="AA6" i="3" a="1"/>
  <c r="AA6" i="3" s="1"/>
  <c r="X13" i="3" a="1"/>
  <c r="X13" i="3" s="1"/>
  <c r="T20" i="3" a="1"/>
  <c r="T20" i="3" s="1"/>
  <c r="Y11" i="3" a="1"/>
  <c r="Y11" i="3" s="1"/>
  <c r="T8" i="3" a="1"/>
  <c r="T8" i="3" s="1"/>
  <c r="AA7" i="3" a="1"/>
  <c r="AA7" i="3" s="1"/>
  <c r="W16" i="3" a="1"/>
  <c r="W16" i="3" s="1"/>
  <c r="R12" i="3" a="1"/>
  <c r="R12" i="3" s="1"/>
  <c r="W8" i="3" a="1"/>
  <c r="W8" i="3" s="1"/>
  <c r="Q17" i="3" a="1"/>
  <c r="Q17" i="3" s="1"/>
  <c r="X17" i="3" a="1"/>
  <c r="X17" i="3" s="1"/>
  <c r="U17" i="3" a="1"/>
  <c r="U17" i="3" s="1"/>
  <c r="AA11" i="3" a="1"/>
  <c r="AA11" i="3" s="1"/>
  <c r="U10" i="3" a="1"/>
  <c r="U10" i="3" s="1"/>
  <c r="Q10" i="3" a="1"/>
  <c r="Q10" i="3" s="1"/>
  <c r="Y18" i="3" a="1"/>
  <c r="Y18" i="3" s="1"/>
  <c r="T14" i="3" a="1"/>
  <c r="T14" i="3" s="1"/>
  <c r="X10" i="3" a="1"/>
  <c r="X10" i="3" s="1"/>
  <c r="R14" i="3" a="1"/>
  <c r="R14" i="3" s="1"/>
  <c r="V10" i="3" a="1"/>
  <c r="V10" i="3" s="1"/>
  <c r="W18" i="3" a="1"/>
  <c r="W18" i="3" s="1"/>
  <c r="X18" i="3" a="1"/>
  <c r="X18" i="3" s="1"/>
  <c r="Y14" i="3" a="1"/>
  <c r="Y14" i="3" s="1"/>
  <c r="W10" i="3" a="1"/>
  <c r="W10" i="3" s="1"/>
  <c r="Q18" i="3" a="1"/>
  <c r="Q18" i="3" s="1"/>
  <c r="W14" i="3" a="1"/>
  <c r="W14" i="3" s="1"/>
  <c r="Y10" i="3" a="1"/>
  <c r="Y10" i="3" s="1"/>
  <c r="T10" i="3" a="1"/>
  <c r="T10" i="3" s="1"/>
  <c r="T18" i="3" a="1"/>
  <c r="T18" i="3" s="1"/>
  <c r="R18" i="3" a="1"/>
  <c r="R18" i="3" s="1"/>
  <c r="V18" i="3" a="1"/>
  <c r="V18" i="3" s="1"/>
  <c r="Q14" i="3" a="1"/>
  <c r="Q14" i="3" s="1"/>
  <c r="U14" i="3" a="1"/>
  <c r="U14" i="3" s="1"/>
  <c r="V14" i="3" a="1"/>
  <c r="V14" i="3" s="1"/>
  <c r="R10" i="3" a="1"/>
  <c r="R10" i="3" s="1"/>
  <c r="U18" i="3" a="1"/>
  <c r="U18" i="3" s="1"/>
  <c r="X14" i="3" a="1"/>
  <c r="X14" i="3" s="1"/>
  <c r="W23" i="3" l="1"/>
  <c r="AA23" i="3"/>
  <c r="U23" i="3"/>
  <c r="T23" i="3"/>
  <c r="Y23" i="3"/>
  <c r="Q23" i="3"/>
  <c r="R23" i="3"/>
  <c r="V23" i="3"/>
  <c r="X23" i="3"/>
  <c r="O7" i="3"/>
  <c r="O8" i="3"/>
  <c r="O13" i="3"/>
  <c r="O17" i="3"/>
  <c r="O14" i="3"/>
  <c r="O6" i="3"/>
  <c r="O9" i="3"/>
  <c r="O11" i="3"/>
  <c r="O12" i="3"/>
  <c r="O19" i="3"/>
  <c r="Z19" i="3" s="1" a="1"/>
  <c r="Z19" i="3" s="1"/>
  <c r="O23" i="3" l="1"/>
  <c r="Z13" i="3" a="1"/>
  <c r="Z13" i="3" s="1"/>
  <c r="Z5" i="3" a="1"/>
  <c r="Z5" i="3" s="1"/>
  <c r="Z6" i="3" a="1"/>
  <c r="Z6" i="3" s="1"/>
  <c r="Z14" i="3" l="1" a="1"/>
  <c r="Z14" i="3" s="1"/>
  <c r="Z7" i="3" a="1"/>
  <c r="Z7" i="3" s="1"/>
  <c r="Z17" i="3" a="1"/>
  <c r="Z17" i="3" s="1"/>
  <c r="Z9" i="3" a="1"/>
  <c r="Z9" i="3" s="1"/>
  <c r="Z8" i="3" a="1"/>
  <c r="Z8" i="3" s="1"/>
  <c r="Z11" i="3" a="1"/>
  <c r="Z11" i="3" s="1"/>
  <c r="Z12" i="3" a="1"/>
  <c r="Z12" i="3" s="1"/>
  <c r="H7" i="3"/>
  <c r="H21" i="3"/>
  <c r="H16" i="3"/>
  <c r="H11" i="3"/>
  <c r="H9" i="3"/>
  <c r="H20" i="3"/>
  <c r="H18" i="3"/>
  <c r="H17" i="3"/>
  <c r="Z23" i="3" l="1"/>
  <c r="H13" i="3"/>
  <c r="H6" i="3"/>
  <c r="H19" i="3"/>
  <c r="H15" i="3"/>
  <c r="H12" i="3"/>
  <c r="H10" i="3"/>
  <c r="H14" i="3"/>
  <c r="H5" i="3"/>
  <c r="H8" i="3"/>
  <c r="H22" i="3"/>
  <c r="H23" i="3" l="1"/>
  <c r="S22" i="3" a="1"/>
  <c r="S22" i="3" s="1"/>
  <c r="AB22" i="3" s="1"/>
  <c r="S21" i="3" a="1"/>
  <c r="S21" i="3" s="1"/>
  <c r="AB21" i="3" s="1"/>
  <c r="S7" i="3" a="1"/>
  <c r="S7" i="3" s="1"/>
  <c r="AB7" i="3" s="1"/>
  <c r="S18" i="3" a="1"/>
  <c r="S18" i="3" s="1"/>
  <c r="AB18" i="3" s="1"/>
  <c r="S9" i="3" a="1"/>
  <c r="S9" i="3" s="1"/>
  <c r="AB9" i="3" s="1"/>
  <c r="S13" i="3" a="1"/>
  <c r="S13" i="3" s="1"/>
  <c r="AB13" i="3" s="1"/>
  <c r="S6" i="3" a="1"/>
  <c r="S6" i="3" s="1"/>
  <c r="AB6" i="3" s="1"/>
  <c r="S12" i="3" a="1"/>
  <c r="S12" i="3" s="1"/>
  <c r="AB12" i="3" s="1"/>
  <c r="S15" i="3" a="1"/>
  <c r="S15" i="3" s="1"/>
  <c r="AB15" i="3" s="1"/>
  <c r="S8" i="3" a="1"/>
  <c r="S8" i="3" s="1"/>
  <c r="AB8" i="3" s="1"/>
  <c r="S5" i="3" a="1"/>
  <c r="S5" i="3" s="1"/>
  <c r="S16" i="3" a="1"/>
  <c r="S16" i="3" s="1"/>
  <c r="AB16" i="3" s="1"/>
  <c r="S11" i="3" a="1"/>
  <c r="S11" i="3" s="1"/>
  <c r="AB11" i="3" s="1"/>
  <c r="S14" i="3" a="1"/>
  <c r="S14" i="3" s="1"/>
  <c r="AB14" i="3" s="1"/>
  <c r="S19" i="3" a="1"/>
  <c r="S19" i="3" s="1"/>
  <c r="AB19" i="3" s="1"/>
  <c r="S20" i="3" a="1"/>
  <c r="S20" i="3" s="1"/>
  <c r="AB20" i="3" s="1"/>
  <c r="S10" i="3" a="1"/>
  <c r="S10" i="3" s="1"/>
  <c r="AB10" i="3" s="1"/>
  <c r="S17" i="3" a="1"/>
  <c r="S17" i="3" s="1"/>
  <c r="AB17" i="3" s="1"/>
  <c r="AB5" i="3" l="1"/>
  <c r="S23" i="3"/>
  <c r="AB23" i="3" l="1"/>
  <c r="AC20" i="3" s="1" a="1"/>
  <c r="AC20" i="3" s="1"/>
  <c r="AD20" i="3" s="1"/>
  <c r="AC7" i="3" l="1" a="1"/>
  <c r="AC7" i="3" s="1"/>
  <c r="AD7" i="3" s="1"/>
  <c r="AC21" i="3" a="1"/>
  <c r="AC21" i="3" s="1"/>
  <c r="AD21" i="3" s="1"/>
  <c r="AC9" i="3" a="1"/>
  <c r="AC9" i="3" s="1"/>
  <c r="AD9" i="3" s="1"/>
  <c r="AC12" i="3" a="1"/>
  <c r="AC12" i="3" s="1"/>
  <c r="AD12" i="3" s="1"/>
  <c r="AC11" i="3" a="1"/>
  <c r="AC11" i="3" s="1"/>
  <c r="AD11" i="3" s="1"/>
  <c r="AC19" i="3" a="1"/>
  <c r="AC19" i="3" s="1"/>
  <c r="AD19" i="3" s="1"/>
  <c r="AC6" i="3" a="1"/>
  <c r="AC6" i="3" s="1"/>
  <c r="AD6" i="3" s="1"/>
  <c r="AC8" i="3" a="1"/>
  <c r="AC8" i="3" s="1"/>
  <c r="AD8" i="3" s="1"/>
  <c r="AC5" i="3" a="1"/>
  <c r="AC5" i="3" s="1"/>
  <c r="AC16" i="3" a="1"/>
  <c r="AC16" i="3" s="1"/>
  <c r="AD16" i="3" s="1"/>
  <c r="AC13" i="3" a="1"/>
  <c r="AC13" i="3" s="1"/>
  <c r="AD13" i="3" s="1"/>
  <c r="AC18" i="3" a="1"/>
  <c r="AC18" i="3" s="1"/>
  <c r="AD18" i="3" s="1"/>
  <c r="AC17" i="3" a="1"/>
  <c r="AC17" i="3" s="1"/>
  <c r="AD17" i="3" s="1"/>
  <c r="AC10" i="3" a="1"/>
  <c r="AC10" i="3" s="1"/>
  <c r="AD10" i="3" s="1"/>
  <c r="AC15" i="3" a="1"/>
  <c r="AC15" i="3" s="1"/>
  <c r="AD15" i="3" s="1"/>
  <c r="AC14" i="3" a="1"/>
  <c r="AC14" i="3" s="1"/>
  <c r="AD14" i="3" s="1"/>
  <c r="AC22" i="3" a="1"/>
  <c r="AC22" i="3" s="1"/>
  <c r="AD22" i="3" s="1"/>
  <c r="B33" i="1"/>
  <c r="B37" i="1" s="1"/>
  <c r="C37" i="1" s="1"/>
  <c r="AE22" i="3" s="1"/>
  <c r="AF22" i="3" l="1"/>
  <c r="AG22" i="3" s="1"/>
  <c r="AH22" i="3" s="1"/>
  <c r="Q31" i="4" s="1"/>
  <c r="S31" i="4" s="1"/>
  <c r="AD5" i="3"/>
  <c r="AD23" i="3" s="1"/>
  <c r="AC23" i="3"/>
  <c r="B35" i="1"/>
  <c r="B36" i="1"/>
  <c r="C36" i="1" s="1"/>
  <c r="AE19" i="3" s="1"/>
  <c r="AF19" i="3" s="1"/>
  <c r="AG19" i="3" s="1"/>
  <c r="AE21" i="3"/>
  <c r="AF21" i="3" s="1"/>
  <c r="AG21" i="3" s="1"/>
  <c r="AE15" i="3" l="1"/>
  <c r="AF15" i="3" s="1"/>
  <c r="AG15" i="3" s="1"/>
  <c r="AE14" i="3"/>
  <c r="AF14" i="3" s="1"/>
  <c r="AG14" i="3" s="1"/>
  <c r="AE18" i="3"/>
  <c r="AF18" i="3" s="1"/>
  <c r="AG18" i="3" s="1"/>
  <c r="AE11" i="3"/>
  <c r="AF11" i="3" s="1"/>
  <c r="AG11" i="3" s="1"/>
  <c r="AH11" i="3" s="1"/>
  <c r="Q20" i="4" s="1"/>
  <c r="AE20" i="3"/>
  <c r="AF20" i="3" s="1"/>
  <c r="AG20" i="3" s="1"/>
  <c r="AH20" i="3" s="1"/>
  <c r="Q29" i="4" s="1"/>
  <c r="AE12" i="3"/>
  <c r="AF12" i="3" s="1"/>
  <c r="AG12" i="3" s="1"/>
  <c r="T31" i="4"/>
  <c r="AE17" i="3"/>
  <c r="AF17" i="3" s="1"/>
  <c r="AG17" i="3" s="1"/>
  <c r="AH17" i="3" s="1"/>
  <c r="Q26" i="4" s="1"/>
  <c r="AE13" i="3"/>
  <c r="AF13" i="3" s="1"/>
  <c r="AG13" i="3" s="1"/>
  <c r="AH13" i="3" s="1"/>
  <c r="Q22" i="4" s="1"/>
  <c r="AE10" i="3"/>
  <c r="AF10" i="3" s="1"/>
  <c r="AG10" i="3" s="1"/>
  <c r="AE16" i="3"/>
  <c r="AF16" i="3" s="1"/>
  <c r="AG16" i="3" s="1"/>
  <c r="AE8" i="3"/>
  <c r="AF8" i="3" s="1"/>
  <c r="AG8" i="3" s="1"/>
  <c r="AH8" i="3" s="1"/>
  <c r="Q17" i="4" s="1"/>
  <c r="T17" i="4" s="1"/>
  <c r="AE7" i="3"/>
  <c r="AF7" i="3" s="1"/>
  <c r="AG7" i="3" s="1"/>
  <c r="AH7" i="3" s="1"/>
  <c r="Q16" i="4" s="1"/>
  <c r="B38" i="1"/>
  <c r="C35" i="1"/>
  <c r="AH18" i="3"/>
  <c r="Q27" i="4" s="1"/>
  <c r="AH15" i="3"/>
  <c r="Q24" i="4" s="1"/>
  <c r="AH19" i="3"/>
  <c r="Q28" i="4" s="1"/>
  <c r="AH12" i="3"/>
  <c r="Q21" i="4" s="1"/>
  <c r="V31" i="4"/>
  <c r="W31" i="4" s="1"/>
  <c r="AH14" i="3"/>
  <c r="Q23" i="4" s="1"/>
  <c r="AH10" i="3"/>
  <c r="Q19" i="4" s="1"/>
  <c r="AH16" i="3"/>
  <c r="Q25" i="4" s="1"/>
  <c r="AH21" i="3"/>
  <c r="Q30" i="4" s="1"/>
  <c r="AA31" i="4" l="1"/>
  <c r="AB31" i="4" s="1"/>
  <c r="S17" i="4"/>
  <c r="D37" i="1"/>
  <c r="E37" i="1" s="1"/>
  <c r="D35" i="1"/>
  <c r="E35" i="1" s="1"/>
  <c r="D36" i="1"/>
  <c r="E36" i="1" s="1"/>
  <c r="AE5" i="3"/>
  <c r="C38" i="1"/>
  <c r="AE6" i="3"/>
  <c r="AF6" i="3" s="1"/>
  <c r="AG6" i="3" s="1"/>
  <c r="AE9" i="3"/>
  <c r="AF9" i="3" s="1"/>
  <c r="AG9" i="3" s="1"/>
  <c r="AH9" i="3" s="1"/>
  <c r="Q18" i="4" s="1"/>
  <c r="T16" i="4"/>
  <c r="S16" i="4"/>
  <c r="S21" i="4"/>
  <c r="T21" i="4"/>
  <c r="T28" i="4"/>
  <c r="S28" i="4"/>
  <c r="T30" i="4"/>
  <c r="S30" i="4"/>
  <c r="S19" i="4"/>
  <c r="T19" i="4"/>
  <c r="S23" i="4"/>
  <c r="T23" i="4"/>
  <c r="S25" i="4"/>
  <c r="T25" i="4"/>
  <c r="S22" i="4"/>
  <c r="T22" i="4"/>
  <c r="T24" i="4"/>
  <c r="S24" i="4"/>
  <c r="V17" i="4"/>
  <c r="W17" i="4" s="1"/>
  <c r="T29" i="4"/>
  <c r="S29" i="4"/>
  <c r="T20" i="4"/>
  <c r="S20" i="4"/>
  <c r="T26" i="4"/>
  <c r="S26" i="4"/>
  <c r="T27" i="4"/>
  <c r="S27" i="4"/>
  <c r="AA17" i="4" l="1"/>
  <c r="AB17" i="4" s="1"/>
  <c r="AF5" i="3"/>
  <c r="AF23" i="3" s="1"/>
  <c r="AE23" i="3"/>
  <c r="S18" i="4"/>
  <c r="T18" i="4"/>
  <c r="V18" i="4" s="1"/>
  <c r="W18" i="4" s="1"/>
  <c r="AH6" i="3"/>
  <c r="Q15" i="4" s="1"/>
  <c r="V16" i="4"/>
  <c r="W16" i="4" s="1"/>
  <c r="V25" i="4"/>
  <c r="W25" i="4" s="1"/>
  <c r="V23" i="4"/>
  <c r="W23" i="4" s="1"/>
  <c r="V28" i="4"/>
  <c r="W28" i="4" s="1"/>
  <c r="V20" i="4"/>
  <c r="W20" i="4" s="1"/>
  <c r="V30" i="4"/>
  <c r="W30" i="4" s="1"/>
  <c r="V21" i="4"/>
  <c r="W21" i="4" s="1"/>
  <c r="V24" i="4"/>
  <c r="W24" i="4" s="1"/>
  <c r="V27" i="4"/>
  <c r="W27" i="4" s="1"/>
  <c r="V26" i="4"/>
  <c r="W26" i="4" s="1"/>
  <c r="V29" i="4"/>
  <c r="W29" i="4" s="1"/>
  <c r="V22" i="4"/>
  <c r="W22" i="4" s="1"/>
  <c r="V19" i="4"/>
  <c r="W19" i="4" s="1"/>
  <c r="AG5" i="3" l="1"/>
  <c r="AA29" i="4"/>
  <c r="AB29" i="4" s="1"/>
  <c r="AA22" i="4"/>
  <c r="AB22" i="4"/>
  <c r="AA24" i="4"/>
  <c r="AB24" i="4" s="1"/>
  <c r="AA21" i="4"/>
  <c r="AB21" i="4" s="1"/>
  <c r="AA23" i="4"/>
  <c r="AB23" i="4" s="1"/>
  <c r="AA26" i="4"/>
  <c r="AB26" i="4" s="1"/>
  <c r="AA18" i="4"/>
  <c r="AB18" i="4"/>
  <c r="AA28" i="4"/>
  <c r="AB28" i="4" s="1"/>
  <c r="AA30" i="4"/>
  <c r="AB30" i="4" s="1"/>
  <c r="AA25" i="4"/>
  <c r="AB25" i="4"/>
  <c r="AA19" i="4"/>
  <c r="AB19" i="4" s="1"/>
  <c r="AA27" i="4"/>
  <c r="AB27" i="4" s="1"/>
  <c r="AA20" i="4"/>
  <c r="AB20" i="4" s="1"/>
  <c r="AA16" i="4"/>
  <c r="AB16" i="4" s="1"/>
  <c r="S15" i="4"/>
  <c r="T15" i="4"/>
  <c r="AG23" i="3"/>
  <c r="AI20" i="3" s="1" a="1"/>
  <c r="AI20" i="3" s="1"/>
  <c r="AH5" i="3"/>
  <c r="AI22" i="3" l="1" a="1"/>
  <c r="AI22" i="3" s="1"/>
  <c r="AI5" i="3" a="1"/>
  <c r="AI5" i="3" s="1"/>
  <c r="AI18" i="3" a="1"/>
  <c r="AI18" i="3" s="1"/>
  <c r="AI21" i="3" a="1"/>
  <c r="AI21" i="3" s="1"/>
  <c r="AI10" i="3" a="1"/>
  <c r="AI10" i="3" s="1"/>
  <c r="AI16" i="3" a="1"/>
  <c r="AI16" i="3" s="1"/>
  <c r="AI9" i="3" a="1"/>
  <c r="AI9" i="3" s="1"/>
  <c r="AI14" i="3" a="1"/>
  <c r="AI14" i="3" s="1"/>
  <c r="AI15" i="3" a="1"/>
  <c r="AI15" i="3" s="1"/>
  <c r="AI19" i="3" a="1"/>
  <c r="AI19" i="3" s="1"/>
  <c r="AI12" i="3" a="1"/>
  <c r="AI12" i="3" s="1"/>
  <c r="AI11" i="3" a="1"/>
  <c r="AI11" i="3" s="1"/>
  <c r="AI8" i="3" a="1"/>
  <c r="AI8" i="3" s="1"/>
  <c r="AI17" i="3" a="1"/>
  <c r="AI17" i="3" s="1"/>
  <c r="AI13" i="3" a="1"/>
  <c r="AI13" i="3" s="1"/>
  <c r="AH23" i="3"/>
  <c r="Q14" i="4"/>
  <c r="V15" i="4"/>
  <c r="W15" i="4" s="1"/>
  <c r="AI7" i="3" a="1"/>
  <c r="AI7" i="3" s="1"/>
  <c r="AI6" i="3" a="1"/>
  <c r="AI6" i="3" s="1"/>
  <c r="AA15" i="4" l="1"/>
  <c r="AB15" i="4" s="1"/>
  <c r="AI23" i="3"/>
  <c r="S14" i="4"/>
  <c r="Q32" i="4"/>
  <c r="T14" i="4"/>
  <c r="V14" i="4" s="1"/>
  <c r="S32" i="4" l="1"/>
  <c r="T32" i="4"/>
  <c r="W14" i="4" l="1"/>
  <c r="V32" i="4"/>
  <c r="AA14" i="4" l="1"/>
  <c r="AB14" i="4" s="1"/>
  <c r="W32" i="4"/>
  <c r="AA32" i="4" l="1"/>
  <c r="B50" i="4" s="1"/>
  <c r="B51" i="4" s="1"/>
  <c r="AB32" i="4"/>
  <c r="C50" i="4" s="1"/>
  <c r="C51" i="4" l="1"/>
  <c r="D50" i="4"/>
  <c r="D52" i="4" s="1"/>
</calcChain>
</file>

<file path=xl/sharedStrings.xml><?xml version="1.0" encoding="utf-8"?>
<sst xmlns="http://schemas.openxmlformats.org/spreadsheetml/2006/main" count="789" uniqueCount="326">
  <si>
    <t>Total general</t>
  </si>
  <si>
    <t>Cod</t>
  </si>
  <si>
    <t>UCH</t>
  </si>
  <si>
    <t>USA</t>
  </si>
  <si>
    <t>UVA</t>
  </si>
  <si>
    <t>TAL</t>
  </si>
  <si>
    <t>FRO</t>
  </si>
  <si>
    <t>ULS</t>
  </si>
  <si>
    <t>UBB</t>
  </si>
  <si>
    <t>ANT</t>
  </si>
  <si>
    <t>UTA</t>
  </si>
  <si>
    <t>Institución</t>
  </si>
  <si>
    <t>UNIVERSIDAD DE CHILE</t>
  </si>
  <si>
    <t>UNIVERSIDAD DE SANTIAGO DE CHILE</t>
  </si>
  <si>
    <t>UNIVERSIDAD DE VALPARAÍSO</t>
  </si>
  <si>
    <t>UNIVERSIDAD DE TALCA</t>
  </si>
  <si>
    <t>UNIVERSIDAD DE LA FRONTERA</t>
  </si>
  <si>
    <t>UNIVERSIDAD DE LA SERENA</t>
  </si>
  <si>
    <t>UNIVERSIDAD DEL BÍO-BÍO</t>
  </si>
  <si>
    <t>UNIVERSIDAD DE ANTOFAGASTA</t>
  </si>
  <si>
    <t>UNIVERSIDAD DE TARAPACÁ</t>
  </si>
  <si>
    <t>Tipo IES</t>
  </si>
  <si>
    <t>CRUCH-ESTATAL</t>
  </si>
  <si>
    <t>UAP</t>
  </si>
  <si>
    <t>ATA</t>
  </si>
  <si>
    <t>ULA</t>
  </si>
  <si>
    <t>MAG</t>
  </si>
  <si>
    <t>UPA</t>
  </si>
  <si>
    <t>UMC</t>
  </si>
  <si>
    <t>UTM</t>
  </si>
  <si>
    <t>UNIVERSIDAD ARTURO PRAT</t>
  </si>
  <si>
    <t>UNIVERSIDAD DE ATACAMA</t>
  </si>
  <si>
    <t>UNIVERSIDAD DE LOS LAGOS</t>
  </si>
  <si>
    <t>UNIVERSIDAD DE MAGALLANES</t>
  </si>
  <si>
    <t>UNIVERSIDAD DE PLAYA ANCHA CS. EDUCACIÓN</t>
  </si>
  <si>
    <t>UNIVERSIDAD METROPOLITANA DE CS.DE LA EDUCACIÓN</t>
  </si>
  <si>
    <t>UNIVERSIDAD TECNOLÓGICA METROPOLITANA</t>
  </si>
  <si>
    <t>Total Conjunto</t>
  </si>
  <si>
    <t>Ind+Conj &gt;=5 años</t>
  </si>
  <si>
    <t>Categorías</t>
  </si>
  <si>
    <t>1/2</t>
  </si>
  <si>
    <t>3/4</t>
  </si>
  <si>
    <t>(3+5+6)/4</t>
  </si>
  <si>
    <t>7/4</t>
  </si>
  <si>
    <t>7/3</t>
  </si>
  <si>
    <t>(8/9)</t>
  </si>
  <si>
    <t>10/11</t>
  </si>
  <si>
    <t>12/13</t>
  </si>
  <si>
    <t>14/15</t>
  </si>
  <si>
    <t>a) N° Académicos JC por cada 100 matriculados</t>
  </si>
  <si>
    <t>b) Porcentaje de Ac con Doc respecto a JCE</t>
  </si>
  <si>
    <t>c) Porcentaje de Ac con Esp. Méd., Mg o Doc respecto a JCE</t>
  </si>
  <si>
    <t>d) N° Publicaciones Scopus por JCE</t>
  </si>
  <si>
    <t>e) N° Publicaciones Scopus por JCE con Doc.</t>
  </si>
  <si>
    <t>f) Promedio de citas por publicación quinquenio</t>
  </si>
  <si>
    <t>g) Porcentaje de est. 1er año Q1, Q2, Q3 respecto al total de alumnos de 1er año</t>
  </si>
  <si>
    <t>h) Porcentaje de retención primer año pregrado</t>
  </si>
  <si>
    <t>i) Tasa de titulación respecto a alumnos 1er año de la promoción</t>
  </si>
  <si>
    <t>j) Tasa de graduación programas doctorado</t>
  </si>
  <si>
    <t>k) N° Patentes solicitadas PCT por JCE</t>
  </si>
  <si>
    <t>Resultado i/Resultado Máximo</t>
  </si>
  <si>
    <t>Concatenado</t>
  </si>
  <si>
    <t>Ajustes</t>
  </si>
  <si>
    <t>Promedio</t>
  </si>
  <si>
    <t>Ponderación</t>
  </si>
  <si>
    <t>CRUCH-ESTATALCategoría I</t>
  </si>
  <si>
    <t>CRUCH-ESTATALCategoría II</t>
  </si>
  <si>
    <t>CRUCH-ESTATALCategoría III</t>
  </si>
  <si>
    <t>Factor</t>
  </si>
  <si>
    <t>Concatenar</t>
  </si>
  <si>
    <t>N° IES</t>
  </si>
  <si>
    <t>Montos</t>
  </si>
  <si>
    <t>Estatal</t>
  </si>
  <si>
    <t>M$</t>
  </si>
  <si>
    <t>Monto Categ</t>
  </si>
  <si>
    <t>AFI 2016</t>
  </si>
  <si>
    <t>Total Elemento Mixto</t>
  </si>
  <si>
    <t>Elemento Desempeño</t>
  </si>
  <si>
    <t>% Por tipo de IES</t>
  </si>
  <si>
    <t>Monto por Tipo IES-Categoría</t>
  </si>
  <si>
    <t>Suma Promedio por Tipo IES-Categoría</t>
  </si>
  <si>
    <t>Total por IES</t>
  </si>
  <si>
    <t>Redondear por IES</t>
  </si>
  <si>
    <t>Ajustado por IES</t>
  </si>
  <si>
    <t>16/19</t>
  </si>
  <si>
    <t>(20+21)/4)</t>
  </si>
  <si>
    <t>Redondear</t>
  </si>
  <si>
    <t>U. DE O'HIGGINS</t>
  </si>
  <si>
    <t>URO</t>
  </si>
  <si>
    <t>U. DE AYSÉN</t>
  </si>
  <si>
    <t>URY</t>
  </si>
  <si>
    <t>Categoría III</t>
  </si>
  <si>
    <t>Reajuste AFI</t>
  </si>
  <si>
    <t>Tutoras
Universidades
M$</t>
  </si>
  <si>
    <t>Tutoras
CFT
M$</t>
  </si>
  <si>
    <t>Tutora Universidades</t>
  </si>
  <si>
    <t>Tutora CFT</t>
  </si>
  <si>
    <t>Tipos IES</t>
  </si>
  <si>
    <t>Complejidad Institucional</t>
  </si>
  <si>
    <t>Porcentaje</t>
  </si>
  <si>
    <t>Monto</t>
  </si>
  <si>
    <t>Monto Publicaciones</t>
  </si>
  <si>
    <t>Publicaciones M$</t>
  </si>
  <si>
    <t>Acreditación Institucional M$</t>
  </si>
  <si>
    <t>Académicos JC con Doctorado M$</t>
  </si>
  <si>
    <t>Programas Doctorado Acreditado M$</t>
  </si>
  <si>
    <t>Académicos Jornada Completa M$</t>
  </si>
  <si>
    <t>Matrícula Regular Pregrado M$</t>
  </si>
  <si>
    <t>Total Complejidad</t>
  </si>
  <si>
    <t>UNIVERSIDAD DE PLAYA ANCHA DE CIENCIAS DE LA EDUCACIÓN</t>
  </si>
  <si>
    <t>UNIVERSIDAD METROPOLITANA DE CIENCIAS DE LA EDUCACIÓN</t>
  </si>
  <si>
    <t>Puntaje Acreditación Investigación</t>
  </si>
  <si>
    <t>Puntaje Acreditación Todas las Áreas</t>
  </si>
  <si>
    <t>Puntaje Años Acreditación</t>
  </si>
  <si>
    <t>Suma Puntajes</t>
  </si>
  <si>
    <t>Monto por IES</t>
  </si>
  <si>
    <t>Porcentaje por IES</t>
  </si>
  <si>
    <t>UNIVERSIDAD DE TARAPACA</t>
  </si>
  <si>
    <t>UNIVERSIDAD DE VALPARAISO</t>
  </si>
  <si>
    <t>UNIVERSIDAD DEL BIO-BIO</t>
  </si>
  <si>
    <t>UNIVERSIDAD DE PLAYA ANCHA DE CIENCIAS DE LA EDUCACION</t>
  </si>
  <si>
    <t>UNIVERSIDAD METROPOLITANA DE CIENCIAS DE LA EDUCACION</t>
  </si>
  <si>
    <t>UNIVERSIDAD TECNOLOGICA METROPOLITANA</t>
  </si>
  <si>
    <t>Monto Acreditaciones</t>
  </si>
  <si>
    <t>Monto Académicos JC Doctorado</t>
  </si>
  <si>
    <t>N° Doctorados Acreditados</t>
  </si>
  <si>
    <t>UNIVERSIDAD DE O'HIGGINS</t>
  </si>
  <si>
    <t>UNIVERSIDAD DE AYSÉN</t>
  </si>
  <si>
    <t>AFI 2016 Reajustado</t>
  </si>
  <si>
    <t>Elemento Mixto</t>
  </si>
  <si>
    <t>Total Elemento Desempeño</t>
  </si>
  <si>
    <t>Doctorado Conjunto Años Acreditación</t>
  </si>
  <si>
    <t>Doctorado Individual Años Acreditación</t>
  </si>
  <si>
    <t>Total individual</t>
  </si>
  <si>
    <t>Total General</t>
  </si>
  <si>
    <t>Conj &gt;=5 años</t>
  </si>
  <si>
    <t>Transferencias Corrientes</t>
  </si>
  <si>
    <t>Transferencias de Capital</t>
  </si>
  <si>
    <t>AIUE-Universidades Estatales</t>
  </si>
  <si>
    <t>CÁLCULO AIUE, CATEGORÍAS</t>
  </si>
  <si>
    <t>Indicadores y Montos AIUE</t>
  </si>
  <si>
    <t>a)</t>
  </si>
  <si>
    <t>a.1)</t>
  </si>
  <si>
    <t>a.2)</t>
  </si>
  <si>
    <t>a.3)</t>
  </si>
  <si>
    <t>a.4)</t>
  </si>
  <si>
    <t>AFI 2016 Reajustado 3,5%</t>
  </si>
  <si>
    <t>b.1)</t>
  </si>
  <si>
    <t>b.2)</t>
  </si>
  <si>
    <t>b.3)</t>
  </si>
  <si>
    <t>b.4)</t>
  </si>
  <si>
    <t>b.5)</t>
  </si>
  <si>
    <t>b.6)</t>
  </si>
  <si>
    <t>b.7)</t>
  </si>
  <si>
    <t>b.8)</t>
  </si>
  <si>
    <t>c.1)</t>
  </si>
  <si>
    <t>c.2)</t>
  </si>
  <si>
    <t>c.3)</t>
  </si>
  <si>
    <t>c.4)</t>
  </si>
  <si>
    <t>d.1)</t>
  </si>
  <si>
    <t>d.2)</t>
  </si>
  <si>
    <t>d.3)</t>
  </si>
  <si>
    <t>d.4)</t>
  </si>
  <si>
    <t>e.1)</t>
  </si>
  <si>
    <t>e.2)</t>
  </si>
  <si>
    <t>e.3)</t>
  </si>
  <si>
    <t>e.4)</t>
  </si>
  <si>
    <t>f.1)</t>
  </si>
  <si>
    <t>f.2)</t>
  </si>
  <si>
    <t>f.3)</t>
  </si>
  <si>
    <t>f.4)</t>
  </si>
  <si>
    <t>AIUE</t>
  </si>
  <si>
    <t>Complejidad Institucional AIUE 25%</t>
  </si>
  <si>
    <t>Titulo I: Línea General</t>
  </si>
  <si>
    <t>Detalle del cálculo</t>
  </si>
  <si>
    <t>Miles de Pesos</t>
  </si>
  <si>
    <t>Título I: 
Línea General</t>
  </si>
  <si>
    <t>Título II</t>
  </si>
  <si>
    <t>b)</t>
  </si>
  <si>
    <t>Total 
TÍTULO I
M$</t>
  </si>
  <si>
    <t>TOTAL MAT PhD 2015</t>
  </si>
  <si>
    <t>SIES</t>
  </si>
  <si>
    <t>ANID</t>
  </si>
  <si>
    <t>INAPI</t>
  </si>
  <si>
    <t>ANTICIPO</t>
  </si>
  <si>
    <t>SALDO</t>
  </si>
  <si>
    <t>Monto Transferencias Corrientes (M$)</t>
  </si>
  <si>
    <t>Monto Transferencias de Capital (M$)</t>
  </si>
  <si>
    <t>Total 
TÍTULO I
Sin decimales
M$</t>
  </si>
  <si>
    <t>N° Doctorados Acreditados Conjunto 5 años o más 2021</t>
  </si>
  <si>
    <t>Santiago, enero 2022</t>
  </si>
  <si>
    <t>TOTAL MAT PhD 2016</t>
  </si>
  <si>
    <t>Unidad de Análisis, DFI - SUBESUP</t>
  </si>
  <si>
    <t>Total TÍTULO I
 - ANTICIPO 
M$</t>
  </si>
  <si>
    <t>CFT DE LA REGIÓN DE ANTOFAGASTA</t>
  </si>
  <si>
    <t>CFT DE LA REGIÓN DE ARICA Y PARINACOTA</t>
  </si>
  <si>
    <t>CFT DE LA REGIÓN DE ATACAMA</t>
  </si>
  <si>
    <t>CFT DE LA REGIÓN DE AYSÉN DEL GRAL. CARLOS IBÁÑEZ DEL CAMPO</t>
  </si>
  <si>
    <t>CFT DE LA REGIÓN DE COQUIMBO</t>
  </si>
  <si>
    <t>CFT DE LA REGIÓN DE LA ARAUCANÍA</t>
  </si>
  <si>
    <t>CFT DE LA REGIÓN DE LOS LAGOS</t>
  </si>
  <si>
    <t>CFT DE LA REGIÓN DE MAGALLANES Y ANTÁRTICA CHILENA</t>
  </si>
  <si>
    <t>CFT DE LA REGIÓN DE OHIGGINS</t>
  </si>
  <si>
    <t>CFT DE LA REGIÓN DE TARAPACÁ</t>
  </si>
  <si>
    <t>CFT DE LA REGIÓN DE VALPARAÍSO</t>
  </si>
  <si>
    <t>CFT DE LA REGIÓN DEL BÍO BIO</t>
  </si>
  <si>
    <t>CFT DE LA REGIÓN DEL MAULE</t>
  </si>
  <si>
    <t>CFT DE LA REGIÓN METROPOLITANA DE SANTIAGO</t>
  </si>
  <si>
    <t>Nota: La U. AUSTRAL es la tutora del CFT DE LA REGIÓN DE LOS RÍOS.</t>
  </si>
  <si>
    <t>Código DFI</t>
  </si>
  <si>
    <t>Región Universidad
(casa central)</t>
  </si>
  <si>
    <t>Región Metropolitana de Santiago</t>
  </si>
  <si>
    <t>Región del Bío - Bío</t>
  </si>
  <si>
    <t>Región de Valparaíso</t>
  </si>
  <si>
    <t>Región de Los Ríos</t>
  </si>
  <si>
    <t>Región de Antofagasta</t>
  </si>
  <si>
    <t>Región de La Araucanía</t>
  </si>
  <si>
    <t>Región del Maule</t>
  </si>
  <si>
    <t>Región de Arica y Parinacota</t>
  </si>
  <si>
    <t>Región de Coquimbo</t>
  </si>
  <si>
    <t>Región de O'Higgins</t>
  </si>
  <si>
    <t xml:space="preserve">Región de Aysén </t>
  </si>
  <si>
    <t>Región de Tarapacá</t>
  </si>
  <si>
    <t>región de Magallanes</t>
  </si>
  <si>
    <t>Región de Atacama</t>
  </si>
  <si>
    <t>Institución Tutora</t>
  </si>
  <si>
    <t>N° Ues tutorada</t>
  </si>
  <si>
    <t>N° CFT tutorada</t>
  </si>
  <si>
    <t>AIUE - Calidad</t>
  </si>
  <si>
    <t>% Disponibilidad Saldo</t>
  </si>
  <si>
    <t>Saldo</t>
  </si>
  <si>
    <t>Resto</t>
  </si>
  <si>
    <t>Reglamento año 2023</t>
  </si>
  <si>
    <t>Distribución Recursos Aporte Institucional Universidades Estatales (AIUE) 2023</t>
  </si>
  <si>
    <t>Presupuesto 2023</t>
  </si>
  <si>
    <t>Mes Acreditación UES</t>
  </si>
  <si>
    <t>Proporción Recursos</t>
  </si>
  <si>
    <t>Total</t>
  </si>
  <si>
    <t>IES Tutorada</t>
  </si>
  <si>
    <t>Suma de Proporción Recursos</t>
  </si>
  <si>
    <t>N° Scopus 2021</t>
  </si>
  <si>
    <t>N° Doc JC 2022</t>
  </si>
  <si>
    <t>Publicaciones 2017-2021 (citables)</t>
  </si>
  <si>
    <t>Publicaciones  (citables)
2021</t>
  </si>
  <si>
    <t>Citas 2017_2021</t>
  </si>
  <si>
    <t>JC_2021</t>
  </si>
  <si>
    <t>MAT_2021</t>
  </si>
  <si>
    <t>JCE Doctor 2021</t>
  </si>
  <si>
    <t>JCE 2021</t>
  </si>
  <si>
    <t>JCE Magister 2021</t>
  </si>
  <si>
    <t>JCE Esp. Med._Odont. 2021</t>
  </si>
  <si>
    <t>Q1_Q2_Q3_MAT_1año_2021</t>
  </si>
  <si>
    <t>MAT_1año_2021(g)</t>
  </si>
  <si>
    <t>MAT_2020_Ret_1er_enMAT_2021</t>
  </si>
  <si>
    <t>MAT_2018_Ret_4to_enMAT_2021</t>
  </si>
  <si>
    <t>MAT_1año_2018(i)</t>
  </si>
  <si>
    <t>Grad_PhD_2017 al_2021</t>
  </si>
  <si>
    <t>TOTAL MAT PhD 2017</t>
  </si>
  <si>
    <t>Solicitud_ pat_nac_2021</t>
  </si>
  <si>
    <t>N° Acad. JC 2022</t>
  </si>
  <si>
    <t>N° Matrícula Regular Pregrado 2022</t>
  </si>
  <si>
    <t>Acreditación Investigación 2022</t>
  </si>
  <si>
    <t>Acreditación Todas las Áreas 2022</t>
  </si>
  <si>
    <t>Años Acreditación Institucional 2022</t>
  </si>
  <si>
    <t>N° Publicaciones 2021</t>
  </si>
  <si>
    <t>N° Doctorados Acreditados individuales 2022</t>
  </si>
  <si>
    <t>Solicitud_ pat_nac_2020</t>
  </si>
  <si>
    <t>Elemento Compensación</t>
  </si>
  <si>
    <t>c)</t>
  </si>
  <si>
    <t xml:space="preserve">   Total</t>
  </si>
  <si>
    <t>Instituciones</t>
  </si>
  <si>
    <t>AFD</t>
  </si>
  <si>
    <t xml:space="preserve">    %</t>
  </si>
  <si>
    <t>U.de Chile</t>
  </si>
  <si>
    <t>U. de Santiago</t>
  </si>
  <si>
    <t>U. de Valparaíso</t>
  </si>
  <si>
    <t>U. de Antofagasta</t>
  </si>
  <si>
    <t>U. de la Serena</t>
  </si>
  <si>
    <t>U. de Bio Bio</t>
  </si>
  <si>
    <t>U. de la Frontera</t>
  </si>
  <si>
    <t>U. de Magallanes</t>
  </si>
  <si>
    <t>U. de Talca</t>
  </si>
  <si>
    <t>U. de Atacama</t>
  </si>
  <si>
    <t>U. de Tarapacá</t>
  </si>
  <si>
    <t>U. Arturo Prat</t>
  </si>
  <si>
    <t>U. Metropolitana</t>
  </si>
  <si>
    <t>U. de Playa Ancha</t>
  </si>
  <si>
    <t>U.Tecnológica Metropolitana</t>
  </si>
  <si>
    <t>U. de Los Lagos</t>
  </si>
  <si>
    <t>U. de O'Higgins</t>
  </si>
  <si>
    <t>U. de Aysén</t>
  </si>
  <si>
    <t>AFD 2022</t>
  </si>
  <si>
    <t>Mediana</t>
  </si>
  <si>
    <t>Monto Elemento Compensación</t>
  </si>
  <si>
    <t>ANTICIPO
(40%)
AIUE 2023
M$</t>
  </si>
  <si>
    <t>SALDO
Título I
AIUE 2023
M$</t>
  </si>
  <si>
    <t xml:space="preserve">Decreto 
N°26 08/03/2023
Monto a Distribuir
M$
</t>
  </si>
  <si>
    <t>a) (N° Ac. JC 2021/Mat Total 2021)*100</t>
  </si>
  <si>
    <t>b) (N° JCE Doc 2021/JCE 2021)</t>
  </si>
  <si>
    <t>c) ((N° JCE Doc 2021+N° JCE Mg 2021+N° JCE Esp Med 2021)/JCE 2021)</t>
  </si>
  <si>
    <t>d) N° Public. Scopus 2021/JCE 2021</t>
  </si>
  <si>
    <t>e) N° Public. Scopus 2021/N° JCE Doc 2021</t>
  </si>
  <si>
    <t>g) (N° Est 1er año Q1, Q2, Q3 2021/Mat 1er nivel 2021)</t>
  </si>
  <si>
    <t>f) (N° Citas 2017-2021)/(N° Public. Scopus 2017-2021)</t>
  </si>
  <si>
    <t>j) Mat Graduados 2021 Doctorados/Mat 1er año 2017 Doctorados</t>
  </si>
  <si>
    <t>h) (Mat 1er nivel 2020 Retenida 2021/Mat 1er nivel 2020)</t>
  </si>
  <si>
    <t>i) (Mat Ret 4° Año 2021/Mat 1er año 2018)</t>
  </si>
  <si>
    <t>k) (N° Patentes solicitadas PCT 2021 +2020)*1000/(JCE 2021))</t>
  </si>
  <si>
    <t>Mediana
 - Monto</t>
  </si>
  <si>
    <t>%</t>
  </si>
  <si>
    <t>Monto Compensación
M$</t>
  </si>
  <si>
    <t>MAT_2020 primer año</t>
  </si>
  <si>
    <t>Mediana
 - Monto
(Sin (-) )</t>
  </si>
  <si>
    <t>Elemento Compensanción</t>
  </si>
  <si>
    <t>Calidad Acreditación</t>
  </si>
  <si>
    <r>
      <rPr>
        <b/>
        <sz val="10"/>
        <color rgb="FFFF0000"/>
        <rFont val="Calibri"/>
        <family val="2"/>
        <scheme val="minor"/>
      </rPr>
      <t>Decreto N°XXX-2023</t>
    </r>
    <r>
      <rPr>
        <b/>
        <sz val="10"/>
        <rFont val="Calibri"/>
        <family val="2"/>
        <scheme val="minor"/>
      </rPr>
      <t xml:space="preserve">
Monto a Distribuir
Título I
M$</t>
    </r>
  </si>
  <si>
    <t>Cod DFI</t>
  </si>
  <si>
    <t xml:space="preserve">Anticipo </t>
  </si>
  <si>
    <t xml:space="preserve">Disponibilidad Saldo </t>
  </si>
  <si>
    <t>Título II: Mejoramiento de la Calidad</t>
  </si>
  <si>
    <t>AIUE 2023</t>
  </si>
  <si>
    <t>Monto 
TÍTULO II
M$</t>
  </si>
  <si>
    <t>Calidad</t>
  </si>
  <si>
    <t>Total 
Asignación
AIUE
M$</t>
  </si>
  <si>
    <t>% por IES</t>
  </si>
  <si>
    <t>Santiago, 08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</si>
</sst>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64" formatCode="_-* #,##0.00_-;\-* #,##0.00_-;_-* &quot;-&quot;??_-;_-@_-"/>
    <numFmt numFmtId="165" formatCode="0.00000"/>
    <numFmt numFmtId="166" formatCode="_-* #,##0_-;\-* #,##0_-;_-* &quot;-&quot;??_-;_-@_-"/>
    <numFmt numFmtId="167" formatCode="0.000000"/>
    <numFmt numFmtId="168" formatCode="0.0000000"/>
    <numFmt numFmtId="169" formatCode="_-* #,##0.0000_-;\-* #,##0.0000_-;_-* &quot;-&quot;??_-;_-@_-"/>
    <numFmt numFmtId="170" formatCode="_-* #,##0.0000_-;\-* #,##0.0000_-;_-* &quot;-&quot;????_-;_-@_-"/>
    <numFmt numFmtId="171" formatCode="_-* #,##0.00\ _€_-;\-* #,##0.00\ _€_-;_-* &quot;-&quot;??\ _€_-;_-@_-"/>
    <numFmt numFmtId="172" formatCode="_-* #,##0.0_-;\-* #,##0.0_-;_-* &quot;-&quot;??_-;_-@_-"/>
    <numFmt numFmtId="173" formatCode="#,##0.0"/>
    <numFmt numFmtId="174" formatCode="#,##0.0_ ;[Red]\-#,##0.0\ "/>
    <numFmt numFmtId="175" formatCode="_ * #,##0.0_ ;_ * \-#,##0.0_ ;_ * &quot;-&quot;?_ ;_ @_ "/>
    <numFmt numFmtId="176" formatCode="0.0%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4" tint="0.59999389629810485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4" tint="0.3999755851924192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8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1" fillId="0" borderId="0" xfId="3" applyNumberFormat="1" applyFont="1"/>
    <xf numFmtId="166" fontId="6" fillId="0" borderId="0" xfId="3" applyNumberFormat="1" applyFont="1"/>
    <xf numFmtId="0" fontId="6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2" fillId="5" borderId="0" xfId="0" applyNumberFormat="1" applyFont="1" applyFill="1" applyAlignment="1">
      <alignment horizontal="center" wrapText="1"/>
    </xf>
    <xf numFmtId="166" fontId="2" fillId="5" borderId="0" xfId="3" applyNumberFormat="1" applyFont="1" applyFill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0" xfId="0" applyFont="1"/>
    <xf numFmtId="166" fontId="0" fillId="0" borderId="0" xfId="0" applyNumberFormat="1"/>
    <xf numFmtId="0" fontId="1" fillId="0" borderId="1" xfId="0" applyFont="1" applyBorder="1" applyAlignment="1">
      <alignment wrapText="1"/>
    </xf>
    <xf numFmtId="10" fontId="1" fillId="0" borderId="1" xfId="0" applyNumberFormat="1" applyFont="1" applyBorder="1"/>
    <xf numFmtId="166" fontId="1" fillId="0" borderId="1" xfId="3" applyNumberFormat="1" applyFont="1" applyBorder="1"/>
    <xf numFmtId="10" fontId="2" fillId="5" borderId="0" xfId="4" applyNumberFormat="1" applyFont="1" applyFill="1" applyAlignment="1">
      <alignment horizontal="center" wrapText="1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1" fillId="7" borderId="3" xfId="0" applyFont="1" applyFill="1" applyBorder="1"/>
    <xf numFmtId="0" fontId="1" fillId="7" borderId="0" xfId="0" applyFont="1" applyFill="1"/>
    <xf numFmtId="0" fontId="2" fillId="7" borderId="0" xfId="0" applyFont="1" applyFill="1"/>
    <xf numFmtId="0" fontId="2" fillId="9" borderId="3" xfId="0" applyFont="1" applyFill="1" applyBorder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165" fontId="2" fillId="10" borderId="0" xfId="0" applyNumberFormat="1" applyFont="1" applyFill="1" applyAlignment="1">
      <alignment horizontal="center" wrapText="1"/>
    </xf>
    <xf numFmtId="165" fontId="2" fillId="10" borderId="5" xfId="0" applyNumberFormat="1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167" fontId="2" fillId="5" borderId="0" xfId="0" applyNumberFormat="1" applyFont="1" applyFill="1" applyAlignment="1">
      <alignment horizontal="center" wrapText="1"/>
    </xf>
    <xf numFmtId="168" fontId="2" fillId="5" borderId="0" xfId="0" applyNumberFormat="1" applyFont="1" applyFill="1" applyAlignment="1">
      <alignment horizontal="center" wrapText="1"/>
    </xf>
    <xf numFmtId="1" fontId="0" fillId="0" borderId="0" xfId="0" applyNumberFormat="1"/>
    <xf numFmtId="165" fontId="0" fillId="0" borderId="0" xfId="0" applyNumberFormat="1"/>
    <xf numFmtId="0" fontId="6" fillId="0" borderId="0" xfId="0" applyFont="1" applyAlignment="1">
      <alignment horizontal="center"/>
    </xf>
    <xf numFmtId="166" fontId="1" fillId="6" borderId="1" xfId="3" applyNumberFormat="1" applyFont="1" applyFill="1" applyBorder="1"/>
    <xf numFmtId="0" fontId="1" fillId="0" borderId="1" xfId="0" applyFont="1" applyBorder="1"/>
    <xf numFmtId="166" fontId="2" fillId="14" borderId="1" xfId="3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0" xfId="0" applyFont="1" applyFill="1"/>
    <xf numFmtId="169" fontId="0" fillId="0" borderId="0" xfId="0" applyNumberFormat="1"/>
    <xf numFmtId="170" fontId="0" fillId="0" borderId="0" xfId="0" applyNumberFormat="1"/>
    <xf numFmtId="10" fontId="1" fillId="0" borderId="1" xfId="4" applyNumberFormat="1" applyFont="1" applyBorder="1"/>
    <xf numFmtId="166" fontId="1" fillId="0" borderId="1" xfId="0" applyNumberFormat="1" applyFont="1" applyBorder="1"/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10" fontId="7" fillId="0" borderId="1" xfId="4" applyNumberFormat="1" applyFont="1" applyBorder="1"/>
    <xf numFmtId="166" fontId="7" fillId="0" borderId="1" xfId="3" applyNumberFormat="1" applyFont="1" applyBorder="1"/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0" fontId="1" fillId="6" borderId="1" xfId="4" applyNumberFormat="1" applyFont="1" applyFill="1" applyBorder="1"/>
    <xf numFmtId="166" fontId="1" fillId="6" borderId="1" xfId="0" applyNumberFormat="1" applyFont="1" applyFill="1" applyBorder="1"/>
    <xf numFmtId="166" fontId="7" fillId="6" borderId="1" xfId="3" applyNumberFormat="1" applyFont="1" applyFill="1" applyBorder="1"/>
    <xf numFmtId="166" fontId="7" fillId="0" borderId="1" xfId="0" applyNumberFormat="1" applyFont="1" applyBorder="1"/>
    <xf numFmtId="0" fontId="1" fillId="0" borderId="2" xfId="0" applyFont="1" applyBorder="1"/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66" fontId="1" fillId="13" borderId="1" xfId="3" applyNumberFormat="1" applyFont="1" applyFill="1" applyBorder="1"/>
    <xf numFmtId="166" fontId="1" fillId="2" borderId="1" xfId="3" applyNumberFormat="1" applyFont="1" applyFill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166" fontId="1" fillId="6" borderId="6" xfId="3" applyNumberFormat="1" applyFont="1" applyFill="1" applyBorder="1"/>
    <xf numFmtId="166" fontId="1" fillId="13" borderId="6" xfId="3" applyNumberFormat="1" applyFont="1" applyFill="1" applyBorder="1"/>
    <xf numFmtId="166" fontId="1" fillId="2" borderId="6" xfId="3" applyNumberFormat="1" applyFont="1" applyFill="1" applyBorder="1"/>
    <xf numFmtId="166" fontId="6" fillId="6" borderId="8" xfId="3" applyNumberFormat="1" applyFont="1" applyFill="1" applyBorder="1"/>
    <xf numFmtId="166" fontId="6" fillId="13" borderId="8" xfId="3" applyNumberFormat="1" applyFont="1" applyFill="1" applyBorder="1"/>
    <xf numFmtId="166" fontId="6" fillId="15" borderId="8" xfId="3" applyNumberFormat="1" applyFont="1" applyFill="1" applyBorder="1"/>
    <xf numFmtId="166" fontId="6" fillId="2" borderId="8" xfId="3" applyNumberFormat="1" applyFont="1" applyFill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166" fontId="1" fillId="6" borderId="7" xfId="3" applyNumberFormat="1" applyFont="1" applyFill="1" applyBorder="1"/>
    <xf numFmtId="166" fontId="1" fillId="13" borderId="7" xfId="3" applyNumberFormat="1" applyFont="1" applyFill="1" applyBorder="1"/>
    <xf numFmtId="166" fontId="1" fillId="15" borderId="7" xfId="3" applyNumberFormat="1" applyFont="1" applyFill="1" applyBorder="1"/>
    <xf numFmtId="166" fontId="1" fillId="2" borderId="7" xfId="3" applyNumberFormat="1" applyFont="1" applyFill="1" applyBorder="1"/>
    <xf numFmtId="0" fontId="6" fillId="6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72" fontId="2" fillId="5" borderId="0" xfId="3" applyNumberFormat="1" applyFont="1" applyFill="1" applyAlignment="1">
      <alignment horizontal="center" wrapText="1"/>
    </xf>
    <xf numFmtId="0" fontId="6" fillId="1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72" fontId="1" fillId="0" borderId="0" xfId="3" applyNumberFormat="1" applyFont="1"/>
    <xf numFmtId="0" fontId="5" fillId="0" borderId="0" xfId="0" applyFont="1" applyAlignment="1">
      <alignment vertical="center"/>
    </xf>
    <xf numFmtId="0" fontId="6" fillId="12" borderId="1" xfId="0" applyFont="1" applyFill="1" applyBorder="1" applyAlignment="1">
      <alignment horizontal="center" vertical="center" wrapText="1"/>
    </xf>
    <xf numFmtId="9" fontId="1" fillId="0" borderId="0" xfId="4" applyFont="1"/>
    <xf numFmtId="0" fontId="7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6" fillId="3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6" fillId="2" borderId="1" xfId="0" applyFont="1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41" fontId="6" fillId="4" borderId="1" xfId="8" applyFont="1" applyFill="1" applyBorder="1"/>
    <xf numFmtId="0" fontId="1" fillId="4" borderId="1" xfId="0" applyFont="1" applyFill="1" applyBorder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2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69" fontId="2" fillId="5" borderId="0" xfId="3" applyNumberFormat="1" applyFont="1" applyFill="1" applyAlignment="1">
      <alignment horizontal="center" wrapText="1"/>
    </xf>
    <xf numFmtId="172" fontId="0" fillId="0" borderId="0" xfId="0" applyNumberFormat="1"/>
    <xf numFmtId="0" fontId="6" fillId="6" borderId="12" xfId="0" applyFont="1" applyFill="1" applyBorder="1" applyAlignment="1">
      <alignment horizontal="center" vertical="center" wrapText="1"/>
    </xf>
    <xf numFmtId="172" fontId="6" fillId="9" borderId="25" xfId="3" applyNumberFormat="1" applyFont="1" applyFill="1" applyBorder="1"/>
    <xf numFmtId="0" fontId="6" fillId="10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6" fillId="5" borderId="1" xfId="0" applyFont="1" applyFill="1" applyBorder="1" applyAlignment="1">
      <alignment horizontal="center" vertical="center" wrapText="1"/>
    </xf>
    <xf numFmtId="174" fontId="6" fillId="0" borderId="19" xfId="3" applyNumberFormat="1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6" fillId="8" borderId="1" xfId="0" applyFont="1" applyFill="1" applyBorder="1" applyAlignment="1">
      <alignment horizontal="center" vertical="center" wrapText="1"/>
    </xf>
    <xf numFmtId="0" fontId="21" fillId="0" borderId="0" xfId="0" applyFont="1"/>
    <xf numFmtId="174" fontId="10" fillId="0" borderId="19" xfId="3" applyNumberFormat="1" applyFont="1" applyFill="1" applyBorder="1"/>
    <xf numFmtId="174" fontId="11" fillId="0" borderId="1" xfId="0" applyNumberFormat="1" applyFont="1" applyBorder="1"/>
    <xf numFmtId="0" fontId="11" fillId="0" borderId="3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174" fontId="11" fillId="0" borderId="14" xfId="0" applyNumberFormat="1" applyFont="1" applyBorder="1"/>
    <xf numFmtId="166" fontId="7" fillId="0" borderId="1" xfId="3" applyNumberFormat="1" applyFont="1" applyFill="1" applyBorder="1"/>
    <xf numFmtId="166" fontId="2" fillId="0" borderId="1" xfId="3" applyNumberFormat="1" applyFont="1" applyFill="1" applyBorder="1" applyAlignment="1">
      <alignment horizontal="center"/>
    </xf>
    <xf numFmtId="175" fontId="0" fillId="0" borderId="0" xfId="0" applyNumberFormat="1"/>
    <xf numFmtId="166" fontId="2" fillId="0" borderId="1" xfId="3" applyNumberFormat="1" applyFont="1" applyFill="1" applyBorder="1" applyAlignment="1">
      <alignment horizontal="center" vertical="center"/>
    </xf>
    <xf numFmtId="166" fontId="2" fillId="0" borderId="1" xfId="3" applyNumberFormat="1" applyFont="1" applyFill="1" applyBorder="1"/>
    <xf numFmtId="0" fontId="18" fillId="3" borderId="1" xfId="0" applyFont="1" applyFill="1" applyBorder="1" applyAlignment="1">
      <alignment horizontal="center" vertical="center" wrapText="1"/>
    </xf>
    <xf numFmtId="174" fontId="11" fillId="0" borderId="12" xfId="0" applyNumberFormat="1" applyFont="1" applyBorder="1"/>
    <xf numFmtId="174" fontId="11" fillId="0" borderId="13" xfId="0" applyNumberFormat="1" applyFont="1" applyBorder="1"/>
    <xf numFmtId="0" fontId="0" fillId="0" borderId="1" xfId="0" applyBorder="1"/>
    <xf numFmtId="0" fontId="7" fillId="0" borderId="0" xfId="0" applyFont="1"/>
    <xf numFmtId="0" fontId="7" fillId="0" borderId="2" xfId="0" applyFont="1" applyBorder="1"/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6" fontId="23" fillId="0" borderId="1" xfId="3" applyNumberFormat="1" applyFont="1" applyFill="1" applyBorder="1"/>
    <xf numFmtId="164" fontId="6" fillId="9" borderId="41" xfId="3" applyFont="1" applyFill="1" applyBorder="1"/>
    <xf numFmtId="174" fontId="0" fillId="0" borderId="0" xfId="0" applyNumberFormat="1"/>
    <xf numFmtId="0" fontId="6" fillId="12" borderId="6" xfId="0" applyFont="1" applyFill="1" applyBorder="1" applyAlignment="1">
      <alignment horizontal="center" vertical="center" wrapText="1"/>
    </xf>
    <xf numFmtId="174" fontId="0" fillId="0" borderId="1" xfId="0" applyNumberFormat="1" applyBorder="1"/>
    <xf numFmtId="172" fontId="0" fillId="0" borderId="1" xfId="0" applyNumberFormat="1" applyBorder="1"/>
    <xf numFmtId="175" fontId="0" fillId="0" borderId="1" xfId="0" applyNumberFormat="1" applyBorder="1"/>
    <xf numFmtId="176" fontId="0" fillId="0" borderId="1" xfId="4" applyNumberFormat="1" applyFont="1" applyBorder="1"/>
    <xf numFmtId="173" fontId="0" fillId="0" borderId="0" xfId="0" applyNumberFormat="1"/>
    <xf numFmtId="3" fontId="0" fillId="0" borderId="0" xfId="0" applyNumberFormat="1"/>
    <xf numFmtId="3" fontId="17" fillId="0" borderId="0" xfId="0" applyNumberFormat="1" applyFont="1"/>
    <xf numFmtId="3" fontId="10" fillId="0" borderId="12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24" xfId="0" applyNumberFormat="1" applyFont="1" applyBorder="1" applyAlignment="1">
      <alignment horizontal="center" vertical="center" wrapText="1"/>
    </xf>
    <xf numFmtId="3" fontId="11" fillId="0" borderId="29" xfId="0" applyNumberFormat="1" applyFont="1" applyBorder="1"/>
    <xf numFmtId="3" fontId="11" fillId="0" borderId="15" xfId="0" applyNumberFormat="1" applyFont="1" applyBorder="1"/>
    <xf numFmtId="3" fontId="11" fillId="0" borderId="17" xfId="0" applyNumberFormat="1" applyFont="1" applyBorder="1"/>
    <xf numFmtId="3" fontId="6" fillId="0" borderId="42" xfId="3" applyNumberFormat="1" applyFont="1" applyFill="1" applyBorder="1"/>
    <xf numFmtId="3" fontId="6" fillId="0" borderId="41" xfId="3" applyNumberFormat="1" applyFont="1" applyFill="1" applyBorder="1"/>
    <xf numFmtId="3" fontId="0" fillId="0" borderId="0" xfId="8" applyNumberFormat="1" applyFont="1"/>
    <xf numFmtId="3" fontId="10" fillId="0" borderId="19" xfId="3" applyNumberFormat="1" applyFont="1" applyFill="1" applyBorder="1"/>
    <xf numFmtId="0" fontId="1" fillId="0" borderId="6" xfId="0" applyFont="1" applyBorder="1" applyAlignment="1">
      <alignment vertical="center"/>
    </xf>
    <xf numFmtId="0" fontId="5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/>
    <xf numFmtId="41" fontId="0" fillId="0" borderId="1" xfId="8" applyFont="1" applyBorder="1"/>
    <xf numFmtId="41" fontId="1" fillId="6" borderId="1" xfId="8" applyFont="1" applyFill="1" applyBorder="1" applyAlignment="1">
      <alignment horizontal="center" vertical="center" wrapText="1"/>
    </xf>
    <xf numFmtId="0" fontId="0" fillId="0" borderId="0" xfId="0" pivotButton="1"/>
    <xf numFmtId="166" fontId="1" fillId="0" borderId="1" xfId="3" applyNumberFormat="1" applyFont="1" applyFill="1" applyBorder="1"/>
    <xf numFmtId="0" fontId="4" fillId="17" borderId="1" xfId="1" applyFont="1" applyFill="1" applyBorder="1" applyAlignment="1">
      <alignment horizontal="center" vertical="top" wrapText="1"/>
    </xf>
    <xf numFmtId="0" fontId="4" fillId="18" borderId="1" xfId="0" applyFont="1" applyFill="1" applyBorder="1" applyAlignment="1">
      <alignment horizontal="center" vertical="top" wrapText="1"/>
    </xf>
    <xf numFmtId="172" fontId="2" fillId="0" borderId="1" xfId="3" applyNumberFormat="1" applyFont="1" applyFill="1" applyBorder="1" applyAlignment="1">
      <alignment horizontal="center"/>
    </xf>
    <xf numFmtId="41" fontId="0" fillId="0" borderId="0" xfId="8" applyFont="1"/>
    <xf numFmtId="10" fontId="0" fillId="0" borderId="0" xfId="4" applyNumberFormat="1" applyFont="1"/>
    <xf numFmtId="41" fontId="0" fillId="0" borderId="0" xfId="0" applyNumberFormat="1"/>
    <xf numFmtId="0" fontId="0" fillId="19" borderId="1" xfId="0" applyFill="1" applyBorder="1"/>
    <xf numFmtId="0" fontId="6" fillId="19" borderId="1" xfId="0" applyFont="1" applyFill="1" applyBorder="1" applyAlignment="1">
      <alignment horizontal="center" vertical="center" wrapText="1"/>
    </xf>
    <xf numFmtId="164" fontId="1" fillId="5" borderId="43" xfId="3" applyFont="1" applyFill="1" applyBorder="1"/>
    <xf numFmtId="172" fontId="6" fillId="5" borderId="22" xfId="3" applyNumberFormat="1" applyFont="1" applyFill="1" applyBorder="1"/>
    <xf numFmtId="172" fontId="6" fillId="19" borderId="1" xfId="3" applyNumberFormat="1" applyFont="1" applyFill="1" applyBorder="1"/>
    <xf numFmtId="164" fontId="6" fillId="19" borderId="19" xfId="3" applyFont="1" applyFill="1" applyBorder="1"/>
    <xf numFmtId="166" fontId="6" fillId="8" borderId="7" xfId="3" applyNumberFormat="1" applyFont="1" applyFill="1" applyBorder="1"/>
    <xf numFmtId="166" fontId="6" fillId="8" borderId="1" xfId="3" applyNumberFormat="1" applyFont="1" applyFill="1" applyBorder="1"/>
    <xf numFmtId="166" fontId="6" fillId="8" borderId="6" xfId="3" applyNumberFormat="1" applyFont="1" applyFill="1" applyBorder="1"/>
    <xf numFmtId="166" fontId="6" fillId="8" borderId="8" xfId="3" applyNumberFormat="1" applyFont="1" applyFill="1" applyBorder="1"/>
    <xf numFmtId="172" fontId="6" fillId="19" borderId="7" xfId="3" applyNumberFormat="1" applyFont="1" applyFill="1" applyBorder="1"/>
    <xf numFmtId="10" fontId="0" fillId="0" borderId="1" xfId="4" applyNumberFormat="1" applyFont="1" applyBorder="1"/>
    <xf numFmtId="41" fontId="0" fillId="0" borderId="1" xfId="0" applyNumberFormat="1" applyBorder="1"/>
    <xf numFmtId="0" fontId="5" fillId="4" borderId="1" xfId="0" applyFont="1" applyFill="1" applyBorder="1"/>
    <xf numFmtId="0" fontId="11" fillId="0" borderId="0" xfId="0" applyFont="1"/>
    <xf numFmtId="173" fontId="6" fillId="5" borderId="34" xfId="3" applyNumberFormat="1" applyFont="1" applyFill="1" applyBorder="1"/>
    <xf numFmtId="173" fontId="6" fillId="5" borderId="19" xfId="3" applyNumberFormat="1" applyFont="1" applyFill="1" applyBorder="1"/>
    <xf numFmtId="164" fontId="2" fillId="0" borderId="0" xfId="3" applyFont="1" applyFill="1" applyAlignment="1">
      <alignment horizontal="center" wrapText="1"/>
    </xf>
    <xf numFmtId="164" fontId="18" fillId="0" borderId="0" xfId="3" applyFont="1" applyFill="1" applyAlignment="1">
      <alignment horizontal="center" wrapText="1"/>
    </xf>
    <xf numFmtId="9" fontId="2" fillId="0" borderId="0" xfId="4" applyFont="1" applyFill="1" applyAlignment="1">
      <alignment horizontal="center" wrapText="1"/>
    </xf>
    <xf numFmtId="0" fontId="24" fillId="0" borderId="0" xfId="0" applyFont="1"/>
    <xf numFmtId="0" fontId="25" fillId="0" borderId="0" xfId="0" applyFont="1" applyAlignment="1">
      <alignment horizontal="center"/>
    </xf>
    <xf numFmtId="10" fontId="7" fillId="6" borderId="2" xfId="4" applyNumberFormat="1" applyFont="1" applyFill="1" applyBorder="1"/>
    <xf numFmtId="166" fontId="7" fillId="6" borderId="1" xfId="4" applyNumberFormat="1" applyFont="1" applyFill="1" applyBorder="1"/>
    <xf numFmtId="0" fontId="7" fillId="6" borderId="1" xfId="0" applyFont="1" applyFill="1" applyBorder="1"/>
    <xf numFmtId="10" fontId="7" fillId="6" borderId="1" xfId="4" applyNumberFormat="1" applyFont="1" applyFill="1" applyBorder="1"/>
    <xf numFmtId="9" fontId="7" fillId="6" borderId="1" xfId="4" applyFont="1" applyFill="1" applyBorder="1"/>
    <xf numFmtId="0" fontId="12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/>
    </xf>
    <xf numFmtId="0" fontId="0" fillId="0" borderId="49" xfId="0" applyBorder="1" applyAlignment="1">
      <alignment horizontal="center"/>
    </xf>
    <xf numFmtId="4" fontId="11" fillId="0" borderId="15" xfId="0" applyNumberFormat="1" applyFont="1" applyBorder="1"/>
    <xf numFmtId="4" fontId="6" fillId="0" borderId="19" xfId="3" applyNumberFormat="1" applyFont="1" applyFill="1" applyBorder="1"/>
    <xf numFmtId="173" fontId="11" fillId="0" borderId="1" xfId="0" applyNumberFormat="1" applyFont="1" applyBorder="1"/>
    <xf numFmtId="0" fontId="12" fillId="0" borderId="0" xfId="0" applyFont="1" applyAlignment="1">
      <alignment horizontal="center" vertical="center" wrapText="1"/>
    </xf>
    <xf numFmtId="166" fontId="1" fillId="10" borderId="26" xfId="3" applyNumberFormat="1" applyFont="1" applyFill="1" applyBorder="1"/>
    <xf numFmtId="172" fontId="6" fillId="12" borderId="38" xfId="3" applyNumberFormat="1" applyFont="1" applyFill="1" applyBorder="1"/>
    <xf numFmtId="10" fontId="1" fillId="12" borderId="26" xfId="4" applyNumberFormat="1" applyFont="1" applyFill="1" applyBorder="1" applyAlignment="1">
      <alignment horizontal="center" wrapText="1"/>
    </xf>
    <xf numFmtId="166" fontId="1" fillId="10" borderId="27" xfId="3" applyNumberFormat="1" applyFont="1" applyFill="1" applyBorder="1"/>
    <xf numFmtId="172" fontId="6" fillId="12" borderId="56" xfId="3" applyNumberFormat="1" applyFont="1" applyFill="1" applyBorder="1"/>
    <xf numFmtId="10" fontId="1" fillId="12" borderId="27" xfId="4" applyNumberFormat="1" applyFont="1" applyFill="1" applyBorder="1" applyAlignment="1">
      <alignment horizontal="center" wrapText="1"/>
    </xf>
    <xf numFmtId="173" fontId="11" fillId="10" borderId="27" xfId="0" applyNumberFormat="1" applyFont="1" applyFill="1" applyBorder="1"/>
    <xf numFmtId="166" fontId="1" fillId="10" borderId="28" xfId="3" applyNumberFormat="1" applyFont="1" applyFill="1" applyBorder="1"/>
    <xf numFmtId="166" fontId="6" fillId="10" borderId="19" xfId="3" applyNumberFormat="1" applyFont="1" applyFill="1" applyBorder="1"/>
    <xf numFmtId="9" fontId="6" fillId="12" borderId="19" xfId="4" applyFont="1" applyFill="1" applyBorder="1" applyAlignment="1">
      <alignment horizontal="center"/>
    </xf>
    <xf numFmtId="174" fontId="11" fillId="0" borderId="57" xfId="0" applyNumberFormat="1" applyFont="1" applyBorder="1"/>
    <xf numFmtId="174" fontId="11" fillId="0" borderId="7" xfId="0" applyNumberFormat="1" applyFont="1" applyBorder="1"/>
    <xf numFmtId="173" fontId="11" fillId="0" borderId="7" xfId="0" applyNumberFormat="1" applyFont="1" applyBorder="1"/>
    <xf numFmtId="172" fontId="6" fillId="12" borderId="58" xfId="3" applyNumberFormat="1" applyFont="1" applyFill="1" applyBorder="1"/>
    <xf numFmtId="172" fontId="6" fillId="12" borderId="19" xfId="3" applyNumberFormat="1" applyFont="1" applyFill="1" applyBorder="1"/>
    <xf numFmtId="173" fontId="11" fillId="0" borderId="15" xfId="0" applyNumberFormat="1" applyFont="1" applyBorder="1"/>
    <xf numFmtId="173" fontId="11" fillId="0" borderId="23" xfId="0" applyNumberFormat="1" applyFont="1" applyBorder="1"/>
    <xf numFmtId="0" fontId="2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15" borderId="6" xfId="0" applyFont="1" applyFill="1" applyBorder="1" applyAlignment="1">
      <alignment horizontal="center" vertical="center" wrapText="1"/>
    </xf>
    <xf numFmtId="0" fontId="6" fillId="15" borderId="16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32" xfId="0" applyFont="1" applyFill="1" applyBorder="1" applyAlignment="1">
      <alignment horizontal="center" vertical="center" wrapText="1"/>
    </xf>
    <xf numFmtId="0" fontId="6" fillId="19" borderId="33" xfId="0" applyFont="1" applyFill="1" applyBorder="1" applyAlignment="1">
      <alignment horizontal="center" vertical="center" wrapText="1"/>
    </xf>
    <xf numFmtId="3" fontId="10" fillId="0" borderId="23" xfId="0" applyNumberFormat="1" applyFont="1" applyBorder="1" applyAlignment="1">
      <alignment horizontal="center" vertical="center" wrapText="1"/>
    </xf>
    <xf numFmtId="3" fontId="10" fillId="0" borderId="24" xfId="0" applyNumberFormat="1" applyFont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3" fontId="6" fillId="5" borderId="31" xfId="0" applyNumberFormat="1" applyFont="1" applyFill="1" applyBorder="1" applyAlignment="1">
      <alignment horizontal="center" vertical="center" wrapText="1"/>
    </xf>
    <xf numFmtId="3" fontId="6" fillId="5" borderId="32" xfId="0" applyNumberFormat="1" applyFont="1" applyFill="1" applyBorder="1" applyAlignment="1">
      <alignment horizontal="center" vertical="center" wrapText="1"/>
    </xf>
    <xf numFmtId="3" fontId="6" fillId="5" borderId="33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3" fontId="10" fillId="0" borderId="35" xfId="0" applyNumberFormat="1" applyFont="1" applyBorder="1" applyAlignment="1">
      <alignment horizontal="center" vertical="center" wrapText="1"/>
    </xf>
    <xf numFmtId="3" fontId="10" fillId="0" borderId="44" xfId="0" applyNumberFormat="1" applyFont="1" applyBorder="1" applyAlignment="1">
      <alignment horizontal="center" vertical="center" wrapText="1"/>
    </xf>
    <xf numFmtId="3" fontId="10" fillId="0" borderId="25" xfId="0" applyNumberFormat="1" applyFont="1" applyBorder="1" applyAlignment="1">
      <alignment horizontal="center" vertical="center" wrapText="1"/>
    </xf>
    <xf numFmtId="3" fontId="10" fillId="0" borderId="43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0" fontId="12" fillId="10" borderId="22" xfId="0" applyFont="1" applyFill="1" applyBorder="1" applyAlignment="1">
      <alignment horizontal="center" vertical="center" wrapText="1"/>
    </xf>
    <xf numFmtId="0" fontId="12" fillId="12" borderId="50" xfId="0" applyFont="1" applyFill="1" applyBorder="1" applyAlignment="1">
      <alignment horizontal="center" vertical="center"/>
    </xf>
    <xf numFmtId="0" fontId="12" fillId="12" borderId="44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 wrapText="1"/>
    </xf>
    <xf numFmtId="0" fontId="10" fillId="10" borderId="27" xfId="0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6" fillId="12" borderId="51" xfId="0" applyFont="1" applyFill="1" applyBorder="1" applyAlignment="1">
      <alignment horizontal="center" vertical="center" wrapText="1"/>
    </xf>
    <xf numFmtId="0" fontId="6" fillId="12" borderId="53" xfId="0" applyFont="1" applyFill="1" applyBorder="1" applyAlignment="1">
      <alignment horizontal="center" vertical="center" wrapText="1"/>
    </xf>
    <xf numFmtId="0" fontId="6" fillId="12" borderId="55" xfId="0" applyFont="1" applyFill="1" applyBorder="1" applyAlignment="1">
      <alignment horizontal="center" vertical="center" wrapText="1"/>
    </xf>
    <xf numFmtId="0" fontId="6" fillId="12" borderId="52" xfId="0" applyFont="1" applyFill="1" applyBorder="1" applyAlignment="1">
      <alignment horizontal="center" vertical="center"/>
    </xf>
    <xf numFmtId="0" fontId="6" fillId="12" borderId="54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23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</cellXfs>
  <cellStyles count="9">
    <cellStyle name="Millares" xfId="3" builtinId="3"/>
    <cellStyle name="Millares [0]" xfId="8" builtinId="6"/>
    <cellStyle name="Millares 2" xfId="2" xr:uid="{00000000-0005-0000-0000-000001000000}"/>
    <cellStyle name="Millares 3" xfId="6" xr:uid="{00000000-0005-0000-0000-000031000000}"/>
    <cellStyle name="Normal" xfId="0" builtinId="0"/>
    <cellStyle name="Normal 2" xfId="1" xr:uid="{00000000-0005-0000-0000-000003000000}"/>
    <cellStyle name="Normal 3" xfId="5" xr:uid="{00000000-0005-0000-0000-000032000000}"/>
    <cellStyle name="Porcentaje" xfId="4" builtinId="5"/>
    <cellStyle name="Porcentaje 2" xfId="7" xr:uid="{00000000-0005-0000-0000-000033000000}"/>
  </cellStyles>
  <dxfs count="0"/>
  <tableStyles count="0" defaultTableStyle="TableStyleMedium2" defaultPivotStyle="PivotStyleLight16"/>
  <colors>
    <mruColors>
      <color rgb="FFFFFF99"/>
      <color rgb="FFFF0066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63500</xdr:rowOff>
    </xdr:from>
    <xdr:to>
      <xdr:col>0</xdr:col>
      <xdr:colOff>1293812</xdr:colOff>
      <xdr:row>0</xdr:row>
      <xdr:rowOff>1211988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F19A25-389A-45A5-9ADF-C447CB6E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63500"/>
          <a:ext cx="1262062" cy="1142138"/>
        </a:xfrm>
        <a:prstGeom prst="rect">
          <a:avLst/>
        </a:prstGeom>
      </xdr:spPr>
    </xdr:pic>
    <xdr:clientData/>
  </xdr:twoCellAnchor>
  <xdr:twoCellAnchor editAs="oneCell">
    <xdr:from>
      <xdr:col>33</xdr:col>
      <xdr:colOff>464343</xdr:colOff>
      <xdr:row>0</xdr:row>
      <xdr:rowOff>138907</xdr:rowOff>
    </xdr:from>
    <xdr:to>
      <xdr:col>34</xdr:col>
      <xdr:colOff>912381</xdr:colOff>
      <xdr:row>0</xdr:row>
      <xdr:rowOff>564817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B2E1A8-63E7-4E0A-AD00-B0667E31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0562" y="138907"/>
          <a:ext cx="1424350" cy="4259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do Torres Huerta" refreshedDate="45119.408914236112" createdVersion="8" refreshedVersion="8" minRefreshableVersion="3" recordCount="22" xr:uid="{FB9AF726-94F8-4603-B0C8-B3BFDE4FD427}">
  <cacheSource type="worksheet">
    <worksheetSource ref="A2:G24" sheet="Tutoras"/>
  </cacheSource>
  <cacheFields count="7">
    <cacheField name="Institución Tutora" numFmtId="0">
      <sharedItems containsBlank="1"/>
    </cacheField>
    <cacheField name="Cod" numFmtId="0">
      <sharedItems containsBlank="1" count="19">
        <s v="UCH"/>
        <s v="USA"/>
        <s v="ANT"/>
        <s v="FRO"/>
        <s v="TAL"/>
        <s v="UTA"/>
        <s v="UVA"/>
        <s v="UBB"/>
        <s v="ULS"/>
        <s v="UPA"/>
        <s v="UAP"/>
        <s v="ATA"/>
        <s v="ULA"/>
        <s v="MAG"/>
        <s v="UMC"/>
        <s v="UTM"/>
        <s v="URO"/>
        <s v="URY"/>
        <m/>
      </sharedItems>
    </cacheField>
    <cacheField name="IES Tutorada" numFmtId="0">
      <sharedItems containsBlank="1" containsMixedTypes="1" containsNumber="1" containsInteger="1" minValue="16" maxValue="16"/>
    </cacheField>
    <cacheField name="N° Ues tutorada" numFmtId="0">
      <sharedItems containsSemiMixedTypes="0" containsString="0" containsNumber="1" containsInteger="1" minValue="0" maxValue="15"/>
    </cacheField>
    <cacheField name="N° CFT tutorada" numFmtId="0">
      <sharedItems containsSemiMixedTypes="0" containsString="0" containsNumber="1" containsInteger="1" minValue="0" maxValue="20"/>
    </cacheField>
    <cacheField name="Mes Acreditación UES" numFmtId="0">
      <sharedItems containsNonDate="0" containsDate="1" containsString="0" containsBlank="1" minDate="2023-04-01T00:00:00" maxDate="2023-04-02T00:00:00"/>
    </cacheField>
    <cacheField name="Proporción Recursos" numFmtId="41">
      <sharedItems containsSemiMixedTypes="0" containsString="0" containsNumber="1" containsInteger="1" minValue="0" maxValue="8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UNIVERSIDAD DE CHILE"/>
    <x v="0"/>
    <s v="U. DE O'HIGGINS"/>
    <n v="1"/>
    <n v="1"/>
    <d v="2023-04-01T00:00:00"/>
    <n v="50000"/>
  </r>
  <r>
    <m/>
    <x v="0"/>
    <s v="U. DE AYSÉN"/>
    <n v="1"/>
    <n v="1"/>
    <d v="2023-04-01T00:00:00"/>
    <n v="50000"/>
  </r>
  <r>
    <s v="UNIVERSIDAD DE SANTIAGO DE CHILE"/>
    <x v="1"/>
    <s v="CFT DE LA REGIÓN METROPOLITANA DE SANTIAGO"/>
    <n v="1"/>
    <n v="1"/>
    <m/>
    <n v="50000"/>
  </r>
  <r>
    <m/>
    <x v="1"/>
    <s v="CFT DE LA REGIÓN DE OHIGGINS"/>
    <n v="0"/>
    <n v="1"/>
    <m/>
    <n v="50000"/>
  </r>
  <r>
    <s v="UNIVERSIDAD DE ANTOFAGASTA"/>
    <x v="2"/>
    <s v="CFT DE LA REGIÓN DE ANTOFAGASTA"/>
    <n v="1"/>
    <n v="1"/>
    <m/>
    <n v="50000"/>
  </r>
  <r>
    <s v="UNIVERSIDAD DE LA FRONTERA"/>
    <x v="3"/>
    <s v="CFT DE LA REGIÓN DE LA ARAUCANÍA"/>
    <n v="1"/>
    <n v="1"/>
    <m/>
    <n v="50000"/>
  </r>
  <r>
    <s v="UNIVERSIDAD DE TALCA"/>
    <x v="4"/>
    <s v="CFT DE LA REGIÓN DEL MAULE"/>
    <n v="1"/>
    <n v="1"/>
    <m/>
    <n v="50000"/>
  </r>
  <r>
    <s v="UNIVERSIDAD DE TARAPACÁ"/>
    <x v="5"/>
    <s v="CFT DE LA REGIÓN DE ARICA Y PARINACOTA"/>
    <n v="1"/>
    <n v="1"/>
    <m/>
    <n v="50000"/>
  </r>
  <r>
    <s v="UNIVERSIDAD DE VALPARAÍSO"/>
    <x v="6"/>
    <m/>
    <n v="1"/>
    <n v="0"/>
    <m/>
    <n v="0"/>
  </r>
  <r>
    <s v="UNIVERSIDAD DEL BÍO-BÍO"/>
    <x v="7"/>
    <s v="CFT DE LA REGIÓN DEL BÍO BIO"/>
    <n v="1"/>
    <n v="1"/>
    <m/>
    <n v="50000"/>
  </r>
  <r>
    <s v="UNIVERSIDAD DE LA SERENA"/>
    <x v="8"/>
    <s v="CFT DE LA REGIÓN DE COQUIMBO"/>
    <n v="1"/>
    <n v="1"/>
    <m/>
    <n v="50000"/>
  </r>
  <r>
    <s v="UNIVERSIDAD DE PLAYA ANCHA CS. EDUCACIÓN"/>
    <x v="9"/>
    <s v="CFT DE LA REGIÓN DE VALPARAÍSO"/>
    <n v="1"/>
    <n v="1"/>
    <m/>
    <n v="50000"/>
  </r>
  <r>
    <s v="UNIVERSIDAD ARTURO PRAT"/>
    <x v="10"/>
    <s v="CFT DE LA REGIÓN DE TARAPACÁ"/>
    <n v="1"/>
    <n v="1"/>
    <m/>
    <n v="50000"/>
  </r>
  <r>
    <s v="UNIVERSIDAD DE ATACAMA"/>
    <x v="11"/>
    <s v="CFT DE LA REGIÓN DE ATACAMA"/>
    <n v="1"/>
    <n v="1"/>
    <m/>
    <n v="50000"/>
  </r>
  <r>
    <s v="UNIVERSIDAD DE LOS LAGOS"/>
    <x v="12"/>
    <s v="CFT DE LA REGIÓN DE LOS LAGOS"/>
    <n v="1"/>
    <n v="1"/>
    <m/>
    <n v="50000"/>
  </r>
  <r>
    <m/>
    <x v="12"/>
    <s v="CFT DE LA REGIÓN DE AYSÉN DEL GRAL. CARLOS IBÁÑEZ DEL CAMPO"/>
    <n v="0"/>
    <n v="1"/>
    <m/>
    <n v="50000"/>
  </r>
  <r>
    <s v="UNIVERSIDAD DE MAGALLANES"/>
    <x v="13"/>
    <s v="CFT DE LA REGIÓN DE MAGALLANES Y ANTÁRTICA CHILENA"/>
    <n v="1"/>
    <n v="1"/>
    <m/>
    <n v="50000"/>
  </r>
  <r>
    <s v="UNIVERSIDAD METROPOLITANA DE CS.DE LA EDUCACIÓN"/>
    <x v="14"/>
    <m/>
    <n v="0"/>
    <n v="1"/>
    <m/>
    <n v="0"/>
  </r>
  <r>
    <s v="UNIVERSIDAD TECNOLÓGICA METROPOLITANA"/>
    <x v="15"/>
    <m/>
    <n v="0"/>
    <n v="1"/>
    <m/>
    <n v="0"/>
  </r>
  <r>
    <s v="U. DE O'HIGGINS"/>
    <x v="16"/>
    <m/>
    <n v="0"/>
    <n v="1"/>
    <m/>
    <n v="0"/>
  </r>
  <r>
    <s v="U. DE AYSÉN"/>
    <x v="17"/>
    <m/>
    <n v="0"/>
    <n v="1"/>
    <m/>
    <n v="0"/>
  </r>
  <r>
    <m/>
    <x v="18"/>
    <n v="16"/>
    <n v="15"/>
    <n v="20"/>
    <m/>
    <n v="8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5F61B1-068E-4E02-8296-B79E26FCCE06}" name="TablaDinámica1" cacheId="5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C30:D50" firstHeaderRow="2" firstDataRow="2" firstDataCol="1"/>
  <pivotFields count="7">
    <pivotField compact="0" outline="0" showAll="0"/>
    <pivotField axis="axisRow" compact="0" outline="0" showAll="0">
      <items count="20">
        <item x="0"/>
        <item x="2"/>
        <item x="11"/>
        <item x="3"/>
        <item x="13"/>
        <item x="4"/>
        <item x="10"/>
        <item x="7"/>
        <item x="12"/>
        <item x="8"/>
        <item x="14"/>
        <item x="9"/>
        <item x="16"/>
        <item x="17"/>
        <item x="1"/>
        <item x="5"/>
        <item x="15"/>
        <item x="6"/>
        <item h="1" x="1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numFmtId="41" outline="0" showAll="0"/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a de Proporción Recurso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N55"/>
  <sheetViews>
    <sheetView tabSelected="1" zoomScale="80" zoomScaleNormal="80" workbookViewId="0">
      <selection activeCell="AD45" sqref="AD45"/>
    </sheetView>
  </sheetViews>
  <sheetFormatPr baseColWidth="10" defaultRowHeight="15" x14ac:dyDescent="0.25"/>
  <cols>
    <col min="1" max="1" width="46" customWidth="1"/>
    <col min="2" max="2" width="14.7109375" customWidth="1"/>
    <col min="3" max="3" width="13.42578125" customWidth="1"/>
    <col min="4" max="4" width="14" customWidth="1"/>
    <col min="5" max="5" width="13.85546875" customWidth="1"/>
    <col min="6" max="6" width="13.5703125" customWidth="1"/>
    <col min="7" max="7" width="14.140625" customWidth="1"/>
    <col min="8" max="9" width="13.5703125" customWidth="1"/>
    <col min="10" max="10" width="16.85546875" customWidth="1"/>
    <col min="11" max="11" width="13.42578125" customWidth="1"/>
    <col min="12" max="12" width="12.140625" customWidth="1"/>
    <col min="13" max="13" width="10.85546875" customWidth="1"/>
    <col min="14" max="14" width="12.7109375" customWidth="1"/>
    <col min="15" max="15" width="13.5703125" customWidth="1"/>
    <col min="16" max="16" width="14.5703125" customWidth="1"/>
    <col min="17" max="19" width="14.28515625" customWidth="1"/>
    <col min="20" max="20" width="19.85546875" style="153" customWidth="1"/>
    <col min="21" max="21" width="13.140625" style="153" customWidth="1"/>
    <col min="22" max="23" width="13.7109375" style="153" customWidth="1"/>
    <col min="24" max="24" width="10.140625" style="110" customWidth="1"/>
    <col min="25" max="26" width="13.7109375" style="124" customWidth="1"/>
    <col min="27" max="28" width="13.7109375" style="154" customWidth="1"/>
    <col min="29" max="29" width="1.5703125" customWidth="1"/>
    <col min="30" max="30" width="11.85546875" customWidth="1"/>
    <col min="31" max="32" width="11.7109375" customWidth="1"/>
    <col min="33" max="33" width="1.5703125" customWidth="1"/>
    <col min="34" max="35" width="14.5703125" customWidth="1"/>
    <col min="36" max="36" width="1.5703125" customWidth="1"/>
    <col min="37" max="37" width="9.5703125" customWidth="1"/>
    <col min="38" max="38" width="31.42578125" bestFit="1" customWidth="1"/>
  </cols>
  <sheetData>
    <row r="1" spans="1:40" ht="98.25" customHeight="1" x14ac:dyDescent="0.25"/>
    <row r="2" spans="1:40" ht="18.75" x14ac:dyDescent="0.3">
      <c r="A2" s="108" t="s">
        <v>233</v>
      </c>
    </row>
    <row r="3" spans="1:40" ht="18.75" x14ac:dyDescent="0.3">
      <c r="A3" s="108" t="s">
        <v>175</v>
      </c>
    </row>
    <row r="4" spans="1:40" ht="17.25" x14ac:dyDescent="0.3">
      <c r="A4" s="111" t="s">
        <v>232</v>
      </c>
    </row>
    <row r="5" spans="1:40" ht="17.25" x14ac:dyDescent="0.3">
      <c r="A5" s="107" t="s">
        <v>174</v>
      </c>
    </row>
    <row r="6" spans="1:40" x14ac:dyDescent="0.25">
      <c r="A6" s="193" t="s">
        <v>192</v>
      </c>
    </row>
    <row r="7" spans="1:40" x14ac:dyDescent="0.25">
      <c r="A7" s="193" t="s">
        <v>325</v>
      </c>
    </row>
    <row r="8" spans="1:40" x14ac:dyDescent="0.25">
      <c r="A8" s="17"/>
    </row>
    <row r="9" spans="1:40" s="106" customFormat="1" ht="15.75" thickBot="1" x14ac:dyDescent="0.3">
      <c r="B9" s="106">
        <v>1</v>
      </c>
      <c r="C9" s="106">
        <v>2</v>
      </c>
      <c r="D9" s="106">
        <v>3</v>
      </c>
      <c r="E9" s="106">
        <v>4</v>
      </c>
      <c r="F9" s="106">
        <v>5</v>
      </c>
      <c r="G9" s="106">
        <v>6</v>
      </c>
      <c r="H9" s="106">
        <v>7</v>
      </c>
      <c r="I9" s="106">
        <v>8</v>
      </c>
      <c r="J9" s="106">
        <v>9</v>
      </c>
      <c r="K9" s="106">
        <v>10</v>
      </c>
      <c r="L9" s="106">
        <v>11</v>
      </c>
      <c r="M9" s="106">
        <v>12</v>
      </c>
      <c r="N9" s="106">
        <v>13</v>
      </c>
      <c r="O9" s="106">
        <v>14</v>
      </c>
      <c r="P9" s="106">
        <v>15</v>
      </c>
      <c r="Q9" s="106">
        <v>16</v>
      </c>
      <c r="R9" s="106">
        <v>17</v>
      </c>
      <c r="S9" s="106">
        <v>18</v>
      </c>
      <c r="T9" s="106">
        <v>19</v>
      </c>
      <c r="U9" s="106">
        <v>20</v>
      </c>
      <c r="V9" s="106">
        <v>21</v>
      </c>
      <c r="W9" s="106">
        <v>22</v>
      </c>
      <c r="X9" s="106">
        <v>23</v>
      </c>
      <c r="Y9" s="106">
        <v>24</v>
      </c>
      <c r="Z9" s="106">
        <v>25</v>
      </c>
      <c r="AA9" s="106">
        <v>26</v>
      </c>
      <c r="AB9" s="106">
        <v>27</v>
      </c>
      <c r="AC9" s="106">
        <v>28</v>
      </c>
      <c r="AD9" s="106">
        <v>29</v>
      </c>
      <c r="AE9" s="106">
        <v>30</v>
      </c>
      <c r="AF9" s="106">
        <v>31</v>
      </c>
      <c r="AG9" s="106">
        <v>32</v>
      </c>
      <c r="AH9" s="106">
        <v>33</v>
      </c>
      <c r="AI9" s="106">
        <v>34</v>
      </c>
    </row>
    <row r="10" spans="1:40" s="109" customFormat="1" ht="45.75" customHeight="1" thickBot="1" x14ac:dyDescent="0.3">
      <c r="E10" s="268" t="s">
        <v>176</v>
      </c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70"/>
      <c r="R10" s="270"/>
      <c r="S10" s="269"/>
      <c r="T10" s="269"/>
      <c r="U10" s="269"/>
      <c r="V10" s="269"/>
      <c r="W10" s="269"/>
      <c r="X10" s="269"/>
      <c r="Y10" s="270"/>
      <c r="Z10" s="270"/>
      <c r="AA10" s="270"/>
      <c r="AB10" s="271"/>
      <c r="AC10" s="206"/>
      <c r="AD10" s="297" t="s">
        <v>319</v>
      </c>
      <c r="AE10" s="298"/>
      <c r="AF10" s="299"/>
      <c r="AG10" s="212"/>
      <c r="AH10" s="300" t="s">
        <v>320</v>
      </c>
      <c r="AI10" s="301"/>
      <c r="AJ10" s="206"/>
      <c r="AK10" s="207"/>
    </row>
    <row r="11" spans="1:40" ht="30" customHeight="1" x14ac:dyDescent="0.25">
      <c r="A11" s="272" t="s">
        <v>11</v>
      </c>
      <c r="B11" s="275" t="s">
        <v>316</v>
      </c>
      <c r="C11" s="275" t="s">
        <v>21</v>
      </c>
      <c r="D11" s="278" t="s">
        <v>39</v>
      </c>
      <c r="E11" s="233" t="s">
        <v>129</v>
      </c>
      <c r="F11" s="234"/>
      <c r="G11" s="234"/>
      <c r="H11" s="234"/>
      <c r="I11" s="234"/>
      <c r="J11" s="234"/>
      <c r="K11" s="234"/>
      <c r="L11" s="234"/>
      <c r="M11" s="234"/>
      <c r="N11" s="234"/>
      <c r="O11" s="235"/>
      <c r="P11" s="246" t="s">
        <v>76</v>
      </c>
      <c r="Q11" s="243" t="s">
        <v>130</v>
      </c>
      <c r="R11" s="257" t="s">
        <v>267</v>
      </c>
      <c r="S11" s="262" t="s">
        <v>179</v>
      </c>
      <c r="T11" s="283" t="s">
        <v>188</v>
      </c>
      <c r="U11" s="286" t="s">
        <v>294</v>
      </c>
      <c r="V11" s="288" t="s">
        <v>295</v>
      </c>
      <c r="W11" s="289"/>
      <c r="X11" s="292" t="s">
        <v>316</v>
      </c>
      <c r="Y11" s="295" t="s">
        <v>184</v>
      </c>
      <c r="Z11" s="296"/>
      <c r="AA11" s="249" t="s">
        <v>185</v>
      </c>
      <c r="AB11" s="250"/>
      <c r="AC11" s="206"/>
      <c r="AD11" s="302" t="s">
        <v>321</v>
      </c>
      <c r="AE11" s="305" t="s">
        <v>322</v>
      </c>
      <c r="AF11" s="306"/>
      <c r="AG11" s="212"/>
      <c r="AH11" s="307" t="s">
        <v>323</v>
      </c>
      <c r="AI11" s="310" t="s">
        <v>324</v>
      </c>
      <c r="AJ11" s="206"/>
      <c r="AK11" s="230" t="s">
        <v>209</v>
      </c>
      <c r="AL11" s="230" t="s">
        <v>210</v>
      </c>
    </row>
    <row r="12" spans="1:40" ht="30" customHeight="1" x14ac:dyDescent="0.25">
      <c r="A12" s="273"/>
      <c r="B12" s="276"/>
      <c r="C12" s="276"/>
      <c r="D12" s="279"/>
      <c r="E12" s="281" t="s">
        <v>75</v>
      </c>
      <c r="F12" s="282"/>
      <c r="G12" s="241" t="s">
        <v>93</v>
      </c>
      <c r="H12" s="239" t="s">
        <v>94</v>
      </c>
      <c r="I12" s="236" t="s">
        <v>98</v>
      </c>
      <c r="J12" s="237"/>
      <c r="K12" s="237"/>
      <c r="L12" s="237"/>
      <c r="M12" s="237"/>
      <c r="N12" s="237"/>
      <c r="O12" s="238"/>
      <c r="P12" s="247"/>
      <c r="Q12" s="244"/>
      <c r="R12" s="258"/>
      <c r="S12" s="263"/>
      <c r="T12" s="284"/>
      <c r="U12" s="287"/>
      <c r="V12" s="290"/>
      <c r="W12" s="291"/>
      <c r="X12" s="293"/>
      <c r="Y12" s="251" t="s">
        <v>186</v>
      </c>
      <c r="Z12" s="253" t="s">
        <v>187</v>
      </c>
      <c r="AA12" s="255" t="s">
        <v>186</v>
      </c>
      <c r="AB12" s="260" t="s">
        <v>187</v>
      </c>
      <c r="AC12" s="206"/>
      <c r="AD12" s="303"/>
      <c r="AE12" s="313" t="s">
        <v>186</v>
      </c>
      <c r="AF12" s="315" t="s">
        <v>187</v>
      </c>
      <c r="AG12" s="212"/>
      <c r="AH12" s="308"/>
      <c r="AI12" s="311"/>
      <c r="AJ12" s="206"/>
      <c r="AK12" s="230"/>
      <c r="AL12" s="230"/>
    </row>
    <row r="13" spans="1:40" ht="90" thickBot="1" x14ac:dyDescent="0.3">
      <c r="A13" s="274"/>
      <c r="B13" s="277"/>
      <c r="C13" s="277"/>
      <c r="D13" s="280"/>
      <c r="E13" s="114" t="s">
        <v>75</v>
      </c>
      <c r="F13" s="83" t="s">
        <v>146</v>
      </c>
      <c r="G13" s="242"/>
      <c r="H13" s="240"/>
      <c r="I13" s="84" t="s">
        <v>102</v>
      </c>
      <c r="J13" s="84" t="s">
        <v>103</v>
      </c>
      <c r="K13" s="84" t="s">
        <v>104</v>
      </c>
      <c r="L13" s="84" t="s">
        <v>105</v>
      </c>
      <c r="M13" s="84" t="s">
        <v>106</v>
      </c>
      <c r="N13" s="84" t="s">
        <v>107</v>
      </c>
      <c r="O13" s="84" t="s">
        <v>108</v>
      </c>
      <c r="P13" s="248"/>
      <c r="Q13" s="245"/>
      <c r="R13" s="259"/>
      <c r="S13" s="264"/>
      <c r="T13" s="285"/>
      <c r="U13" s="155" t="s">
        <v>296</v>
      </c>
      <c r="V13" s="156" t="s">
        <v>193</v>
      </c>
      <c r="W13" s="157" t="s">
        <v>315</v>
      </c>
      <c r="X13" s="294"/>
      <c r="Y13" s="252"/>
      <c r="Z13" s="254"/>
      <c r="AA13" s="256"/>
      <c r="AB13" s="261"/>
      <c r="AC13" s="206"/>
      <c r="AD13" s="304"/>
      <c r="AE13" s="314"/>
      <c r="AF13" s="316"/>
      <c r="AG13" s="212"/>
      <c r="AH13" s="309"/>
      <c r="AI13" s="312"/>
      <c r="AJ13" s="206"/>
      <c r="AK13" s="230"/>
      <c r="AL13" s="230"/>
    </row>
    <row r="14" spans="1:40" x14ac:dyDescent="0.25">
      <c r="A14" s="76" t="str">
        <f>Indicadores!A5</f>
        <v>UNIVERSIDAD DE CHILE</v>
      </c>
      <c r="B14" s="77" t="s">
        <v>2</v>
      </c>
      <c r="C14" s="78" t="str">
        <f>Indicadores!C5</f>
        <v>CRUCH-ESTATAL</v>
      </c>
      <c r="D14" s="78" t="str">
        <f>Indicadores!D5</f>
        <v>Categoría I</v>
      </c>
      <c r="E14" s="79">
        <v>2533255</v>
      </c>
      <c r="F14" s="79">
        <f>E14*(1+$B$41)</f>
        <v>2621918.9249999998</v>
      </c>
      <c r="G14" s="80">
        <f>VLOOKUP(B14,Tutoras!$C$32:$D$49,2,0)</f>
        <v>100000</v>
      </c>
      <c r="H14" s="81">
        <f>IFERROR(VLOOKUP(B14,Tutoras!$C$33:$D$49,2,0),0)</f>
        <v>0</v>
      </c>
      <c r="I14" s="82">
        <f>IFERROR(VLOOKUP(B14,Publicaciones!B2:E20,4,0),0)</f>
        <v>957866.78183137497</v>
      </c>
      <c r="J14" s="82">
        <f>IFERROR(VLOOKUP(B14,Acreditación!$B$3:$K$20,10,0),0)</f>
        <v>317495.56133177562</v>
      </c>
      <c r="K14" s="82">
        <f>IFERROR(VLOOKUP(B14,'Doctorado JC '!$B$2:$E$20,4,0),0)</f>
        <v>938429.0846807888</v>
      </c>
      <c r="L14" s="82">
        <f>IFERROR(VLOOKUP(B14,'Programas Doct. Acreditados '!$B$3:$G$20,6,0),0)</f>
        <v>1216996.9659785933</v>
      </c>
      <c r="M14" s="82">
        <f>IFERROR(VLOOKUP(B14,'Académicos JC '!$B$3:$E$20,4,0),0)</f>
        <v>717972.28813479771</v>
      </c>
      <c r="N14" s="82">
        <f>IFERROR(VLOOKUP(B14,'Matrícula Regular Pre '!B3:E20,4,0),0)</f>
        <v>575208.35641435708</v>
      </c>
      <c r="O14" s="82">
        <f>I14+J14+K14+L14+M14+N14</f>
        <v>4723969.0383716878</v>
      </c>
      <c r="P14" s="185">
        <f t="shared" ref="P14:P31" si="0">SUM(F14:N14)</f>
        <v>7445887.9633716876</v>
      </c>
      <c r="Q14" s="115">
        <f>IFERROR(VLOOKUP(B14,Indicadores!$B$5:$AH$22,33,0),0)</f>
        <v>3538558</v>
      </c>
      <c r="R14" s="189">
        <f>VLOOKUP(B14,Compensación!$B$6:$L$23,11,0)</f>
        <v>0</v>
      </c>
      <c r="S14" s="181">
        <f>SUM(P14:R14)</f>
        <v>10984445.963371687</v>
      </c>
      <c r="T14" s="194">
        <f>ROUND(SUM(P14:R14),0)</f>
        <v>10984446</v>
      </c>
      <c r="U14" s="158">
        <v>4979885</v>
      </c>
      <c r="V14" s="159">
        <f>T14-U14</f>
        <v>6004561</v>
      </c>
      <c r="W14" s="209">
        <f>IF(V14&gt;0,V14,0)</f>
        <v>6004561</v>
      </c>
      <c r="X14" s="127" t="s">
        <v>2</v>
      </c>
      <c r="Y14" s="223">
        <v>3134162</v>
      </c>
      <c r="Z14" s="224">
        <v>1845723</v>
      </c>
      <c r="AA14" s="225">
        <f>+ROUND(W14*$B$49,0)</f>
        <v>3707685</v>
      </c>
      <c r="AB14" s="228">
        <f>+W14-AA14</f>
        <v>2296876</v>
      </c>
      <c r="AC14" s="206"/>
      <c r="AD14" s="213"/>
      <c r="AE14" s="213"/>
      <c r="AF14" s="213"/>
      <c r="AG14" s="212"/>
      <c r="AH14" s="214">
        <f>T14+AD14</f>
        <v>10984446</v>
      </c>
      <c r="AI14" s="215">
        <f>AH14/$AH$32</f>
        <v>0.14146037040584278</v>
      </c>
      <c r="AJ14" s="206"/>
      <c r="AK14" s="143" t="str">
        <f t="shared" ref="AK14:AK31" si="1">+B14</f>
        <v>UCH</v>
      </c>
      <c r="AL14" s="144" t="s">
        <v>211</v>
      </c>
      <c r="AN14" s="152"/>
    </row>
    <row r="15" spans="1:40" x14ac:dyDescent="0.25">
      <c r="A15" s="41" t="str">
        <f>Indicadores!A6</f>
        <v>UNIVERSIDAD DE SANTIAGO DE CHILE</v>
      </c>
      <c r="B15" s="62" t="s">
        <v>3</v>
      </c>
      <c r="C15" s="63" t="str">
        <f>Indicadores!C6</f>
        <v>CRUCH-ESTATAL</v>
      </c>
      <c r="D15" s="63" t="str">
        <f>Indicadores!D6</f>
        <v>Categoría I</v>
      </c>
      <c r="E15" s="40">
        <v>654779</v>
      </c>
      <c r="F15" s="40">
        <f t="shared" ref="F15:F31" si="2">E15*(1+$B$41)</f>
        <v>677696.2649999999</v>
      </c>
      <c r="G15" s="64"/>
      <c r="H15" s="81">
        <f>IFERROR(VLOOKUP(B15,Tutoras!$C$33:$D$49,2,0),0)</f>
        <v>100000</v>
      </c>
      <c r="I15" s="65">
        <f>IFERROR(VLOOKUP(B15,Publicaciones!B3:E21,4,0),0)</f>
        <v>397810.01711777877</v>
      </c>
      <c r="J15" s="65">
        <f>IFERROR(VLOOKUP(B15,Acreditación!$B$3:$K$20,10,0),0)</f>
        <v>317495.56133177562</v>
      </c>
      <c r="K15" s="65">
        <f>IFERROR(VLOOKUP(B15,'Doctorado JC '!$B$2:$E$20,4,0),0)</f>
        <v>334979.43990766275</v>
      </c>
      <c r="L15" s="82">
        <f>IFERROR(VLOOKUP(B15,'Programas Doct. Acreditados '!$B$3:$G$20,6,0),0)</f>
        <v>385877.08677370037</v>
      </c>
      <c r="M15" s="65">
        <f>IFERROR(VLOOKUP(B15,'Académicos JC '!$B$3:$E$20,4,0),0)</f>
        <v>285184.42409415188</v>
      </c>
      <c r="N15" s="65">
        <f>IFERROR(VLOOKUP(B15,'Matrícula Regular Pre '!B4:E21,4,0),0)</f>
        <v>389060.67285813013</v>
      </c>
      <c r="O15" s="65">
        <f t="shared" ref="O15:O31" si="3">I15+J15+K15+L15+M15+N15</f>
        <v>2110407.2020831993</v>
      </c>
      <c r="P15" s="186">
        <f t="shared" si="0"/>
        <v>2888103.4670831994</v>
      </c>
      <c r="Q15" s="115">
        <f>IFERROR(VLOOKUP(B15,Indicadores!$B$5:$AH$22,33,0),0)</f>
        <v>3522260</v>
      </c>
      <c r="R15" s="183">
        <f>VLOOKUP(B15,Compensación!$B$6:$L$23,11,0)</f>
        <v>0</v>
      </c>
      <c r="S15" s="181">
        <f t="shared" ref="S15:S31" si="4">SUM(P15:R15)</f>
        <v>6410363.4670831989</v>
      </c>
      <c r="T15" s="194">
        <f t="shared" ref="T15:T31" si="5">ROUND(SUM(P15:R15),0)</f>
        <v>6410363</v>
      </c>
      <c r="U15" s="158">
        <v>2707633</v>
      </c>
      <c r="V15" s="159">
        <f t="shared" ref="V15:V31" si="6">T15-U15</f>
        <v>3702730</v>
      </c>
      <c r="W15" s="209">
        <f t="shared" ref="W15:W31" si="7">IF(V15&gt;0,V15,0)</f>
        <v>3702730</v>
      </c>
      <c r="X15" s="128" t="s">
        <v>3</v>
      </c>
      <c r="Y15" s="130">
        <v>1704088</v>
      </c>
      <c r="Z15" s="126">
        <v>1003545</v>
      </c>
      <c r="AA15" s="211">
        <f t="shared" ref="AA15:AA31" si="8">+ROUND(W15*$B$49,0)</f>
        <v>2286355</v>
      </c>
      <c r="AB15" s="229">
        <f t="shared" ref="AB15:AB31" si="9">+W15-AA15</f>
        <v>1416375</v>
      </c>
      <c r="AC15" s="206"/>
      <c r="AD15" s="216"/>
      <c r="AE15" s="216"/>
      <c r="AF15" s="216"/>
      <c r="AG15" s="212"/>
      <c r="AH15" s="217">
        <f>T15+AD15</f>
        <v>6410363</v>
      </c>
      <c r="AI15" s="218">
        <f>AH15/$AH$32</f>
        <v>8.2554215698808067E-2</v>
      </c>
      <c r="AJ15" s="206"/>
      <c r="AK15" s="143" t="str">
        <f t="shared" si="1"/>
        <v>USA</v>
      </c>
      <c r="AL15" s="144" t="s">
        <v>211</v>
      </c>
      <c r="AN15" s="152"/>
    </row>
    <row r="16" spans="1:40" x14ac:dyDescent="0.25">
      <c r="A16" s="41" t="str">
        <f>Indicadores!A7</f>
        <v>UNIVERSIDAD DE ANTOFAGASTA</v>
      </c>
      <c r="B16" s="62" t="s">
        <v>9</v>
      </c>
      <c r="C16" s="63" t="str">
        <f>Indicadores!C7</f>
        <v>CRUCH-ESTATAL</v>
      </c>
      <c r="D16" s="63" t="str">
        <f>Indicadores!D7</f>
        <v>Categoría II</v>
      </c>
      <c r="E16" s="40">
        <v>64006</v>
      </c>
      <c r="F16" s="40">
        <f t="shared" si="2"/>
        <v>66246.209999999992</v>
      </c>
      <c r="G16" s="64"/>
      <c r="H16" s="81">
        <f>IFERROR(VLOOKUP(B16,Tutoras!$C$33:$D$49,2,0),0)</f>
        <v>50000</v>
      </c>
      <c r="I16" s="65">
        <f>IFERROR(VLOOKUP(B16,Publicaciones!B4:E22,4,0),0)</f>
        <v>128982.77005525249</v>
      </c>
      <c r="J16" s="65">
        <f>IFERROR(VLOOKUP(B16,Acreditación!$B$3:$K$20,10,0),0)</f>
        <v>287257.88882398745</v>
      </c>
      <c r="K16" s="65">
        <f>IFERROR(VLOOKUP(B16,'Doctorado JC '!$B$2:$E$20,4,0),0)</f>
        <v>124096.49952995739</v>
      </c>
      <c r="L16" s="82">
        <f>IFERROR(VLOOKUP(B16,'Programas Doct. Acreditados '!$B$3:$G$20,6,0),0)</f>
        <v>118731.41131498473</v>
      </c>
      <c r="M16" s="65">
        <f>IFERROR(VLOOKUP(B16,'Académicos JC '!$B$3:$E$20,4,0),0)</f>
        <v>168103.91771684034</v>
      </c>
      <c r="N16" s="65">
        <f>IFERROR(VLOOKUP(B16,'Matrícula Regular Pre '!B5:E22,4,0),0)</f>
        <v>139492.4407482268</v>
      </c>
      <c r="O16" s="65">
        <f t="shared" si="3"/>
        <v>966664.92818924924</v>
      </c>
      <c r="P16" s="186">
        <f t="shared" si="0"/>
        <v>1082911.1381892492</v>
      </c>
      <c r="Q16" s="115">
        <f>IFERROR(VLOOKUP(B16,Indicadores!$B$5:$AH$22,33,0),0)</f>
        <v>2893840</v>
      </c>
      <c r="R16" s="183">
        <f>VLOOKUP(B16,Compensación!$B$6:$L$23,11,0)</f>
        <v>0</v>
      </c>
      <c r="S16" s="181">
        <f t="shared" si="4"/>
        <v>3976751.1381892492</v>
      </c>
      <c r="T16" s="194">
        <f t="shared" si="5"/>
        <v>3976751</v>
      </c>
      <c r="U16" s="158">
        <v>1671461</v>
      </c>
      <c r="V16" s="159">
        <f t="shared" si="6"/>
        <v>2305290</v>
      </c>
      <c r="W16" s="209">
        <f t="shared" si="7"/>
        <v>2305290</v>
      </c>
      <c r="X16" s="128" t="s">
        <v>9</v>
      </c>
      <c r="Y16" s="130">
        <v>1051958</v>
      </c>
      <c r="Z16" s="126">
        <v>619503</v>
      </c>
      <c r="AA16" s="211">
        <f t="shared" si="8"/>
        <v>1423466</v>
      </c>
      <c r="AB16" s="229">
        <f t="shared" si="9"/>
        <v>881824</v>
      </c>
      <c r="AC16" s="206"/>
      <c r="AD16" s="216"/>
      <c r="AE16" s="216"/>
      <c r="AF16" s="216"/>
      <c r="AG16" s="212"/>
      <c r="AH16" s="217">
        <f t="shared" ref="AH16:AH30" si="10">T16+AD16</f>
        <v>3976751</v>
      </c>
      <c r="AI16" s="218">
        <f t="shared" ref="AI16:AI31" si="11">AH16/$AH$32</f>
        <v>5.1213567754969679E-2</v>
      </c>
      <c r="AJ16" s="206"/>
      <c r="AK16" s="143" t="str">
        <f t="shared" si="1"/>
        <v>ANT</v>
      </c>
      <c r="AL16" s="144" t="s">
        <v>215</v>
      </c>
      <c r="AN16" s="152"/>
    </row>
    <row r="17" spans="1:40" x14ac:dyDescent="0.25">
      <c r="A17" s="41" t="str">
        <f>Indicadores!A8</f>
        <v>UNIVERSIDAD DE LA FRONTERA</v>
      </c>
      <c r="B17" s="62" t="s">
        <v>6</v>
      </c>
      <c r="C17" s="63" t="str">
        <f>Indicadores!C8</f>
        <v>CRUCH-ESTATAL</v>
      </c>
      <c r="D17" s="63" t="str">
        <f>Indicadores!D8</f>
        <v>Categoría II</v>
      </c>
      <c r="E17" s="40">
        <v>227255</v>
      </c>
      <c r="F17" s="40">
        <f t="shared" si="2"/>
        <v>235208.92499999999</v>
      </c>
      <c r="G17" s="64"/>
      <c r="H17" s="81">
        <f>IFERROR(VLOOKUP(B17,Tutoras!$C$33:$D$49,2,0),0)</f>
        <v>50000</v>
      </c>
      <c r="I17" s="65">
        <f>IFERROR(VLOOKUP(B17,Publicaciones!B5:E23,4,0),0)</f>
        <v>301072.93957633933</v>
      </c>
      <c r="J17" s="65">
        <f>IFERROR(VLOOKUP(B17,Acreditación!$B$3:$K$20,10,0),0)</f>
        <v>302376.72507788154</v>
      </c>
      <c r="K17" s="65">
        <f>IFERROR(VLOOKUP(B17,'Doctorado JC '!$B$2:$E$20,4,0),0)</f>
        <v>213316.20507437119</v>
      </c>
      <c r="L17" s="82">
        <f>IFERROR(VLOOKUP(B17,'Programas Doct. Acreditados '!$B$3:$G$20,6,0),0)</f>
        <v>267145.67545871565</v>
      </c>
      <c r="M17" s="65">
        <f>IFERROR(VLOOKUP(B17,'Académicos JC '!$B$3:$E$20,4,0),0)</f>
        <v>173115.14561625832</v>
      </c>
      <c r="N17" s="65">
        <f>IFERROR(VLOOKUP(B17,'Matrícula Regular Pre '!B6:E23,4,0),0)</f>
        <v>203222.44662837061</v>
      </c>
      <c r="O17" s="65">
        <f t="shared" si="3"/>
        <v>1460249.1374319366</v>
      </c>
      <c r="P17" s="186">
        <f t="shared" si="0"/>
        <v>1745458.0624319366</v>
      </c>
      <c r="Q17" s="115">
        <f>IFERROR(VLOOKUP(B17,Indicadores!$B$5:$AH$22,33,0),0)</f>
        <v>2891993</v>
      </c>
      <c r="R17" s="183">
        <f>VLOOKUP(B17,Compensación!$B$6:$L$23,11,0)</f>
        <v>0</v>
      </c>
      <c r="S17" s="181">
        <f t="shared" si="4"/>
        <v>4637451.0624319371</v>
      </c>
      <c r="T17" s="194">
        <f t="shared" si="5"/>
        <v>4637451</v>
      </c>
      <c r="U17" s="158">
        <v>2040900</v>
      </c>
      <c r="V17" s="159">
        <f t="shared" si="6"/>
        <v>2596551</v>
      </c>
      <c r="W17" s="209">
        <f t="shared" si="7"/>
        <v>2596551</v>
      </c>
      <c r="X17" s="128" t="s">
        <v>6</v>
      </c>
      <c r="Y17" s="130">
        <v>1284470</v>
      </c>
      <c r="Z17" s="126">
        <v>756430</v>
      </c>
      <c r="AA17" s="211">
        <f t="shared" si="8"/>
        <v>1603313</v>
      </c>
      <c r="AB17" s="229">
        <f t="shared" si="9"/>
        <v>993238</v>
      </c>
      <c r="AC17" s="206"/>
      <c r="AD17" s="216"/>
      <c r="AE17" s="216"/>
      <c r="AF17" s="216"/>
      <c r="AG17" s="212"/>
      <c r="AH17" s="217">
        <f t="shared" si="10"/>
        <v>4637451</v>
      </c>
      <c r="AI17" s="218">
        <f t="shared" si="11"/>
        <v>5.9722223241749833E-2</v>
      </c>
      <c r="AJ17" s="206"/>
      <c r="AK17" s="143" t="str">
        <f t="shared" si="1"/>
        <v>FRO</v>
      </c>
      <c r="AL17" s="144" t="s">
        <v>216</v>
      </c>
      <c r="AN17" s="152"/>
    </row>
    <row r="18" spans="1:40" x14ac:dyDescent="0.25">
      <c r="A18" s="41" t="str">
        <f>Indicadores!A9</f>
        <v>UNIVERSIDAD DE TALCA</v>
      </c>
      <c r="B18" s="62" t="s">
        <v>5</v>
      </c>
      <c r="C18" s="63" t="str">
        <f>Indicadores!C9</f>
        <v>CRUCH-ESTATAL</v>
      </c>
      <c r="D18" s="63" t="str">
        <f>Indicadores!D9</f>
        <v>Categoría I</v>
      </c>
      <c r="E18" s="40">
        <v>224727</v>
      </c>
      <c r="F18" s="40">
        <f t="shared" si="2"/>
        <v>232592.44499999998</v>
      </c>
      <c r="G18" s="64"/>
      <c r="H18" s="81">
        <f>IFERROR(VLOOKUP(B18,Tutoras!$C$33:$D$49,2,0),0)</f>
        <v>50000</v>
      </c>
      <c r="I18" s="65">
        <f>IFERROR(VLOOKUP(B18,Publicaciones!B6:E24,4,0),0)</f>
        <v>246085.54813173172</v>
      </c>
      <c r="J18" s="65">
        <f>IFERROR(VLOOKUP(B18,Acreditación!$B$3:$K$20,10,0),0)</f>
        <v>302376.72507788154</v>
      </c>
      <c r="K18" s="65">
        <f>IFERROR(VLOOKUP(B18,'Doctorado JC '!$B$2:$E$20,4,0),0)</f>
        <v>219804.91093214677</v>
      </c>
      <c r="L18" s="82">
        <f>IFERROR(VLOOKUP(B18,'Programas Doct. Acreditados '!$B$3:$G$20,6,0),0)</f>
        <v>326511.38111620798</v>
      </c>
      <c r="M18" s="65">
        <f>IFERROR(VLOOKUP(B18,'Académicos JC '!$B$3:$E$20,4,0),0)</f>
        <v>221405.15991974092</v>
      </c>
      <c r="N18" s="65">
        <f>IFERROR(VLOOKUP(B18,'Matrícula Regular Pre '!B7:E24,4,0),0)</f>
        <v>193938.72683434794</v>
      </c>
      <c r="O18" s="65">
        <f t="shared" si="3"/>
        <v>1510122.4520120567</v>
      </c>
      <c r="P18" s="186">
        <f t="shared" si="0"/>
        <v>1792714.8970120566</v>
      </c>
      <c r="Q18" s="115">
        <f>IFERROR(VLOOKUP(B18,Indicadores!$B$5:$AH$22,33,0),0)</f>
        <v>3846307</v>
      </c>
      <c r="R18" s="183">
        <f>VLOOKUP(B18,Compensación!$B$6:$L$23,11,0)</f>
        <v>0</v>
      </c>
      <c r="S18" s="181">
        <f t="shared" si="4"/>
        <v>5639021.8970120568</v>
      </c>
      <c r="T18" s="194">
        <f t="shared" si="5"/>
        <v>5639022</v>
      </c>
      <c r="U18" s="158">
        <v>2318964</v>
      </c>
      <c r="V18" s="159">
        <f t="shared" si="6"/>
        <v>3320058</v>
      </c>
      <c r="W18" s="209">
        <f t="shared" si="7"/>
        <v>3320058</v>
      </c>
      <c r="X18" s="128" t="s">
        <v>5</v>
      </c>
      <c r="Y18" s="130">
        <v>1459473</v>
      </c>
      <c r="Z18" s="126">
        <v>859491</v>
      </c>
      <c r="AA18" s="211">
        <f t="shared" si="8"/>
        <v>2050063</v>
      </c>
      <c r="AB18" s="229">
        <f t="shared" si="9"/>
        <v>1269995</v>
      </c>
      <c r="AC18" s="206"/>
      <c r="AD18" s="216"/>
      <c r="AE18" s="216"/>
      <c r="AF18" s="216"/>
      <c r="AG18" s="212"/>
      <c r="AH18" s="217">
        <f t="shared" si="10"/>
        <v>5639022</v>
      </c>
      <c r="AI18" s="218">
        <f t="shared" si="11"/>
        <v>7.2620698471884362E-2</v>
      </c>
      <c r="AJ18" s="206"/>
      <c r="AK18" s="143" t="str">
        <f t="shared" si="1"/>
        <v>TAL</v>
      </c>
      <c r="AL18" s="144" t="s">
        <v>217</v>
      </c>
      <c r="AN18" s="152"/>
    </row>
    <row r="19" spans="1:40" x14ac:dyDescent="0.25">
      <c r="A19" s="41" t="str">
        <f>Indicadores!A10</f>
        <v>UNIVERSIDAD DE TARAPACÁ</v>
      </c>
      <c r="B19" s="62" t="s">
        <v>10</v>
      </c>
      <c r="C19" s="63" t="str">
        <f>Indicadores!C10</f>
        <v>CRUCH-ESTATAL</v>
      </c>
      <c r="D19" s="63" t="str">
        <f>Indicadores!D10</f>
        <v>Categoría II</v>
      </c>
      <c r="E19" s="40">
        <v>25944</v>
      </c>
      <c r="F19" s="40">
        <f t="shared" si="2"/>
        <v>26852.039999999997</v>
      </c>
      <c r="G19" s="64"/>
      <c r="H19" s="81">
        <f>IFERROR(VLOOKUP(B19,Tutoras!$C$33:$D$49,2,0),0)</f>
        <v>50000</v>
      </c>
      <c r="I19" s="65">
        <f>IFERROR(VLOOKUP(B19,Publicaciones!B7:E25,4,0),0)</f>
        <v>188382.72994911877</v>
      </c>
      <c r="J19" s="65">
        <f>IFERROR(VLOOKUP(B19,Acreditación!$B$3:$K$20,10,0),0)</f>
        <v>181426.03504672894</v>
      </c>
      <c r="K19" s="65">
        <f>IFERROR(VLOOKUP(B19,'Doctorado JC '!$B$2:$E$20,4,0),0)</f>
        <v>142751.5288710621</v>
      </c>
      <c r="L19" s="82">
        <f>IFERROR(VLOOKUP(B19,'Programas Doct. Acreditados '!$B$3:$G$20,6,0),0)</f>
        <v>148414.26414373089</v>
      </c>
      <c r="M19" s="65">
        <f>IFERROR(VLOOKUP(B19,'Académicos JC '!$B$3:$E$20,4,0),0)</f>
        <v>149425.7046371914</v>
      </c>
      <c r="N19" s="65">
        <f>IFERROR(VLOOKUP(B19,'Matrícula Regular Pre '!B8:E25,4,0),0)</f>
        <v>180613.85842410367</v>
      </c>
      <c r="O19" s="65">
        <f t="shared" si="3"/>
        <v>991014.12107193575</v>
      </c>
      <c r="P19" s="186">
        <f t="shared" si="0"/>
        <v>1067866.1610719357</v>
      </c>
      <c r="Q19" s="115">
        <f>IFERROR(VLOOKUP(B19,Indicadores!$B$5:$AH$22,33,0),0)</f>
        <v>2969095</v>
      </c>
      <c r="R19" s="183">
        <f>VLOOKUP(B19,Compensación!$B$6:$L$23,11,0)</f>
        <v>0</v>
      </c>
      <c r="S19" s="181">
        <f t="shared" si="4"/>
        <v>4036961.1610719357</v>
      </c>
      <c r="T19" s="194">
        <f t="shared" si="5"/>
        <v>4036961</v>
      </c>
      <c r="U19" s="158">
        <v>1568876</v>
      </c>
      <c r="V19" s="159">
        <f t="shared" si="6"/>
        <v>2468085</v>
      </c>
      <c r="W19" s="209">
        <f t="shared" si="7"/>
        <v>2468085</v>
      </c>
      <c r="X19" s="128" t="s">
        <v>10</v>
      </c>
      <c r="Y19" s="130">
        <v>987395</v>
      </c>
      <c r="Z19" s="126">
        <v>581481</v>
      </c>
      <c r="AA19" s="211">
        <f t="shared" si="8"/>
        <v>1523988</v>
      </c>
      <c r="AB19" s="229">
        <f t="shared" si="9"/>
        <v>944097</v>
      </c>
      <c r="AC19" s="206"/>
      <c r="AD19" s="216"/>
      <c r="AE19" s="216"/>
      <c r="AF19" s="216"/>
      <c r="AG19" s="212"/>
      <c r="AH19" s="217">
        <f t="shared" si="10"/>
        <v>4036961</v>
      </c>
      <c r="AI19" s="218">
        <f t="shared" si="11"/>
        <v>5.1988966796681552E-2</v>
      </c>
      <c r="AJ19" s="206"/>
      <c r="AK19" s="143" t="str">
        <f t="shared" si="1"/>
        <v>UTA</v>
      </c>
      <c r="AL19" s="144" t="s">
        <v>218</v>
      </c>
      <c r="AN19" s="152"/>
    </row>
    <row r="20" spans="1:40" x14ac:dyDescent="0.25">
      <c r="A20" s="41" t="str">
        <f>Indicadores!A11</f>
        <v>UNIVERSIDAD DE VALPARAÍSO</v>
      </c>
      <c r="B20" s="62" t="s">
        <v>4</v>
      </c>
      <c r="C20" s="63" t="str">
        <f>Indicadores!C11</f>
        <v>CRUCH-ESTATAL</v>
      </c>
      <c r="D20" s="63" t="str">
        <f>Indicadores!D11</f>
        <v>Categoría II</v>
      </c>
      <c r="E20" s="40">
        <v>281374</v>
      </c>
      <c r="F20" s="40">
        <f t="shared" si="2"/>
        <v>291222.08999999997</v>
      </c>
      <c r="G20" s="64"/>
      <c r="H20" s="81">
        <f>IFERROR(VLOOKUP(B20,Tutoras!$C$33:$D$49,2,0),0)</f>
        <v>0</v>
      </c>
      <c r="I20" s="65">
        <f>IFERROR(VLOOKUP(B20,Publicaciones!B8:E26,4,0),0)</f>
        <v>235223.84117971046</v>
      </c>
      <c r="J20" s="65">
        <f>IFERROR(VLOOKUP(B20,Acreditación!$B$3:$K$20,10,0),0)</f>
        <v>287257.88882398745</v>
      </c>
      <c r="K20" s="65">
        <f>IFERROR(VLOOKUP(B20,'Doctorado JC '!$B$2:$E$20,4,0),0)</f>
        <v>236837.76380880759</v>
      </c>
      <c r="L20" s="82">
        <f>IFERROR(VLOOKUP(B20,'Programas Doct. Acreditados '!$B$3:$G$20,6,0),0)</f>
        <v>267145.67545871565</v>
      </c>
      <c r="M20" s="65">
        <f>IFERROR(VLOOKUP(B20,'Académicos JC '!$B$3:$E$20,4,0),0)</f>
        <v>252839.22583427207</v>
      </c>
      <c r="N20" s="65">
        <f>IFERROR(VLOOKUP(B20,'Matrícula Regular Pre '!B9:E26,4,0),0)</f>
        <v>276982.51056048792</v>
      </c>
      <c r="O20" s="65">
        <f t="shared" si="3"/>
        <v>1556286.9056659811</v>
      </c>
      <c r="P20" s="186">
        <f t="shared" si="0"/>
        <v>1847508.9956659812</v>
      </c>
      <c r="Q20" s="115">
        <f>IFERROR(VLOOKUP(B20,Indicadores!$B$5:$AH$22,33,0),0)</f>
        <v>2375747</v>
      </c>
      <c r="R20" s="183">
        <f>VLOOKUP(B20,Compensación!$B$6:$L$23,11,0)</f>
        <v>18212.307747299757</v>
      </c>
      <c r="S20" s="181">
        <f t="shared" si="4"/>
        <v>4241468.3034132812</v>
      </c>
      <c r="T20" s="194">
        <f t="shared" si="5"/>
        <v>4241468</v>
      </c>
      <c r="U20" s="158">
        <v>1724345</v>
      </c>
      <c r="V20" s="159">
        <f t="shared" si="6"/>
        <v>2517123</v>
      </c>
      <c r="W20" s="209">
        <f t="shared" si="7"/>
        <v>2517123</v>
      </c>
      <c r="X20" s="128" t="s">
        <v>4</v>
      </c>
      <c r="Y20" s="130">
        <v>1085241</v>
      </c>
      <c r="Z20" s="126">
        <v>639104</v>
      </c>
      <c r="AA20" s="211">
        <f t="shared" si="8"/>
        <v>1554268</v>
      </c>
      <c r="AB20" s="229">
        <f t="shared" si="9"/>
        <v>962855</v>
      </c>
      <c r="AC20" s="206"/>
      <c r="AD20" s="216"/>
      <c r="AE20" s="216"/>
      <c r="AF20" s="216"/>
      <c r="AG20" s="212"/>
      <c r="AH20" s="217">
        <f t="shared" si="10"/>
        <v>4241468</v>
      </c>
      <c r="AI20" s="218">
        <f t="shared" si="11"/>
        <v>5.4622657742095425E-2</v>
      </c>
      <c r="AJ20" s="206"/>
      <c r="AK20" s="143" t="str">
        <f t="shared" si="1"/>
        <v>UVA</v>
      </c>
      <c r="AL20" s="144" t="s">
        <v>213</v>
      </c>
      <c r="AN20" s="152"/>
    </row>
    <row r="21" spans="1:40" x14ac:dyDescent="0.25">
      <c r="A21" s="41" t="str">
        <f>Indicadores!A12</f>
        <v>UNIVERSIDAD DEL BÍO-BÍO</v>
      </c>
      <c r="B21" s="62" t="s">
        <v>8</v>
      </c>
      <c r="C21" s="63" t="str">
        <f>Indicadores!C12</f>
        <v>CRUCH-ESTATAL</v>
      </c>
      <c r="D21" s="63" t="str">
        <f>Indicadores!D12</f>
        <v>Categoría II</v>
      </c>
      <c r="E21" s="40">
        <v>99466</v>
      </c>
      <c r="F21" s="40">
        <f t="shared" si="2"/>
        <v>102947.31</v>
      </c>
      <c r="G21" s="64"/>
      <c r="H21" s="81">
        <f>IFERROR(VLOOKUP(B21,Tutoras!$C$33:$D$49,2,0),0)</f>
        <v>50000</v>
      </c>
      <c r="I21" s="65">
        <f>IFERROR(VLOOKUP(B21,Publicaciones!B9:E27,4,0),0)</f>
        <v>151724.468986047</v>
      </c>
      <c r="J21" s="65">
        <f>IFERROR(VLOOKUP(B21,Acreditación!$B$3:$K$20,10,0),0)</f>
        <v>287257.88882398745</v>
      </c>
      <c r="K21" s="65">
        <f>IFERROR(VLOOKUP(B21,'Doctorado JC '!$B$2:$E$20,4,0),0)</f>
        <v>231971.23441547589</v>
      </c>
      <c r="L21" s="82">
        <f>IFERROR(VLOOKUP(B21,'Programas Doct. Acreditados '!$B$3:$G$20,6,0),0)</f>
        <v>89048.558486238544</v>
      </c>
      <c r="M21" s="65">
        <f>IFERROR(VLOOKUP(B21,'Académicos JC '!$B$3:$E$20,4,0),0)</f>
        <v>210927.13794823055</v>
      </c>
      <c r="N21" s="65">
        <f>IFERROR(VLOOKUP(B21,'Matrícula Regular Pre '!B10:E27,4,0),0)</f>
        <v>202275.87127682322</v>
      </c>
      <c r="O21" s="65">
        <f t="shared" si="3"/>
        <v>1173205.1599368025</v>
      </c>
      <c r="P21" s="186">
        <f t="shared" si="0"/>
        <v>1326152.4699368025</v>
      </c>
      <c r="Q21" s="115">
        <f>IFERROR(VLOOKUP(B21,Indicadores!$B$5:$AH$22,33,0),0)</f>
        <v>2431270</v>
      </c>
      <c r="R21" s="183">
        <f>VLOOKUP(B21,Compensación!$B$6:$L$23,11,0)</f>
        <v>0</v>
      </c>
      <c r="S21" s="181">
        <f t="shared" si="4"/>
        <v>3757422.4699368025</v>
      </c>
      <c r="T21" s="194">
        <f t="shared" si="5"/>
        <v>3757422</v>
      </c>
      <c r="U21" s="158">
        <v>1681453</v>
      </c>
      <c r="V21" s="159">
        <f t="shared" si="6"/>
        <v>2075969</v>
      </c>
      <c r="W21" s="209">
        <f t="shared" si="7"/>
        <v>2075969</v>
      </c>
      <c r="X21" s="128" t="s">
        <v>8</v>
      </c>
      <c r="Y21" s="130">
        <v>1058247</v>
      </c>
      <c r="Z21" s="126">
        <v>623206</v>
      </c>
      <c r="AA21" s="211">
        <f t="shared" si="8"/>
        <v>1281865</v>
      </c>
      <c r="AB21" s="229">
        <f t="shared" si="9"/>
        <v>794104</v>
      </c>
      <c r="AC21" s="206"/>
      <c r="AD21" s="216"/>
      <c r="AE21" s="216"/>
      <c r="AF21" s="216"/>
      <c r="AG21" s="212"/>
      <c r="AH21" s="217">
        <f t="shared" si="10"/>
        <v>3757422</v>
      </c>
      <c r="AI21" s="218">
        <f t="shared" si="11"/>
        <v>4.8388995484256792E-2</v>
      </c>
      <c r="AJ21" s="206"/>
      <c r="AK21" s="143" t="str">
        <f t="shared" si="1"/>
        <v>UBB</v>
      </c>
      <c r="AL21" s="144" t="s">
        <v>212</v>
      </c>
      <c r="AN21" s="152"/>
    </row>
    <row r="22" spans="1:40" x14ac:dyDescent="0.25">
      <c r="A22" s="41" t="str">
        <f>Indicadores!A13</f>
        <v>UNIVERSIDAD DE LA SERENA</v>
      </c>
      <c r="B22" s="62" t="s">
        <v>7</v>
      </c>
      <c r="C22" s="63" t="str">
        <f>Indicadores!C13</f>
        <v>CRUCH-ESTATAL</v>
      </c>
      <c r="D22" s="63" t="str">
        <f>Indicadores!D13</f>
        <v>Categoría II</v>
      </c>
      <c r="E22" s="40">
        <v>108535</v>
      </c>
      <c r="F22" s="40">
        <f t="shared" si="2"/>
        <v>112333.72499999999</v>
      </c>
      <c r="G22" s="64"/>
      <c r="H22" s="81">
        <f>IFERROR(VLOOKUP(B22,Tutoras!$C$33:$D$49,2,0),0)</f>
        <v>50000</v>
      </c>
      <c r="I22" s="65">
        <f>IFERROR(VLOOKUP(B22,Publicaciones!B10:E28,4,0),0)</f>
        <v>87233.083958420772</v>
      </c>
      <c r="J22" s="65">
        <f>IFERROR(VLOOKUP(B22,Acreditación!$B$3:$K$20,10,0),0)</f>
        <v>181426.03504672894</v>
      </c>
      <c r="K22" s="65">
        <f>IFERROR(VLOOKUP(B22,'Doctorado JC '!$B$2:$E$20,4,0),0)</f>
        <v>90030.793776635765</v>
      </c>
      <c r="L22" s="82">
        <f>IFERROR(VLOOKUP(B22,'Programas Doct. Acreditados '!$B$3:$G$20,6,0),0)</f>
        <v>148414.26414373089</v>
      </c>
      <c r="M22" s="65">
        <f>IFERROR(VLOOKUP(B22,'Académicos JC '!$B$3:$E$20,4,0),0)</f>
        <v>92024.36688022154</v>
      </c>
      <c r="N22" s="65">
        <f>IFERROR(VLOOKUP(B22,'Matrícula Regular Pre '!B11:E28,4,0),0)</f>
        <v>137908.7473715994</v>
      </c>
      <c r="O22" s="65">
        <f t="shared" si="3"/>
        <v>737037.29117733729</v>
      </c>
      <c r="P22" s="186">
        <f t="shared" si="0"/>
        <v>899371.01617733727</v>
      </c>
      <c r="Q22" s="115">
        <f>IFERROR(VLOOKUP(B22,Indicadores!$B$5:$AH$22,33,0),0)</f>
        <v>2311339</v>
      </c>
      <c r="R22" s="183">
        <f>VLOOKUP(B22,Compensación!$B$6:$L$23,11,0)</f>
        <v>0</v>
      </c>
      <c r="S22" s="181">
        <f t="shared" si="4"/>
        <v>3210710.0161773372</v>
      </c>
      <c r="T22" s="194">
        <f t="shared" si="5"/>
        <v>3210710</v>
      </c>
      <c r="U22" s="158">
        <v>1302076</v>
      </c>
      <c r="V22" s="159">
        <f t="shared" si="6"/>
        <v>1908634</v>
      </c>
      <c r="W22" s="209">
        <f t="shared" si="7"/>
        <v>1908634</v>
      </c>
      <c r="X22" s="128" t="s">
        <v>7</v>
      </c>
      <c r="Y22" s="130">
        <v>819480</v>
      </c>
      <c r="Z22" s="126">
        <v>482596</v>
      </c>
      <c r="AA22" s="211">
        <f t="shared" si="8"/>
        <v>1178540</v>
      </c>
      <c r="AB22" s="229">
        <f t="shared" si="9"/>
        <v>730094</v>
      </c>
      <c r="AC22" s="206"/>
      <c r="AD22" s="216"/>
      <c r="AE22" s="216"/>
      <c r="AF22" s="216"/>
      <c r="AG22" s="212"/>
      <c r="AH22" s="217">
        <f t="shared" si="10"/>
        <v>3210710</v>
      </c>
      <c r="AI22" s="218">
        <f t="shared" si="11"/>
        <v>4.1348305218646755E-2</v>
      </c>
      <c r="AJ22" s="206"/>
      <c r="AK22" s="143" t="str">
        <f t="shared" si="1"/>
        <v>ULS</v>
      </c>
      <c r="AL22" s="144" t="s">
        <v>219</v>
      </c>
      <c r="AN22" s="152"/>
    </row>
    <row r="23" spans="1:40" x14ac:dyDescent="0.25">
      <c r="A23" s="41" t="str">
        <f>Indicadores!A14</f>
        <v>UNIVERSIDAD DE PLAYA ANCHA CS. EDUCACIÓN</v>
      </c>
      <c r="B23" s="62" t="s">
        <v>27</v>
      </c>
      <c r="C23" s="63" t="str">
        <f>Indicadores!C14</f>
        <v>CRUCH-ESTATAL</v>
      </c>
      <c r="D23" s="63" t="str">
        <f>Indicadores!D14</f>
        <v>Categoría II</v>
      </c>
      <c r="E23" s="40">
        <v>24829</v>
      </c>
      <c r="F23" s="40">
        <f t="shared" si="2"/>
        <v>25698.014999999999</v>
      </c>
      <c r="G23" s="64"/>
      <c r="H23" s="81">
        <f>IFERROR(VLOOKUP(B23,Tutoras!$C$33:$D$49,2,0),0)</f>
        <v>50000</v>
      </c>
      <c r="I23" s="65">
        <f>IFERROR(VLOOKUP(B23,Publicaciones!B11:E29,4,0),0)</f>
        <v>54987.391444607638</v>
      </c>
      <c r="J23" s="65">
        <f>IFERROR(VLOOKUP(B23,Acreditación!$B$3:$K$20,10,0),0)</f>
        <v>75594.181269470384</v>
      </c>
      <c r="K23" s="65">
        <f>IFERROR(VLOOKUP(B23,'Doctorado JC '!$B$2:$E$20,4,0),0)</f>
        <v>107063.64665329657</v>
      </c>
      <c r="L23" s="82">
        <f>IFERROR(VLOOKUP(B23,'Programas Doct. Acreditados '!$B$3:$G$20,6,0),0)</f>
        <v>29682.852828746181</v>
      </c>
      <c r="M23" s="65">
        <f>IFERROR(VLOOKUP(B23,'Académicos JC '!$B$3:$E$20,4,0),0)</f>
        <v>138492.11649300667</v>
      </c>
      <c r="N23" s="65">
        <f>IFERROR(VLOOKUP(B23,'Matrícula Regular Pre '!B12:E29,4,0),0)</f>
        <v>120997.81464876204</v>
      </c>
      <c r="O23" s="65">
        <f t="shared" si="3"/>
        <v>526818.00333788944</v>
      </c>
      <c r="P23" s="186">
        <f t="shared" si="0"/>
        <v>602516.01833788946</v>
      </c>
      <c r="Q23" s="115">
        <f>IFERROR(VLOOKUP(B23,Indicadores!$B$5:$AH$22,33,0),0)</f>
        <v>2324098</v>
      </c>
      <c r="R23" s="183">
        <f>VLOOKUP(B23,Compensación!$B$6:$L$23,11,0)</f>
        <v>474819.52851496387</v>
      </c>
      <c r="S23" s="181">
        <f t="shared" si="4"/>
        <v>3401433.5468528536</v>
      </c>
      <c r="T23" s="194">
        <f t="shared" si="5"/>
        <v>3401434</v>
      </c>
      <c r="U23" s="158">
        <v>1217917</v>
      </c>
      <c r="V23" s="159">
        <f t="shared" si="6"/>
        <v>2183517</v>
      </c>
      <c r="W23" s="209">
        <f t="shared" si="7"/>
        <v>2183517</v>
      </c>
      <c r="X23" s="128" t="s">
        <v>27</v>
      </c>
      <c r="Y23" s="130">
        <v>766514</v>
      </c>
      <c r="Z23" s="126">
        <v>451403</v>
      </c>
      <c r="AA23" s="211">
        <f t="shared" si="8"/>
        <v>1348274</v>
      </c>
      <c r="AB23" s="229">
        <f t="shared" si="9"/>
        <v>835243</v>
      </c>
      <c r="AC23" s="206"/>
      <c r="AD23" s="216"/>
      <c r="AE23" s="216"/>
      <c r="AF23" s="216"/>
      <c r="AG23" s="212"/>
      <c r="AH23" s="217">
        <f t="shared" si="10"/>
        <v>3401434</v>
      </c>
      <c r="AI23" s="218">
        <f t="shared" si="11"/>
        <v>4.3804495333768075E-2</v>
      </c>
      <c r="AJ23" s="206"/>
      <c r="AK23" s="143" t="str">
        <f t="shared" si="1"/>
        <v>UPA</v>
      </c>
      <c r="AL23" s="144" t="s">
        <v>213</v>
      </c>
      <c r="AN23" s="152"/>
    </row>
    <row r="24" spans="1:40" x14ac:dyDescent="0.25">
      <c r="A24" s="41" t="str">
        <f>Indicadores!A15</f>
        <v>UNIVERSIDAD ARTURO PRAT</v>
      </c>
      <c r="B24" s="62" t="s">
        <v>23</v>
      </c>
      <c r="C24" s="63" t="str">
        <f>Indicadores!C15</f>
        <v>CRUCH-ESTATAL</v>
      </c>
      <c r="D24" s="63" t="str">
        <f>Indicadores!D15</f>
        <v>Categoría II</v>
      </c>
      <c r="E24" s="40">
        <v>15240</v>
      </c>
      <c r="F24" s="40">
        <f t="shared" si="2"/>
        <v>15773.4</v>
      </c>
      <c r="G24" s="64"/>
      <c r="H24" s="81">
        <f>IFERROR(VLOOKUP(B24,Tutoras!$C$33:$D$49,2,0),0)</f>
        <v>50000</v>
      </c>
      <c r="I24" s="65">
        <f>IFERROR(VLOOKUP(B24,Publicaciones!B12:E30,4,0),0)</f>
        <v>62454.814974122251</v>
      </c>
      <c r="J24" s="65">
        <f>IFERROR(VLOOKUP(B24,Acreditación!$B$3:$K$20,10,0),0)</f>
        <v>75594.181269470384</v>
      </c>
      <c r="K24" s="65">
        <f>IFERROR(VLOOKUP(B24,'Doctorado JC '!$B$2:$E$20,4,0),0)</f>
        <v>77053.38206108466</v>
      </c>
      <c r="L24" s="82">
        <f>IFERROR(VLOOKUP(B24,'Programas Doct. Acreditados '!$B$3:$G$20,6,0),0)</f>
        <v>29682.852828746181</v>
      </c>
      <c r="M24" s="65">
        <f>IFERROR(VLOOKUP(B24,'Académicos JC '!$B$3:$E$20,4,0),0)</f>
        <v>121180.60193138085</v>
      </c>
      <c r="N24" s="65">
        <f>IFERROR(VLOOKUP(B24,'Matrícula Regular Pre '!B13:E30,4,0),0)</f>
        <v>142204.74319785304</v>
      </c>
      <c r="O24" s="65">
        <f t="shared" si="3"/>
        <v>508170.57626265741</v>
      </c>
      <c r="P24" s="186">
        <f t="shared" si="0"/>
        <v>573943.97626265744</v>
      </c>
      <c r="Q24" s="115">
        <f>IFERROR(VLOOKUP(B24,Indicadores!$B$5:$AH$22,33,0),0)</f>
        <v>2020486</v>
      </c>
      <c r="R24" s="183">
        <f>VLOOKUP(B24,Compensación!$B$6:$L$23,11,0)</f>
        <v>729293.15134512435</v>
      </c>
      <c r="S24" s="181">
        <f t="shared" si="4"/>
        <v>3323723.1276077819</v>
      </c>
      <c r="T24" s="194">
        <f t="shared" si="5"/>
        <v>3323723</v>
      </c>
      <c r="U24" s="158">
        <v>636026</v>
      </c>
      <c r="V24" s="159">
        <f t="shared" si="6"/>
        <v>2687697</v>
      </c>
      <c r="W24" s="209">
        <f t="shared" si="7"/>
        <v>2687697</v>
      </c>
      <c r="X24" s="128" t="s">
        <v>23</v>
      </c>
      <c r="Y24" s="130">
        <v>400292</v>
      </c>
      <c r="Z24" s="126">
        <v>235734</v>
      </c>
      <c r="AA24" s="211">
        <f t="shared" si="8"/>
        <v>1659594</v>
      </c>
      <c r="AB24" s="229">
        <f t="shared" si="9"/>
        <v>1028103</v>
      </c>
      <c r="AC24" s="206"/>
      <c r="AD24" s="216"/>
      <c r="AE24" s="216"/>
      <c r="AF24" s="216"/>
      <c r="AG24" s="212"/>
      <c r="AH24" s="217">
        <f t="shared" si="10"/>
        <v>3323723</v>
      </c>
      <c r="AI24" s="218">
        <f t="shared" si="11"/>
        <v>4.2803714152395027E-2</v>
      </c>
      <c r="AJ24" s="206"/>
      <c r="AK24" s="143" t="str">
        <f t="shared" si="1"/>
        <v>UAP</v>
      </c>
      <c r="AL24" s="144" t="s">
        <v>222</v>
      </c>
      <c r="AN24" s="152"/>
    </row>
    <row r="25" spans="1:40" x14ac:dyDescent="0.25">
      <c r="A25" s="41" t="str">
        <f>Indicadores!A16</f>
        <v>UNIVERSIDAD DE ATACAMA</v>
      </c>
      <c r="B25" s="62" t="s">
        <v>24</v>
      </c>
      <c r="C25" s="63" t="str">
        <f>Indicadores!C16</f>
        <v>CRUCH-ESTATAL</v>
      </c>
      <c r="D25" s="63" t="str">
        <f>Indicadores!D16</f>
        <v>Categoría II</v>
      </c>
      <c r="E25" s="40">
        <v>21261</v>
      </c>
      <c r="F25" s="40">
        <f t="shared" si="2"/>
        <v>22005.134999999998</v>
      </c>
      <c r="G25" s="64"/>
      <c r="H25" s="81">
        <f>IFERROR(VLOOKUP(B25,Tutoras!$C$33:$D$49,2,0),0)</f>
        <v>50000</v>
      </c>
      <c r="I25" s="65">
        <f>IFERROR(VLOOKUP(B25,Publicaciones!B13:E31,4,0),0)</f>
        <v>79426.23208665548</v>
      </c>
      <c r="J25" s="65">
        <f>IFERROR(VLOOKUP(B25,Acreditación!$B$3:$K$20,10,0),0)</f>
        <v>166307.19879283482</v>
      </c>
      <c r="K25" s="65">
        <f>IFERROR(VLOOKUP(B25,'Doctorado JC '!$B$2:$E$20,4,0),0)</f>
        <v>81919.911454416317</v>
      </c>
      <c r="L25" s="82">
        <f>IFERROR(VLOOKUP(B25,'Programas Doct. Acreditados '!$B$3:$G$20,6,0),0)</f>
        <v>29682.852828746181</v>
      </c>
      <c r="M25" s="65">
        <f>IFERROR(VLOOKUP(B25,'Académicos JC '!$B$3:$E$20,4,0),0)</f>
        <v>159903.72660870178</v>
      </c>
      <c r="N25" s="65">
        <f>IFERROR(VLOOKUP(B25,'Matrícula Regular Pre '!B14:E31,4,0),0)</f>
        <v>125730.6914064991</v>
      </c>
      <c r="O25" s="65">
        <f t="shared" si="3"/>
        <v>642970.61317785375</v>
      </c>
      <c r="P25" s="186">
        <f t="shared" si="0"/>
        <v>714975.74817785365</v>
      </c>
      <c r="Q25" s="115">
        <f>IFERROR(VLOOKUP(B25,Indicadores!$B$5:$AH$22,33,0),0)</f>
        <v>2265115</v>
      </c>
      <c r="R25" s="183">
        <f>VLOOKUP(B25,Compensación!$B$6:$L$23,11,0)</f>
        <v>1298260.7414775304</v>
      </c>
      <c r="S25" s="181">
        <f t="shared" si="4"/>
        <v>4278351.4896553839</v>
      </c>
      <c r="T25" s="194">
        <f t="shared" si="5"/>
        <v>4278351</v>
      </c>
      <c r="U25" s="158">
        <v>1213399</v>
      </c>
      <c r="V25" s="159">
        <f t="shared" si="6"/>
        <v>3064952</v>
      </c>
      <c r="W25" s="209">
        <f t="shared" si="7"/>
        <v>3064952</v>
      </c>
      <c r="X25" s="128" t="s">
        <v>24</v>
      </c>
      <c r="Y25" s="130">
        <v>763670</v>
      </c>
      <c r="Z25" s="126">
        <v>449729</v>
      </c>
      <c r="AA25" s="211">
        <f t="shared" si="8"/>
        <v>1892541</v>
      </c>
      <c r="AB25" s="229">
        <f t="shared" si="9"/>
        <v>1172411</v>
      </c>
      <c r="AC25" s="206"/>
      <c r="AD25" s="219"/>
      <c r="AE25" s="219"/>
      <c r="AF25" s="219"/>
      <c r="AG25" s="212"/>
      <c r="AH25" s="217">
        <f t="shared" si="10"/>
        <v>4278351</v>
      </c>
      <c r="AI25" s="218">
        <f t="shared" si="11"/>
        <v>5.5097645997459303E-2</v>
      </c>
      <c r="AJ25" s="206"/>
      <c r="AK25" s="143" t="str">
        <f t="shared" si="1"/>
        <v>ATA</v>
      </c>
      <c r="AL25" s="144" t="s">
        <v>224</v>
      </c>
      <c r="AN25" s="152"/>
    </row>
    <row r="26" spans="1:40" x14ac:dyDescent="0.25">
      <c r="A26" s="41" t="str">
        <f>Indicadores!A17</f>
        <v>UNIVERSIDAD DE LOS LAGOS</v>
      </c>
      <c r="B26" s="62" t="s">
        <v>25</v>
      </c>
      <c r="C26" s="63" t="str">
        <f>Indicadores!C17</f>
        <v>CRUCH-ESTATAL</v>
      </c>
      <c r="D26" s="63" t="str">
        <f>Indicadores!D17</f>
        <v>Categoría II</v>
      </c>
      <c r="E26" s="40">
        <v>9441</v>
      </c>
      <c r="F26" s="40">
        <f t="shared" si="2"/>
        <v>9771.4349999999995</v>
      </c>
      <c r="G26" s="64"/>
      <c r="H26" s="81">
        <f>IFERROR(VLOOKUP(B26,Tutoras!$C$33:$D$49,2,0),0)</f>
        <v>100000</v>
      </c>
      <c r="I26" s="65">
        <f>IFERROR(VLOOKUP(B26,Publicaciones!B14:E32,4,0),0)</f>
        <v>97755.362568191369</v>
      </c>
      <c r="J26" s="65">
        <f>IFERROR(VLOOKUP(B26,Acreditación!$B$3:$K$20,10,0),0)</f>
        <v>181426.03504672894</v>
      </c>
      <c r="K26" s="65">
        <f>IFERROR(VLOOKUP(B26,'Doctorado JC '!$B$2:$E$20,4,0),0)</f>
        <v>119229.97013662574</v>
      </c>
      <c r="L26" s="82">
        <f>IFERROR(VLOOKUP(B26,'Programas Doct. Acreditados '!$B$3:$G$20,6,0),0)</f>
        <v>89048.558486238544</v>
      </c>
      <c r="M26" s="65">
        <f>IFERROR(VLOOKUP(B26,'Académicos JC '!$B$3:$E$20,4,0),0)</f>
        <v>175392.97647963016</v>
      </c>
      <c r="N26" s="65">
        <f>IFERROR(VLOOKUP(B26,'Matrícula Regular Pre '!B15:E32,4,0),0)</f>
        <v>155584.22172453275</v>
      </c>
      <c r="O26" s="65">
        <f t="shared" si="3"/>
        <v>818437.12444194756</v>
      </c>
      <c r="P26" s="186">
        <f t="shared" si="0"/>
        <v>928208.55944194761</v>
      </c>
      <c r="Q26" s="115">
        <f>IFERROR(VLOOKUP(B26,Indicadores!$B$5:$AH$22,33,0),0)</f>
        <v>2465642</v>
      </c>
      <c r="R26" s="183">
        <f>VLOOKUP(B26,Compensación!$B$6:$L$23,11,0)</f>
        <v>820444.19176722295</v>
      </c>
      <c r="S26" s="181">
        <f t="shared" si="4"/>
        <v>4214294.7512091706</v>
      </c>
      <c r="T26" s="194">
        <f t="shared" si="5"/>
        <v>4214295</v>
      </c>
      <c r="U26" s="158">
        <v>1362759</v>
      </c>
      <c r="V26" s="159">
        <f t="shared" si="6"/>
        <v>2851536</v>
      </c>
      <c r="W26" s="209">
        <f t="shared" si="7"/>
        <v>2851536</v>
      </c>
      <c r="X26" s="128" t="s">
        <v>25</v>
      </c>
      <c r="Y26" s="130">
        <v>857672</v>
      </c>
      <c r="Z26" s="126">
        <v>505087</v>
      </c>
      <c r="AA26" s="211">
        <f t="shared" si="8"/>
        <v>1760761</v>
      </c>
      <c r="AB26" s="229">
        <f t="shared" si="9"/>
        <v>1090775</v>
      </c>
      <c r="AC26" s="206"/>
      <c r="AD26" s="216"/>
      <c r="AE26" s="216"/>
      <c r="AF26" s="216"/>
      <c r="AG26" s="212"/>
      <c r="AH26" s="217">
        <f t="shared" si="10"/>
        <v>4214295</v>
      </c>
      <c r="AI26" s="218">
        <f t="shared" si="11"/>
        <v>5.4272717231209584E-2</v>
      </c>
      <c r="AJ26" s="206"/>
      <c r="AK26" s="143" t="str">
        <f t="shared" si="1"/>
        <v>ULA</v>
      </c>
      <c r="AL26" s="144" t="s">
        <v>214</v>
      </c>
      <c r="AN26" s="152"/>
    </row>
    <row r="27" spans="1:40" x14ac:dyDescent="0.25">
      <c r="A27" s="41" t="str">
        <f>Indicadores!A18</f>
        <v>UNIVERSIDAD DE MAGALLANES</v>
      </c>
      <c r="B27" s="62" t="s">
        <v>26</v>
      </c>
      <c r="C27" s="63" t="str">
        <f>Indicadores!C18</f>
        <v>CRUCH-ESTATAL</v>
      </c>
      <c r="D27" s="63" t="str">
        <f>Indicadores!D18</f>
        <v>Categoría II</v>
      </c>
      <c r="E27" s="40">
        <v>26019</v>
      </c>
      <c r="F27" s="40">
        <f t="shared" si="2"/>
        <v>26929.664999999997</v>
      </c>
      <c r="G27" s="64"/>
      <c r="H27" s="81">
        <f>IFERROR(VLOOKUP(B27,Tutoras!$C$33:$D$49,2,0),0)</f>
        <v>50000</v>
      </c>
      <c r="I27" s="65">
        <f>IFERROR(VLOOKUP(B27,Publicaciones!B15:E33,4,0),0)</f>
        <v>61097.101605119598</v>
      </c>
      <c r="J27" s="65">
        <f>IFERROR(VLOOKUP(B27,Acreditación!$B$3:$K$20,10,0),0)</f>
        <v>166307.19879283482</v>
      </c>
      <c r="K27" s="65">
        <f>IFERROR(VLOOKUP(B27,'Doctorado JC '!$B$2:$E$20,4,0),0)</f>
        <v>68942.499738865212</v>
      </c>
      <c r="L27" s="82">
        <f>IFERROR(VLOOKUP(B27,'Programas Doct. Acreditados '!$B$3:$G$20,6,0),0)</f>
        <v>29682.852828746181</v>
      </c>
      <c r="M27" s="65">
        <f>IFERROR(VLOOKUP(B27,'Académicos JC '!$B$3:$E$20,4,0),0)</f>
        <v>97491.160952313905</v>
      </c>
      <c r="N27" s="65">
        <f>IFERROR(VLOOKUP(B27,'Matrícula Regular Pre '!B16:E33,4,0),0)</f>
        <v>66333.088096899184</v>
      </c>
      <c r="O27" s="65">
        <f t="shared" si="3"/>
        <v>489853.90201477893</v>
      </c>
      <c r="P27" s="186">
        <f t="shared" si="0"/>
        <v>566783.56701477896</v>
      </c>
      <c r="Q27" s="115">
        <f>IFERROR(VLOOKUP(B27,Indicadores!$B$5:$AH$22,33,0),0)</f>
        <v>2135883</v>
      </c>
      <c r="R27" s="183">
        <f>VLOOKUP(B27,Compensación!$B$6:$L$23,11,0)</f>
        <v>1019763.7445402562</v>
      </c>
      <c r="S27" s="181">
        <f t="shared" si="4"/>
        <v>3722430.3115550354</v>
      </c>
      <c r="T27" s="194">
        <f t="shared" si="5"/>
        <v>3722430</v>
      </c>
      <c r="U27" s="158">
        <v>1206258</v>
      </c>
      <c r="V27" s="159">
        <f t="shared" si="6"/>
        <v>2516172</v>
      </c>
      <c r="W27" s="209">
        <f t="shared" si="7"/>
        <v>2516172</v>
      </c>
      <c r="X27" s="128" t="s">
        <v>26</v>
      </c>
      <c r="Y27" s="130">
        <v>759176</v>
      </c>
      <c r="Z27" s="126">
        <v>447082</v>
      </c>
      <c r="AA27" s="211">
        <f t="shared" si="8"/>
        <v>1553681</v>
      </c>
      <c r="AB27" s="229">
        <f t="shared" si="9"/>
        <v>962491</v>
      </c>
      <c r="AC27" s="206"/>
      <c r="AD27" s="216"/>
      <c r="AE27" s="216"/>
      <c r="AF27" s="216"/>
      <c r="AG27" s="212"/>
      <c r="AH27" s="217">
        <f t="shared" si="10"/>
        <v>3722430</v>
      </c>
      <c r="AI27" s="218">
        <f t="shared" si="11"/>
        <v>4.7938359987369533E-2</v>
      </c>
      <c r="AJ27" s="206"/>
      <c r="AK27" s="143" t="str">
        <f t="shared" si="1"/>
        <v>MAG</v>
      </c>
      <c r="AL27" s="144" t="s">
        <v>223</v>
      </c>
      <c r="AN27" s="152"/>
    </row>
    <row r="28" spans="1:40" x14ac:dyDescent="0.25">
      <c r="A28" s="41" t="str">
        <f>Indicadores!A19</f>
        <v>UNIVERSIDAD METROPOLITANA DE CS.DE LA EDUCACIÓN</v>
      </c>
      <c r="B28" s="62" t="s">
        <v>28</v>
      </c>
      <c r="C28" s="63" t="str">
        <f>Indicadores!C19</f>
        <v>CRUCH-ESTATAL</v>
      </c>
      <c r="D28" s="63" t="str">
        <f>Indicadores!D19</f>
        <v>Categoría II</v>
      </c>
      <c r="E28" s="40">
        <v>102885</v>
      </c>
      <c r="F28" s="40">
        <f t="shared" si="2"/>
        <v>106485.97499999999</v>
      </c>
      <c r="G28" s="64"/>
      <c r="H28" s="81">
        <f>IFERROR(VLOOKUP(B28,Tutoras!$C$33:$D$49,2,0),0)</f>
        <v>0</v>
      </c>
      <c r="I28" s="65">
        <f>IFERROR(VLOOKUP(B28,Publicaciones!B16:E34,4,0),0)</f>
        <v>35639.975936319766</v>
      </c>
      <c r="J28" s="65">
        <f>IFERROR(VLOOKUP(B28,Acreditación!$B$3:$K$20,10,0),0)</f>
        <v>45356.508761682227</v>
      </c>
      <c r="K28" s="65">
        <f>IFERROR(VLOOKUP(B28,'Doctorado JC '!$B$2:$E$20,4,0),0)</f>
        <v>68942.499738865212</v>
      </c>
      <c r="L28" s="82">
        <f>IFERROR(VLOOKUP(B28,'Programas Doct. Acreditados '!$B$3:$G$20,6,0),0)</f>
        <v>29682.852828746181</v>
      </c>
      <c r="M28" s="65">
        <f>IFERROR(VLOOKUP(B28,'Académicos JC '!$B$3:$E$20,4,0),0)</f>
        <v>91113.234534872812</v>
      </c>
      <c r="N28" s="65">
        <f>IFERROR(VLOOKUP(B28,'Matrícula Regular Pre '!B17:E34,4,0),0)</f>
        <v>71466.439041829362</v>
      </c>
      <c r="O28" s="65">
        <f t="shared" si="3"/>
        <v>342201.51084231556</v>
      </c>
      <c r="P28" s="186">
        <f t="shared" si="0"/>
        <v>448687.4858423156</v>
      </c>
      <c r="Q28" s="115">
        <f>IFERROR(VLOOKUP(B28,Indicadores!$B$5:$AH$22,33,0),0)</f>
        <v>1923634</v>
      </c>
      <c r="R28" s="183">
        <f>VLOOKUP(B28,Compensación!$B$6:$L$23,11,0)</f>
        <v>161068.68225764547</v>
      </c>
      <c r="S28" s="181">
        <f t="shared" si="4"/>
        <v>2533390.1680999608</v>
      </c>
      <c r="T28" s="194">
        <f t="shared" si="5"/>
        <v>2533390</v>
      </c>
      <c r="U28" s="158">
        <v>2261424</v>
      </c>
      <c r="V28" s="159">
        <f t="shared" si="6"/>
        <v>271966</v>
      </c>
      <c r="W28" s="209">
        <f t="shared" si="7"/>
        <v>271966</v>
      </c>
      <c r="X28" s="128" t="s">
        <v>28</v>
      </c>
      <c r="Y28" s="130">
        <v>1423260</v>
      </c>
      <c r="Z28" s="126">
        <v>838164</v>
      </c>
      <c r="AA28" s="211">
        <f t="shared" si="8"/>
        <v>167933</v>
      </c>
      <c r="AB28" s="229">
        <f t="shared" si="9"/>
        <v>104033</v>
      </c>
      <c r="AC28" s="206"/>
      <c r="AD28" s="219">
        <v>2922084</v>
      </c>
      <c r="AE28" s="219">
        <v>2372000</v>
      </c>
      <c r="AF28" s="219">
        <v>550084</v>
      </c>
      <c r="AG28" s="212"/>
      <c r="AH28" s="217">
        <f t="shared" si="10"/>
        <v>5455474</v>
      </c>
      <c r="AI28" s="218">
        <f t="shared" si="11"/>
        <v>7.0256922632187802E-2</v>
      </c>
      <c r="AJ28" s="206"/>
      <c r="AK28" s="143" t="str">
        <f t="shared" si="1"/>
        <v>UMC</v>
      </c>
      <c r="AL28" s="144" t="s">
        <v>211</v>
      </c>
      <c r="AN28" s="152"/>
    </row>
    <row r="29" spans="1:40" x14ac:dyDescent="0.25">
      <c r="A29" s="41" t="str">
        <f>Indicadores!A20</f>
        <v>UNIVERSIDAD TECNOLÓGICA METROPOLITANA</v>
      </c>
      <c r="B29" s="62" t="s">
        <v>29</v>
      </c>
      <c r="C29" s="63" t="str">
        <f>Indicadores!C20</f>
        <v>CRUCH-ESTATAL</v>
      </c>
      <c r="D29" s="63" t="str">
        <f>Indicadores!D20</f>
        <v>Categoría II</v>
      </c>
      <c r="E29" s="40">
        <v>52483</v>
      </c>
      <c r="F29" s="40">
        <f t="shared" si="2"/>
        <v>54319.904999999999</v>
      </c>
      <c r="G29" s="64"/>
      <c r="H29" s="81">
        <f>IFERROR(VLOOKUP(B29,Tutoras!$C$33:$D$49,2,0),0)</f>
        <v>0</v>
      </c>
      <c r="I29" s="65">
        <f>IFERROR(VLOOKUP(B29,Publicaciones!B17:E35,4,0),0)</f>
        <v>75692.520321898177</v>
      </c>
      <c r="J29" s="65">
        <f>IFERROR(VLOOKUP(B29,Acreditación!$B$3:$K$20,10,0),0)</f>
        <v>60475.345015576298</v>
      </c>
      <c r="K29" s="65">
        <f>IFERROR(VLOOKUP(B29,'Doctorado JC '!$B$2:$E$20,4,0),0)</f>
        <v>81108.823222194376</v>
      </c>
      <c r="L29" s="82">
        <f>IFERROR(VLOOKUP(B29,'Programas Doct. Acreditados '!$B$3:$G$20,6,0),0)</f>
        <v>29682.852828746181</v>
      </c>
      <c r="M29" s="65">
        <f>IFERROR(VLOOKUP(B29,'Académicos JC '!$B$3:$E$20,4,0),0)</f>
        <v>95668.89626161645</v>
      </c>
      <c r="N29" s="65">
        <f>IFERROR(VLOOKUP(B29,'Matrícula Regular Pre '!B18:E35,4,0),0)</f>
        <v>154710.45986156591</v>
      </c>
      <c r="O29" s="65">
        <f t="shared" si="3"/>
        <v>497338.89751159737</v>
      </c>
      <c r="P29" s="186">
        <f t="shared" si="0"/>
        <v>551658.8025115974</v>
      </c>
      <c r="Q29" s="115">
        <f>IFERROR(VLOOKUP(B29,Indicadores!$B$5:$AH$22,33,0),0)</f>
        <v>2501327</v>
      </c>
      <c r="R29" s="183">
        <f>VLOOKUP(B29,Compensación!$B$6:$L$23,11,0)</f>
        <v>0</v>
      </c>
      <c r="S29" s="181">
        <f t="shared" si="4"/>
        <v>3052985.8025115975</v>
      </c>
      <c r="T29" s="194">
        <f t="shared" si="5"/>
        <v>3052986</v>
      </c>
      <c r="U29" s="158">
        <v>740725</v>
      </c>
      <c r="V29" s="159">
        <f t="shared" si="6"/>
        <v>2312261</v>
      </c>
      <c r="W29" s="209">
        <f t="shared" si="7"/>
        <v>2312261</v>
      </c>
      <c r="X29" s="128" t="s">
        <v>29</v>
      </c>
      <c r="Y29" s="130">
        <v>466186</v>
      </c>
      <c r="Z29" s="126">
        <v>274539</v>
      </c>
      <c r="AA29" s="211">
        <f t="shared" si="8"/>
        <v>1427771</v>
      </c>
      <c r="AB29" s="229">
        <f t="shared" si="9"/>
        <v>884490</v>
      </c>
      <c r="AC29" s="206"/>
      <c r="AD29" s="216"/>
      <c r="AE29" s="216"/>
      <c r="AF29" s="216"/>
      <c r="AG29" s="212"/>
      <c r="AH29" s="217">
        <f t="shared" si="10"/>
        <v>3052986</v>
      </c>
      <c r="AI29" s="218">
        <f t="shared" si="11"/>
        <v>3.9317097139341603E-2</v>
      </c>
      <c r="AJ29" s="206"/>
      <c r="AK29" s="143" t="str">
        <f t="shared" si="1"/>
        <v>UTM</v>
      </c>
      <c r="AL29" s="144" t="s">
        <v>211</v>
      </c>
      <c r="AN29" s="152"/>
    </row>
    <row r="30" spans="1:40" x14ac:dyDescent="0.25">
      <c r="A30" s="41" t="s">
        <v>87</v>
      </c>
      <c r="B30" s="62" t="s">
        <v>88</v>
      </c>
      <c r="C30" s="63" t="s">
        <v>22</v>
      </c>
      <c r="D30" s="63" t="s">
        <v>91</v>
      </c>
      <c r="E30" s="40">
        <v>0</v>
      </c>
      <c r="F30" s="40">
        <f t="shared" si="2"/>
        <v>0</v>
      </c>
      <c r="G30" s="64"/>
      <c r="H30" s="81">
        <f>IFERROR(VLOOKUP(B30,Tutoras!$C$33:$D$49,2,0),0)</f>
        <v>0</v>
      </c>
      <c r="I30" s="65">
        <f>IFERROR(VLOOKUP(B30,Publicaciones!B18:E36,4,0),0)</f>
        <v>58381.674867114285</v>
      </c>
      <c r="J30" s="65">
        <f>IFERROR(VLOOKUP(B30,Acreditación!$B$3:$K$20,10,0),0)</f>
        <v>0</v>
      </c>
      <c r="K30" s="65">
        <f>IFERROR(VLOOKUP(B30,'Doctorado JC '!$B$2:$E$20,4,0),0)</f>
        <v>75431.205596640764</v>
      </c>
      <c r="L30" s="82">
        <f>IFERROR(VLOOKUP(B30,'Programas Doct. Acreditados '!$B$3:$G$20,6,0),0)</f>
        <v>0</v>
      </c>
      <c r="M30" s="65">
        <f>IFERROR(VLOOKUP(B30,'Académicos JC '!$B$3:$E$20,4,0),0)</f>
        <v>58768.036274992963</v>
      </c>
      <c r="N30" s="65">
        <f>IFERROR(VLOOKUP(B30,'Matrícula Regular Pre '!B19:E36,4,0),0)</f>
        <v>88705.032463279291</v>
      </c>
      <c r="O30" s="65">
        <f t="shared" si="3"/>
        <v>281285.94920202729</v>
      </c>
      <c r="P30" s="186">
        <f t="shared" si="0"/>
        <v>281285.94920202729</v>
      </c>
      <c r="Q30" s="115">
        <f>IFERROR(VLOOKUP(B30,Indicadores!$B$5:$AH$22,33,0),0)</f>
        <v>1148312</v>
      </c>
      <c r="R30" s="183">
        <f>VLOOKUP(B30,Compensación!$B$6:$L$23,11,0)</f>
        <v>384.88061666520434</v>
      </c>
      <c r="S30" s="181">
        <f t="shared" si="4"/>
        <v>1429982.8298186923</v>
      </c>
      <c r="T30" s="194">
        <f t="shared" si="5"/>
        <v>1429983</v>
      </c>
      <c r="U30" s="158">
        <v>658640</v>
      </c>
      <c r="V30" s="159">
        <f t="shared" si="6"/>
        <v>771343</v>
      </c>
      <c r="W30" s="209">
        <f t="shared" si="7"/>
        <v>771343</v>
      </c>
      <c r="X30" s="128" t="s">
        <v>88</v>
      </c>
      <c r="Y30" s="130">
        <v>414525</v>
      </c>
      <c r="Z30" s="126">
        <v>244115</v>
      </c>
      <c r="AA30" s="211">
        <f t="shared" si="8"/>
        <v>476287</v>
      </c>
      <c r="AB30" s="229">
        <f t="shared" si="9"/>
        <v>295056</v>
      </c>
      <c r="AC30" s="206"/>
      <c r="AD30" s="216"/>
      <c r="AE30" s="216"/>
      <c r="AF30" s="216"/>
      <c r="AG30" s="212"/>
      <c r="AH30" s="217">
        <f t="shared" si="10"/>
        <v>1429983</v>
      </c>
      <c r="AI30" s="218">
        <f t="shared" si="11"/>
        <v>1.8415669288561139E-2</v>
      </c>
      <c r="AJ30" s="206"/>
      <c r="AK30" s="143" t="str">
        <f t="shared" si="1"/>
        <v>URO</v>
      </c>
      <c r="AL30" s="144" t="s">
        <v>220</v>
      </c>
      <c r="AN30" s="152"/>
    </row>
    <row r="31" spans="1:40" ht="15.75" thickBot="1" x14ac:dyDescent="0.3">
      <c r="A31" s="66" t="s">
        <v>89</v>
      </c>
      <c r="B31" s="67" t="s">
        <v>90</v>
      </c>
      <c r="C31" s="68" t="s">
        <v>22</v>
      </c>
      <c r="D31" s="68" t="s">
        <v>91</v>
      </c>
      <c r="E31" s="69">
        <v>0</v>
      </c>
      <c r="F31" s="69">
        <f t="shared" si="2"/>
        <v>0</v>
      </c>
      <c r="G31" s="70"/>
      <c r="H31" s="81">
        <f>IFERROR(VLOOKUP(B31,Tutoras!$C$33:$D$49,2,0),0)</f>
        <v>0</v>
      </c>
      <c r="I31" s="71">
        <f>IFERROR(VLOOKUP(B31,Publicaciones!B19:E37,4,0),0)</f>
        <v>15613.703743530563</v>
      </c>
      <c r="J31" s="71">
        <f>IFERROR(VLOOKUP(B31,Acreditación!$B$3:$K$20,10,0),0)</f>
        <v>0</v>
      </c>
      <c r="K31" s="71">
        <f>IFERROR(VLOOKUP(B31,'Doctorado JC '!$B$2:$E$20,4,0),0)</f>
        <v>23521.558734436367</v>
      </c>
      <c r="L31" s="82">
        <f>IFERROR(VLOOKUP(B31,'Programas Doct. Acreditados '!$B$3:$G$20,6,0),0)</f>
        <v>0</v>
      </c>
      <c r="M31" s="71">
        <f>IFERROR(VLOOKUP(B31,'Académicos JC '!$B$3:$E$20,4,0),0)</f>
        <v>26422.838015113113</v>
      </c>
      <c r="N31" s="71">
        <f>IFERROR(VLOOKUP(B31,'Matrícula Regular Pre '!B20:E37,4,0),0)</f>
        <v>10994.836775666057</v>
      </c>
      <c r="O31" s="71">
        <f t="shared" si="3"/>
        <v>76552.9372687461</v>
      </c>
      <c r="P31" s="187">
        <f t="shared" si="0"/>
        <v>76552.9372687461</v>
      </c>
      <c r="Q31" s="115">
        <f>IFERROR(VLOOKUP(B31,Indicadores!$B$5:$AH$22,33,0),0)</f>
        <v>1275493</v>
      </c>
      <c r="R31" s="183">
        <f>VLOOKUP(B31,Compensación!$B$6:$L$23,11,0)</f>
        <v>525025.06673329161</v>
      </c>
      <c r="S31" s="181">
        <f t="shared" si="4"/>
        <v>1877071.0040020377</v>
      </c>
      <c r="T31" s="194">
        <f t="shared" si="5"/>
        <v>1877071</v>
      </c>
      <c r="U31" s="158">
        <v>598562</v>
      </c>
      <c r="V31" s="160">
        <f t="shared" si="6"/>
        <v>1278509</v>
      </c>
      <c r="W31" s="209">
        <f t="shared" si="7"/>
        <v>1278509</v>
      </c>
      <c r="X31" s="129" t="s">
        <v>90</v>
      </c>
      <c r="Y31" s="137">
        <v>376714</v>
      </c>
      <c r="Z31" s="138">
        <v>221848</v>
      </c>
      <c r="AA31" s="211">
        <f t="shared" si="8"/>
        <v>789451</v>
      </c>
      <c r="AB31" s="229">
        <f t="shared" si="9"/>
        <v>489058</v>
      </c>
      <c r="AC31" s="206"/>
      <c r="AD31" s="220"/>
      <c r="AE31" s="220"/>
      <c r="AF31" s="220"/>
      <c r="AG31" s="212"/>
      <c r="AH31" s="226">
        <f>T31+AD31</f>
        <v>1877071</v>
      </c>
      <c r="AI31" s="218">
        <f t="shared" si="11"/>
        <v>2.4173377422772684E-2</v>
      </c>
      <c r="AJ31" s="206"/>
      <c r="AK31" s="143" t="str">
        <f t="shared" si="1"/>
        <v>URY</v>
      </c>
      <c r="AL31" s="144" t="s">
        <v>221</v>
      </c>
      <c r="AN31" s="152"/>
    </row>
    <row r="32" spans="1:40" ht="15.75" thickBot="1" x14ac:dyDescent="0.3">
      <c r="A32" s="265" t="s">
        <v>138</v>
      </c>
      <c r="B32" s="266"/>
      <c r="C32" s="266"/>
      <c r="D32" s="267"/>
      <c r="E32" s="72">
        <f>SUM(E14:E31)</f>
        <v>4471499</v>
      </c>
      <c r="F32" s="72">
        <f t="shared" ref="F32:Q32" si="12">SUM(F14:F31)</f>
        <v>4628001.464999998</v>
      </c>
      <c r="G32" s="73">
        <f t="shared" si="12"/>
        <v>100000</v>
      </c>
      <c r="H32" s="74">
        <f t="shared" si="12"/>
        <v>700000</v>
      </c>
      <c r="I32" s="75">
        <f t="shared" si="12"/>
        <v>3235430.958333333</v>
      </c>
      <c r="J32" s="75">
        <f t="shared" si="12"/>
        <v>3235430.9583333321</v>
      </c>
      <c r="K32" s="75">
        <f t="shared" si="12"/>
        <v>3235430.9583333321</v>
      </c>
      <c r="L32" s="75">
        <f t="shared" si="12"/>
        <v>3235430.9583333344</v>
      </c>
      <c r="M32" s="75">
        <f t="shared" si="12"/>
        <v>3235430.9583333335</v>
      </c>
      <c r="N32" s="75">
        <f t="shared" si="12"/>
        <v>3235430.9583333326</v>
      </c>
      <c r="O32" s="75">
        <f t="shared" si="12"/>
        <v>19412585.749999996</v>
      </c>
      <c r="P32" s="188">
        <f t="shared" si="12"/>
        <v>24840587.215000004</v>
      </c>
      <c r="Q32" s="145">
        <f t="shared" si="12"/>
        <v>44840399</v>
      </c>
      <c r="R32" s="184">
        <f t="shared" ref="R32:W32" si="13">SUM(R14:R31)</f>
        <v>5047272.2949999999</v>
      </c>
      <c r="S32" s="182">
        <f t="shared" si="13"/>
        <v>74728258.510000005</v>
      </c>
      <c r="T32" s="195">
        <f t="shared" si="13"/>
        <v>74728257</v>
      </c>
      <c r="U32" s="161">
        <f t="shared" si="13"/>
        <v>29891303</v>
      </c>
      <c r="V32" s="162">
        <f t="shared" si="13"/>
        <v>44836954</v>
      </c>
      <c r="W32" s="210">
        <f t="shared" si="13"/>
        <v>44836954</v>
      </c>
      <c r="X32" s="125"/>
      <c r="Y32" s="119">
        <f>SUM(Y14:Y31)</f>
        <v>18812523</v>
      </c>
      <c r="Z32" s="119">
        <f>SUM(Z14:Z31)</f>
        <v>11078780</v>
      </c>
      <c r="AA32" s="164">
        <f>SUM(AA14:AA31)</f>
        <v>27685836</v>
      </c>
      <c r="AB32" s="164">
        <f>SUM(AB14:AB31)</f>
        <v>17151118</v>
      </c>
      <c r="AC32" s="206"/>
      <c r="AD32" s="221">
        <f t="shared" ref="AD32:AI32" si="14">SUM(AD14:AD31)</f>
        <v>2922084</v>
      </c>
      <c r="AE32" s="221">
        <f t="shared" si="14"/>
        <v>2372000</v>
      </c>
      <c r="AF32" s="221">
        <f t="shared" si="14"/>
        <v>550084</v>
      </c>
      <c r="AG32" s="212"/>
      <c r="AH32" s="227">
        <f>SUM(AH14:AH31)</f>
        <v>77650341</v>
      </c>
      <c r="AI32" s="222">
        <f t="shared" si="14"/>
        <v>0.99999999999999978</v>
      </c>
      <c r="AJ32" s="206"/>
      <c r="AK32" s="208"/>
    </row>
    <row r="33" spans="1:36" x14ac:dyDescent="0.25">
      <c r="AH33" s="133">
        <f>+D37-AH32</f>
        <v>2</v>
      </c>
    </row>
    <row r="34" spans="1:36" x14ac:dyDescent="0.25">
      <c r="E34" s="231" t="s">
        <v>173</v>
      </c>
      <c r="F34" s="231"/>
      <c r="G34" s="231"/>
      <c r="H34" s="231"/>
      <c r="I34" s="231"/>
      <c r="J34" s="231"/>
      <c r="K34" s="166"/>
      <c r="L34" s="232" t="s">
        <v>177</v>
      </c>
      <c r="T34"/>
      <c r="X34" s="153"/>
      <c r="Y34" s="110"/>
      <c r="AA34" s="124"/>
      <c r="AC34" s="154"/>
      <c r="AD34" s="154"/>
      <c r="AE34" s="154"/>
      <c r="AF34" s="154"/>
      <c r="AG34" s="154"/>
      <c r="AH34" s="154"/>
      <c r="AI34" s="154"/>
      <c r="AJ34" s="154"/>
    </row>
    <row r="35" spans="1:36" x14ac:dyDescent="0.25">
      <c r="E35" s="117" t="s">
        <v>142</v>
      </c>
      <c r="F35" s="117" t="s">
        <v>143</v>
      </c>
      <c r="G35" s="117" t="s">
        <v>144</v>
      </c>
      <c r="H35" s="117" t="s">
        <v>145</v>
      </c>
      <c r="I35" s="122" t="s">
        <v>141</v>
      </c>
      <c r="J35" s="120" t="s">
        <v>178</v>
      </c>
      <c r="K35" s="179" t="s">
        <v>268</v>
      </c>
      <c r="L35" s="232"/>
      <c r="T35"/>
      <c r="X35" s="153"/>
      <c r="Y35" s="110"/>
      <c r="AA35" s="124"/>
      <c r="AC35" s="154"/>
      <c r="AD35" s="154"/>
      <c r="AE35" s="154"/>
      <c r="AF35" s="154"/>
      <c r="AG35" s="154"/>
      <c r="AH35" s="154"/>
      <c r="AI35" s="154"/>
      <c r="AJ35" s="154"/>
    </row>
    <row r="36" spans="1:36" ht="27.75" customHeight="1" x14ac:dyDescent="0.25">
      <c r="A36" s="86" t="s">
        <v>97</v>
      </c>
      <c r="B36" s="90" t="s">
        <v>136</v>
      </c>
      <c r="C36" s="90" t="s">
        <v>137</v>
      </c>
      <c r="D36" s="90" t="s">
        <v>234</v>
      </c>
      <c r="E36" s="118" t="s">
        <v>128</v>
      </c>
      <c r="F36" s="118" t="s">
        <v>95</v>
      </c>
      <c r="G36" s="118" t="s">
        <v>96</v>
      </c>
      <c r="H36" s="118" t="s">
        <v>98</v>
      </c>
      <c r="I36" s="123" t="s">
        <v>76</v>
      </c>
      <c r="J36" s="121" t="s">
        <v>77</v>
      </c>
      <c r="K36" s="180" t="s">
        <v>267</v>
      </c>
      <c r="L36" s="116" t="s">
        <v>314</v>
      </c>
      <c r="O36" s="39"/>
      <c r="P36" s="39"/>
      <c r="Q36" s="39"/>
      <c r="R36" s="39"/>
      <c r="T36"/>
      <c r="X36" s="153"/>
      <c r="Y36" s="110"/>
      <c r="AA36" s="124"/>
      <c r="AC36" s="154"/>
      <c r="AD36" s="154"/>
      <c r="AE36" s="154"/>
      <c r="AF36" s="154"/>
      <c r="AG36" s="154"/>
      <c r="AH36" s="154"/>
      <c r="AI36" s="154"/>
      <c r="AJ36" s="154"/>
    </row>
    <row r="37" spans="1:36" x14ac:dyDescent="0.25">
      <c r="A37" s="41" t="s">
        <v>171</v>
      </c>
      <c r="B37" s="21">
        <v>48870361</v>
      </c>
      <c r="C37" s="21">
        <v>28779982</v>
      </c>
      <c r="D37" s="21">
        <f>B37+C37</f>
        <v>77650343</v>
      </c>
      <c r="E37" s="21">
        <f>F32</f>
        <v>4628001.464999998</v>
      </c>
      <c r="F37" s="21">
        <f>G32</f>
        <v>100000</v>
      </c>
      <c r="G37" s="21">
        <f>H32</f>
        <v>700000</v>
      </c>
      <c r="H37" s="21">
        <f>O32</f>
        <v>19412585.749999996</v>
      </c>
      <c r="I37" s="21">
        <f>P32</f>
        <v>24840587.215000004</v>
      </c>
      <c r="J37" s="21">
        <f>D37-I37-L37-K37</f>
        <v>44840399.489999995</v>
      </c>
      <c r="K37" s="21">
        <f>R32</f>
        <v>5047272.2949999999</v>
      </c>
      <c r="L37" s="21">
        <v>2922084</v>
      </c>
      <c r="S37" s="37"/>
      <c r="T37"/>
      <c r="X37" s="163"/>
      <c r="Y37" s="110"/>
      <c r="AA37" s="124"/>
      <c r="AC37" s="154"/>
      <c r="AD37" s="154"/>
      <c r="AE37" s="154"/>
      <c r="AF37" s="154"/>
      <c r="AG37" s="154"/>
      <c r="AH37" s="154"/>
      <c r="AI37" s="154"/>
      <c r="AJ37" s="154"/>
    </row>
    <row r="38" spans="1:36" x14ac:dyDescent="0.25">
      <c r="D38" s="113">
        <f>+D37-L37</f>
        <v>74728259</v>
      </c>
      <c r="Q38" s="37"/>
      <c r="R38" s="37"/>
    </row>
    <row r="39" spans="1:36" x14ac:dyDescent="0.25">
      <c r="D39" s="133">
        <f>D37-D38</f>
        <v>2922084</v>
      </c>
      <c r="K39" s="18"/>
      <c r="Q39" s="37"/>
      <c r="R39" s="37"/>
    </row>
    <row r="40" spans="1:36" x14ac:dyDescent="0.25">
      <c r="A40" s="19" t="s">
        <v>172</v>
      </c>
      <c r="B40" s="21">
        <f>25%*D37</f>
        <v>19412585.75</v>
      </c>
      <c r="Q40" s="37"/>
      <c r="R40" s="37"/>
    </row>
    <row r="41" spans="1:36" x14ac:dyDescent="0.25">
      <c r="A41" s="19" t="s">
        <v>92</v>
      </c>
      <c r="B41" s="20">
        <v>3.5000000000000003E-2</v>
      </c>
      <c r="Q41" s="37"/>
      <c r="R41" s="37"/>
    </row>
    <row r="42" spans="1:36" x14ac:dyDescent="0.25">
      <c r="A42" s="19" t="s">
        <v>313</v>
      </c>
      <c r="B42" s="21">
        <f>D37*0.065</f>
        <v>5047272.2949999999</v>
      </c>
      <c r="Q42" s="37"/>
      <c r="R42" s="37"/>
    </row>
    <row r="43" spans="1:36" x14ac:dyDescent="0.25">
      <c r="A43" s="2"/>
      <c r="Q43" s="37"/>
      <c r="R43" s="37"/>
    </row>
    <row r="44" spans="1:36" x14ac:dyDescent="0.25">
      <c r="Q44" s="37"/>
      <c r="R44" s="37"/>
    </row>
    <row r="45" spans="1:36" ht="25.5" x14ac:dyDescent="0.25">
      <c r="B45" s="147" t="s">
        <v>136</v>
      </c>
      <c r="C45" s="147" t="s">
        <v>137</v>
      </c>
      <c r="Q45" s="37"/>
      <c r="R45" s="37"/>
    </row>
    <row r="46" spans="1:36" x14ac:dyDescent="0.25">
      <c r="A46" s="139" t="s">
        <v>317</v>
      </c>
      <c r="B46" s="148">
        <f>+Y32</f>
        <v>18812523</v>
      </c>
      <c r="C46" s="148">
        <f>+Z32</f>
        <v>11078780</v>
      </c>
      <c r="D46" s="146">
        <f>+C46+B46</f>
        <v>29891303</v>
      </c>
      <c r="Q46" s="37"/>
      <c r="R46" s="37"/>
    </row>
    <row r="47" spans="1:36" x14ac:dyDescent="0.25">
      <c r="A47" s="139" t="s">
        <v>228</v>
      </c>
      <c r="B47" s="149">
        <v>2372000</v>
      </c>
      <c r="C47" s="149">
        <v>550084</v>
      </c>
      <c r="D47" s="133">
        <f>+C47+B47</f>
        <v>2922084</v>
      </c>
      <c r="Q47" s="37"/>
      <c r="R47" s="37"/>
    </row>
    <row r="48" spans="1:36" x14ac:dyDescent="0.25">
      <c r="A48" s="139" t="s">
        <v>318</v>
      </c>
      <c r="B48" s="150">
        <f>+B37-B47-B46</f>
        <v>27685838</v>
      </c>
      <c r="C48" s="150">
        <f>+C37-C47-C46</f>
        <v>17151118</v>
      </c>
      <c r="D48" s="133">
        <f>+C48+B48</f>
        <v>44836956</v>
      </c>
      <c r="Q48" s="37"/>
      <c r="R48" s="37"/>
    </row>
    <row r="49" spans="1:18" x14ac:dyDescent="0.25">
      <c r="A49" t="s">
        <v>229</v>
      </c>
      <c r="B49" s="151">
        <f>+B48/D48</f>
        <v>0.61747809106398743</v>
      </c>
      <c r="C49" s="151">
        <f>+C48/D48</f>
        <v>0.38252190893601251</v>
      </c>
      <c r="Q49" s="37"/>
      <c r="R49" s="37"/>
    </row>
    <row r="50" spans="1:18" x14ac:dyDescent="0.25">
      <c r="A50" s="139" t="s">
        <v>230</v>
      </c>
      <c r="B50" s="148">
        <f>+AA32</f>
        <v>27685836</v>
      </c>
      <c r="C50" s="148">
        <f>+AB32</f>
        <v>17151118</v>
      </c>
      <c r="D50" s="146">
        <f>+C50+B50</f>
        <v>44836954</v>
      </c>
      <c r="Q50" s="37"/>
      <c r="R50" s="37"/>
    </row>
    <row r="51" spans="1:18" x14ac:dyDescent="0.25">
      <c r="A51" s="139" t="s">
        <v>231</v>
      </c>
      <c r="B51" s="148">
        <f>+B48-B50</f>
        <v>2</v>
      </c>
      <c r="C51" s="148">
        <f>+C48-C50</f>
        <v>0</v>
      </c>
      <c r="Q51" s="37"/>
      <c r="R51" s="37"/>
    </row>
    <row r="52" spans="1:18" x14ac:dyDescent="0.25">
      <c r="D52" s="133">
        <f>+D46+D47+D50</f>
        <v>77650341</v>
      </c>
      <c r="Q52" s="37"/>
      <c r="R52" s="37"/>
    </row>
    <row r="53" spans="1:18" x14ac:dyDescent="0.25">
      <c r="Q53" s="37"/>
      <c r="R53" s="37"/>
    </row>
    <row r="54" spans="1:18" x14ac:dyDescent="0.25">
      <c r="Q54" s="37"/>
      <c r="R54" s="37"/>
    </row>
    <row r="55" spans="1:18" x14ac:dyDescent="0.25">
      <c r="Q55" s="37"/>
      <c r="R55" s="37"/>
    </row>
  </sheetData>
  <mergeCells count="37">
    <mergeCell ref="AE11:AF11"/>
    <mergeCell ref="AH11:AH13"/>
    <mergeCell ref="AI11:AI13"/>
    <mergeCell ref="AE12:AE13"/>
    <mergeCell ref="AF12:AF13"/>
    <mergeCell ref="A32:D32"/>
    <mergeCell ref="AK11:AK13"/>
    <mergeCell ref="E10:AB10"/>
    <mergeCell ref="A11:A13"/>
    <mergeCell ref="B11:B13"/>
    <mergeCell ref="C11:C13"/>
    <mergeCell ref="D11:D13"/>
    <mergeCell ref="E12:F12"/>
    <mergeCell ref="T11:T13"/>
    <mergeCell ref="U11:U12"/>
    <mergeCell ref="V11:W12"/>
    <mergeCell ref="X11:X13"/>
    <mergeCell ref="Y11:Z11"/>
    <mergeCell ref="AD10:AF10"/>
    <mergeCell ref="AH10:AI10"/>
    <mergeCell ref="AD11:AD13"/>
    <mergeCell ref="AL11:AL13"/>
    <mergeCell ref="E34:J34"/>
    <mergeCell ref="L34:L35"/>
    <mergeCell ref="E11:O11"/>
    <mergeCell ref="I12:O12"/>
    <mergeCell ref="H12:H13"/>
    <mergeCell ref="G12:G13"/>
    <mergeCell ref="Q11:Q13"/>
    <mergeCell ref="P11:P13"/>
    <mergeCell ref="AA11:AB11"/>
    <mergeCell ref="Y12:Y13"/>
    <mergeCell ref="Z12:Z13"/>
    <mergeCell ref="AA12:AA13"/>
    <mergeCell ref="R11:R13"/>
    <mergeCell ref="AB12:AB13"/>
    <mergeCell ref="S11:S13"/>
  </mergeCells>
  <phoneticPr fontId="18" type="noConversion"/>
  <printOptions horizontalCentered="1"/>
  <pageMargins left="0.31496062992125984" right="0.31496062992125984" top="0.35433070866141736" bottom="0.15748031496062992" header="0.31496062992125984" footer="0.31496062992125984"/>
  <pageSetup paperSize="14" scale="75" orientation="landscape" r:id="rId1"/>
  <headerFooter>
    <oddFooter>&amp;A&amp;RPágina &amp;P</oddFooter>
  </headerFooter>
  <rowBreaks count="1" manualBreakCount="1">
    <brk id="39" max="16383" man="1"/>
  </rowBreaks>
  <colBreaks count="2" manualBreakCount="2">
    <brk id="8" max="31" man="1"/>
    <brk id="19" max="31" man="1"/>
  </colBreaks>
  <ignoredErrors>
    <ignoredError sqref="J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AA38"/>
  <sheetViews>
    <sheetView topLeftCell="D1" zoomScale="90" zoomScaleNormal="90" workbookViewId="0">
      <selection activeCell="B33" sqref="B33"/>
    </sheetView>
  </sheetViews>
  <sheetFormatPr baseColWidth="10" defaultRowHeight="15" x14ac:dyDescent="0.25"/>
  <cols>
    <col min="1" max="1" width="47" customWidth="1"/>
    <col min="2" max="2" width="14.140625" customWidth="1"/>
    <col min="3" max="3" width="11.28515625" customWidth="1"/>
    <col min="4" max="25" width="7.7109375" customWidth="1"/>
    <col min="26" max="26" width="11.28515625" customWidth="1"/>
    <col min="27" max="27" width="23.42578125" bestFit="1" customWidth="1"/>
  </cols>
  <sheetData>
    <row r="1" spans="1:27" x14ac:dyDescent="0.25">
      <c r="A1" s="17" t="s">
        <v>139</v>
      </c>
      <c r="B1" s="87">
        <v>1</v>
      </c>
      <c r="C1" s="87">
        <v>2</v>
      </c>
      <c r="D1" s="87">
        <v>3</v>
      </c>
      <c r="E1" s="87">
        <v>4</v>
      </c>
      <c r="F1" s="87">
        <v>5</v>
      </c>
      <c r="G1" s="87">
        <v>6</v>
      </c>
      <c r="H1" s="87">
        <v>7</v>
      </c>
      <c r="I1" s="87">
        <v>8</v>
      </c>
      <c r="J1" s="87">
        <v>9</v>
      </c>
      <c r="K1" s="87">
        <v>10</v>
      </c>
      <c r="L1" s="87">
        <v>11</v>
      </c>
      <c r="M1" s="87">
        <v>12</v>
      </c>
      <c r="N1" s="87">
        <v>13</v>
      </c>
      <c r="O1" s="87">
        <v>14</v>
      </c>
      <c r="P1" s="87">
        <v>15</v>
      </c>
      <c r="Q1" s="87">
        <v>16</v>
      </c>
      <c r="R1" s="87">
        <v>17</v>
      </c>
      <c r="S1" s="87">
        <v>18</v>
      </c>
      <c r="T1" s="87">
        <v>19</v>
      </c>
      <c r="U1" s="87">
        <v>20</v>
      </c>
      <c r="V1" s="87">
        <v>21</v>
      </c>
      <c r="W1" s="87">
        <v>22</v>
      </c>
      <c r="X1" s="87">
        <v>23</v>
      </c>
      <c r="Y1" s="87">
        <v>24</v>
      </c>
      <c r="Z1" s="87">
        <v>25</v>
      </c>
      <c r="AA1" s="87">
        <v>26</v>
      </c>
    </row>
    <row r="2" spans="1:27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</row>
    <row r="3" spans="1:27" s="89" customFormat="1" ht="25.5" customHeight="1" x14ac:dyDescent="0.25">
      <c r="D3" s="317" t="s">
        <v>131</v>
      </c>
      <c r="E3" s="317"/>
      <c r="F3" s="317"/>
      <c r="G3" s="317"/>
      <c r="H3" s="317"/>
      <c r="I3" s="317"/>
      <c r="J3" s="317"/>
      <c r="K3" s="317"/>
      <c r="L3" s="317" t="s">
        <v>132</v>
      </c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</row>
    <row r="4" spans="1:27" ht="39" customHeight="1" x14ac:dyDescent="0.25">
      <c r="A4" s="23" t="s">
        <v>11</v>
      </c>
      <c r="B4" s="23" t="s">
        <v>1</v>
      </c>
      <c r="C4" s="23" t="s">
        <v>21</v>
      </c>
      <c r="D4" s="92">
        <v>2</v>
      </c>
      <c r="E4" s="92">
        <v>3</v>
      </c>
      <c r="F4" s="92">
        <v>4</v>
      </c>
      <c r="G4" s="92">
        <v>5</v>
      </c>
      <c r="H4" s="92">
        <v>6</v>
      </c>
      <c r="I4" s="92">
        <v>7</v>
      </c>
      <c r="J4" s="92">
        <v>9</v>
      </c>
      <c r="K4" s="93" t="s">
        <v>37</v>
      </c>
      <c r="L4" s="96">
        <v>2</v>
      </c>
      <c r="M4" s="96">
        <v>3</v>
      </c>
      <c r="N4" s="96">
        <v>4</v>
      </c>
      <c r="O4" s="96">
        <v>5</v>
      </c>
      <c r="P4" s="96">
        <v>6</v>
      </c>
      <c r="Q4" s="96">
        <v>7</v>
      </c>
      <c r="R4" s="96">
        <v>8</v>
      </c>
      <c r="S4" s="96">
        <v>9</v>
      </c>
      <c r="T4" s="96">
        <v>10</v>
      </c>
      <c r="U4" s="97" t="s">
        <v>133</v>
      </c>
      <c r="V4" s="100" t="s">
        <v>134</v>
      </c>
      <c r="W4" s="100" t="s">
        <v>135</v>
      </c>
      <c r="X4" s="100" t="s">
        <v>38</v>
      </c>
      <c r="Y4" s="101" t="s">
        <v>264</v>
      </c>
      <c r="Z4" s="102" t="s">
        <v>39</v>
      </c>
      <c r="AA4" s="102" t="s">
        <v>69</v>
      </c>
    </row>
    <row r="5" spans="1:27" x14ac:dyDescent="0.25">
      <c r="A5" s="1" t="s">
        <v>12</v>
      </c>
      <c r="B5" s="1" t="s">
        <v>2</v>
      </c>
      <c r="C5" s="3" t="s">
        <v>22</v>
      </c>
      <c r="D5" s="94">
        <v>0</v>
      </c>
      <c r="E5" s="94">
        <v>0</v>
      </c>
      <c r="F5" s="94">
        <v>0</v>
      </c>
      <c r="G5" s="94">
        <v>1</v>
      </c>
      <c r="H5" s="94">
        <v>1</v>
      </c>
      <c r="I5" s="94">
        <v>1</v>
      </c>
      <c r="J5" s="94">
        <v>0</v>
      </c>
      <c r="K5" s="95">
        <f t="shared" ref="K5:K22" si="0">SUM(D5:J5)</f>
        <v>3</v>
      </c>
      <c r="L5" s="98">
        <v>1</v>
      </c>
      <c r="M5" s="98">
        <v>7</v>
      </c>
      <c r="N5" s="98">
        <v>6</v>
      </c>
      <c r="O5" s="98">
        <v>8</v>
      </c>
      <c r="P5" s="98">
        <v>3</v>
      </c>
      <c r="Q5" s="98">
        <v>8</v>
      </c>
      <c r="R5" s="98">
        <v>4</v>
      </c>
      <c r="S5" s="98">
        <v>0</v>
      </c>
      <c r="T5" s="98">
        <v>1</v>
      </c>
      <c r="U5" s="99">
        <f>SUM(L5:T5)</f>
        <v>38</v>
      </c>
      <c r="V5" s="103">
        <f>K5+U5</f>
        <v>41</v>
      </c>
      <c r="W5" s="103">
        <f>SUM(G5:J5)</f>
        <v>3</v>
      </c>
      <c r="X5" s="103">
        <f>U5+W5</f>
        <v>41</v>
      </c>
      <c r="Y5" s="104">
        <f>VLOOKUP(B5,Publicaciones!$B$3:$C$20,2,0)</f>
        <v>2822</v>
      </c>
      <c r="Z5" s="105" t="str">
        <f>IF(AND(X5&gt;=10,Y5&gt;=300),"Categoría I",IF(AND(X5&gt;=1,Y5&gt;=100),"Categoría II","Categoría III"))</f>
        <v>Categoría I</v>
      </c>
      <c r="AA5" s="105" t="str">
        <f t="shared" ref="AA5:AA22" si="1">CONCATENATE(C5,Z5)</f>
        <v>CRUCH-ESTATALCategoría I</v>
      </c>
    </row>
    <row r="6" spans="1:27" x14ac:dyDescent="0.25">
      <c r="A6" s="1" t="s">
        <v>13</v>
      </c>
      <c r="B6" s="1" t="s">
        <v>3</v>
      </c>
      <c r="C6" s="3" t="s">
        <v>22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1</v>
      </c>
      <c r="J6" s="94">
        <v>0</v>
      </c>
      <c r="K6" s="95">
        <f t="shared" si="0"/>
        <v>1</v>
      </c>
      <c r="L6" s="98">
        <v>0</v>
      </c>
      <c r="M6" s="98">
        <v>1</v>
      </c>
      <c r="N6" s="98">
        <v>0</v>
      </c>
      <c r="O6" s="98">
        <v>5</v>
      </c>
      <c r="P6" s="98">
        <v>4</v>
      </c>
      <c r="Q6" s="98">
        <v>0</v>
      </c>
      <c r="R6" s="98">
        <v>1</v>
      </c>
      <c r="S6" s="98">
        <v>1</v>
      </c>
      <c r="T6" s="98">
        <v>0</v>
      </c>
      <c r="U6" s="99">
        <f t="shared" ref="U6:U22" si="2">SUM(L6:T6)</f>
        <v>12</v>
      </c>
      <c r="V6" s="103">
        <f t="shared" ref="V6:V20" si="3">K6+U6</f>
        <v>13</v>
      </c>
      <c r="W6" s="103">
        <f t="shared" ref="W6:W22" si="4">SUM(G6:J6)</f>
        <v>1</v>
      </c>
      <c r="X6" s="103">
        <f t="shared" ref="X6:X20" si="5">U6+W6</f>
        <v>13</v>
      </c>
      <c r="Y6" s="104">
        <f>VLOOKUP(B6,Publicaciones!$B$3:$C$20,2,0)</f>
        <v>1172</v>
      </c>
      <c r="Z6" s="105" t="str">
        <f t="shared" ref="Z6:Z22" si="6">IF(AND(X6&gt;=10,Y6&gt;=300),"Categoría I",IF(AND(X6&gt;=1,Y6&gt;=100),"Categoría II","Categoría III"))</f>
        <v>Categoría I</v>
      </c>
      <c r="AA6" s="105" t="str">
        <f t="shared" si="1"/>
        <v>CRUCH-ESTATALCategoría I</v>
      </c>
    </row>
    <row r="7" spans="1:27" x14ac:dyDescent="0.25">
      <c r="A7" s="1" t="s">
        <v>19</v>
      </c>
      <c r="B7" s="1" t="s">
        <v>9</v>
      </c>
      <c r="C7" s="3" t="s">
        <v>22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5">
        <f t="shared" si="0"/>
        <v>0</v>
      </c>
      <c r="L7" s="98">
        <v>0</v>
      </c>
      <c r="M7" s="98">
        <v>1</v>
      </c>
      <c r="N7" s="98">
        <v>2</v>
      </c>
      <c r="O7" s="98">
        <v>0</v>
      </c>
      <c r="P7" s="98">
        <v>0</v>
      </c>
      <c r="Q7" s="98">
        <v>0</v>
      </c>
      <c r="R7" s="98">
        <v>1</v>
      </c>
      <c r="S7" s="98">
        <v>0</v>
      </c>
      <c r="T7" s="98">
        <v>0</v>
      </c>
      <c r="U7" s="99">
        <f t="shared" si="2"/>
        <v>4</v>
      </c>
      <c r="V7" s="103">
        <f t="shared" si="3"/>
        <v>4</v>
      </c>
      <c r="W7" s="103">
        <f t="shared" si="4"/>
        <v>0</v>
      </c>
      <c r="X7" s="103">
        <f t="shared" si="5"/>
        <v>4</v>
      </c>
      <c r="Y7" s="104">
        <f>VLOOKUP(B7,Publicaciones!$B$3:$C$20,2,0)</f>
        <v>380</v>
      </c>
      <c r="Z7" s="105" t="str">
        <f t="shared" si="6"/>
        <v>Categoría II</v>
      </c>
      <c r="AA7" s="105" t="str">
        <f t="shared" si="1"/>
        <v>CRUCH-ESTATALCategoría II</v>
      </c>
    </row>
    <row r="8" spans="1:27" x14ac:dyDescent="0.25">
      <c r="A8" s="1" t="s">
        <v>16</v>
      </c>
      <c r="B8" s="1" t="s">
        <v>6</v>
      </c>
      <c r="C8" s="3" t="s">
        <v>22</v>
      </c>
      <c r="D8" s="94">
        <v>1</v>
      </c>
      <c r="E8" s="94">
        <v>1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5">
        <f t="shared" si="0"/>
        <v>2</v>
      </c>
      <c r="L8" s="98">
        <v>0</v>
      </c>
      <c r="M8" s="98">
        <v>3</v>
      </c>
      <c r="N8" s="98">
        <v>0</v>
      </c>
      <c r="O8" s="98">
        <v>2</v>
      </c>
      <c r="P8" s="98">
        <v>2</v>
      </c>
      <c r="Q8" s="98">
        <v>1</v>
      </c>
      <c r="R8" s="98">
        <v>1</v>
      </c>
      <c r="S8" s="98">
        <v>0</v>
      </c>
      <c r="T8" s="98">
        <v>0</v>
      </c>
      <c r="U8" s="99">
        <f t="shared" si="2"/>
        <v>9</v>
      </c>
      <c r="V8" s="103">
        <f t="shared" si="3"/>
        <v>11</v>
      </c>
      <c r="W8" s="103">
        <f t="shared" si="4"/>
        <v>0</v>
      </c>
      <c r="X8" s="103">
        <f t="shared" si="5"/>
        <v>9</v>
      </c>
      <c r="Y8" s="104">
        <f>VLOOKUP(B8,Publicaciones!$B$3:$C$20,2,0)</f>
        <v>887</v>
      </c>
      <c r="Z8" s="105" t="str">
        <f t="shared" si="6"/>
        <v>Categoría II</v>
      </c>
      <c r="AA8" s="105" t="str">
        <f t="shared" si="1"/>
        <v>CRUCH-ESTATALCategoría II</v>
      </c>
    </row>
    <row r="9" spans="1:27" x14ac:dyDescent="0.25">
      <c r="A9" s="1" t="s">
        <v>15</v>
      </c>
      <c r="B9" s="1" t="s">
        <v>5</v>
      </c>
      <c r="C9" s="3" t="s">
        <v>22</v>
      </c>
      <c r="D9" s="94">
        <v>0</v>
      </c>
      <c r="E9" s="94">
        <v>1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5">
        <f t="shared" si="0"/>
        <v>1</v>
      </c>
      <c r="L9" s="98">
        <v>0</v>
      </c>
      <c r="M9" s="98">
        <v>6</v>
      </c>
      <c r="N9" s="98">
        <v>0</v>
      </c>
      <c r="O9" s="98">
        <v>2</v>
      </c>
      <c r="P9" s="98">
        <v>1</v>
      </c>
      <c r="Q9" s="98">
        <v>2</v>
      </c>
      <c r="R9" s="98">
        <v>0</v>
      </c>
      <c r="S9" s="98">
        <v>0</v>
      </c>
      <c r="T9" s="98">
        <v>0</v>
      </c>
      <c r="U9" s="99">
        <f t="shared" si="2"/>
        <v>11</v>
      </c>
      <c r="V9" s="103">
        <f t="shared" si="3"/>
        <v>12</v>
      </c>
      <c r="W9" s="103">
        <f t="shared" si="4"/>
        <v>0</v>
      </c>
      <c r="X9" s="103">
        <f t="shared" si="5"/>
        <v>11</v>
      </c>
      <c r="Y9" s="104">
        <f>VLOOKUP(B9,Publicaciones!$B$3:$C$20,2,0)</f>
        <v>725</v>
      </c>
      <c r="Z9" s="105" t="str">
        <f t="shared" si="6"/>
        <v>Categoría I</v>
      </c>
      <c r="AA9" s="105" t="str">
        <f t="shared" si="1"/>
        <v>CRUCH-ESTATALCategoría I</v>
      </c>
    </row>
    <row r="10" spans="1:27" x14ac:dyDescent="0.25">
      <c r="A10" s="1" t="s">
        <v>20</v>
      </c>
      <c r="B10" s="1" t="s">
        <v>10</v>
      </c>
      <c r="C10" s="3" t="s">
        <v>22</v>
      </c>
      <c r="D10" s="94">
        <v>0</v>
      </c>
      <c r="E10" s="94">
        <v>1</v>
      </c>
      <c r="F10" s="94">
        <v>0</v>
      </c>
      <c r="G10" s="94">
        <v>1</v>
      </c>
      <c r="H10" s="94">
        <v>0</v>
      </c>
      <c r="I10" s="94">
        <v>0</v>
      </c>
      <c r="J10" s="94">
        <v>0</v>
      </c>
      <c r="K10" s="95">
        <f t="shared" si="0"/>
        <v>2</v>
      </c>
      <c r="L10" s="98">
        <v>0</v>
      </c>
      <c r="M10" s="98">
        <v>4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9">
        <f t="shared" si="2"/>
        <v>4</v>
      </c>
      <c r="V10" s="103">
        <f t="shared" si="3"/>
        <v>6</v>
      </c>
      <c r="W10" s="103">
        <f t="shared" si="4"/>
        <v>1</v>
      </c>
      <c r="X10" s="103">
        <f t="shared" si="5"/>
        <v>5</v>
      </c>
      <c r="Y10" s="104">
        <f>VLOOKUP(B10,Publicaciones!$B$3:$C$20,2,0)</f>
        <v>555</v>
      </c>
      <c r="Z10" s="105" t="str">
        <f t="shared" si="6"/>
        <v>Categoría II</v>
      </c>
      <c r="AA10" s="105" t="str">
        <f t="shared" si="1"/>
        <v>CRUCH-ESTATALCategoría II</v>
      </c>
    </row>
    <row r="11" spans="1:27" x14ac:dyDescent="0.25">
      <c r="A11" s="1" t="s">
        <v>14</v>
      </c>
      <c r="B11" s="1" t="s">
        <v>4</v>
      </c>
      <c r="C11" s="3" t="s">
        <v>22</v>
      </c>
      <c r="D11" s="94">
        <v>0</v>
      </c>
      <c r="E11" s="94">
        <v>0</v>
      </c>
      <c r="F11" s="94">
        <v>1</v>
      </c>
      <c r="G11" s="94">
        <v>0</v>
      </c>
      <c r="H11" s="94">
        <v>1</v>
      </c>
      <c r="I11" s="94">
        <v>0</v>
      </c>
      <c r="J11" s="94">
        <v>0</v>
      </c>
      <c r="K11" s="95">
        <f t="shared" si="0"/>
        <v>2</v>
      </c>
      <c r="L11" s="98">
        <v>0</v>
      </c>
      <c r="M11" s="98">
        <v>4</v>
      </c>
      <c r="N11" s="98">
        <v>1</v>
      </c>
      <c r="O11" s="98">
        <v>1</v>
      </c>
      <c r="P11" s="98">
        <v>0</v>
      </c>
      <c r="Q11" s="98">
        <v>2</v>
      </c>
      <c r="R11" s="98">
        <v>0</v>
      </c>
      <c r="S11" s="98">
        <v>0</v>
      </c>
      <c r="T11" s="98">
        <v>0</v>
      </c>
      <c r="U11" s="99">
        <f t="shared" si="2"/>
        <v>8</v>
      </c>
      <c r="V11" s="103">
        <f t="shared" si="3"/>
        <v>10</v>
      </c>
      <c r="W11" s="103">
        <f t="shared" si="4"/>
        <v>1</v>
      </c>
      <c r="X11" s="103">
        <f t="shared" si="5"/>
        <v>9</v>
      </c>
      <c r="Y11" s="104">
        <f>VLOOKUP(B11,Publicaciones!$B$3:$C$20,2,0)</f>
        <v>693</v>
      </c>
      <c r="Z11" s="105" t="str">
        <f t="shared" si="6"/>
        <v>Categoría II</v>
      </c>
      <c r="AA11" s="105" t="str">
        <f t="shared" si="1"/>
        <v>CRUCH-ESTATALCategoría II</v>
      </c>
    </row>
    <row r="12" spans="1:27" x14ac:dyDescent="0.25">
      <c r="A12" s="1" t="s">
        <v>18</v>
      </c>
      <c r="B12" s="1" t="s">
        <v>8</v>
      </c>
      <c r="C12" s="3" t="s">
        <v>22</v>
      </c>
      <c r="D12" s="94">
        <v>0</v>
      </c>
      <c r="E12" s="94">
        <v>1</v>
      </c>
      <c r="F12" s="94">
        <v>1</v>
      </c>
      <c r="G12" s="94">
        <v>0</v>
      </c>
      <c r="H12" s="94">
        <v>0</v>
      </c>
      <c r="I12" s="94">
        <v>0</v>
      </c>
      <c r="J12" s="94">
        <v>0</v>
      </c>
      <c r="K12" s="95">
        <f t="shared" si="0"/>
        <v>2</v>
      </c>
      <c r="L12" s="98">
        <v>0</v>
      </c>
      <c r="M12" s="98">
        <v>1</v>
      </c>
      <c r="N12" s="98">
        <v>2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9">
        <f t="shared" si="2"/>
        <v>3</v>
      </c>
      <c r="V12" s="103">
        <f t="shared" si="3"/>
        <v>5</v>
      </c>
      <c r="W12" s="103">
        <f t="shared" si="4"/>
        <v>0</v>
      </c>
      <c r="X12" s="103">
        <f t="shared" si="5"/>
        <v>3</v>
      </c>
      <c r="Y12" s="104">
        <f>VLOOKUP(B12,Publicaciones!$B$3:$C$20,2,0)</f>
        <v>447</v>
      </c>
      <c r="Z12" s="105" t="str">
        <f t="shared" si="6"/>
        <v>Categoría II</v>
      </c>
      <c r="AA12" s="105" t="str">
        <f t="shared" si="1"/>
        <v>CRUCH-ESTATALCategoría II</v>
      </c>
    </row>
    <row r="13" spans="1:27" x14ac:dyDescent="0.25">
      <c r="A13" s="1" t="s">
        <v>17</v>
      </c>
      <c r="B13" s="1" t="s">
        <v>7</v>
      </c>
      <c r="C13" s="3" t="s">
        <v>22</v>
      </c>
      <c r="D13" s="94">
        <v>0</v>
      </c>
      <c r="E13" s="94">
        <v>0</v>
      </c>
      <c r="F13" s="94">
        <v>0</v>
      </c>
      <c r="G13" s="94">
        <v>1</v>
      </c>
      <c r="H13" s="94">
        <v>0</v>
      </c>
      <c r="I13" s="94">
        <v>0</v>
      </c>
      <c r="J13" s="94">
        <v>0</v>
      </c>
      <c r="K13" s="95">
        <f t="shared" si="0"/>
        <v>1</v>
      </c>
      <c r="L13" s="98">
        <v>0</v>
      </c>
      <c r="M13" s="98">
        <v>4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9">
        <f t="shared" si="2"/>
        <v>4</v>
      </c>
      <c r="V13" s="103">
        <f t="shared" si="3"/>
        <v>5</v>
      </c>
      <c r="W13" s="103">
        <f t="shared" si="4"/>
        <v>1</v>
      </c>
      <c r="X13" s="103">
        <f t="shared" si="5"/>
        <v>5</v>
      </c>
      <c r="Y13" s="104">
        <f>VLOOKUP(B13,Publicaciones!$B$3:$C$20,2,0)</f>
        <v>257</v>
      </c>
      <c r="Z13" s="105" t="str">
        <f t="shared" si="6"/>
        <v>Categoría II</v>
      </c>
      <c r="AA13" s="105" t="str">
        <f t="shared" si="1"/>
        <v>CRUCH-ESTATALCategoría II</v>
      </c>
    </row>
    <row r="14" spans="1:27" x14ac:dyDescent="0.25">
      <c r="A14" s="1" t="s">
        <v>34</v>
      </c>
      <c r="B14" s="1" t="s">
        <v>27</v>
      </c>
      <c r="C14" s="3" t="s">
        <v>22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5">
        <f t="shared" si="0"/>
        <v>0</v>
      </c>
      <c r="L14" s="98">
        <v>1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9">
        <f t="shared" si="2"/>
        <v>1</v>
      </c>
      <c r="V14" s="103">
        <f t="shared" si="3"/>
        <v>1</v>
      </c>
      <c r="W14" s="103">
        <f t="shared" si="4"/>
        <v>0</v>
      </c>
      <c r="X14" s="103">
        <f t="shared" si="5"/>
        <v>1</v>
      </c>
      <c r="Y14" s="104">
        <f>VLOOKUP(B14,Publicaciones!$B$3:$C$20,2,0)</f>
        <v>162</v>
      </c>
      <c r="Z14" s="105" t="str">
        <f t="shared" si="6"/>
        <v>Categoría II</v>
      </c>
      <c r="AA14" s="105" t="str">
        <f t="shared" si="1"/>
        <v>CRUCH-ESTATALCategoría II</v>
      </c>
    </row>
    <row r="15" spans="1:27" x14ac:dyDescent="0.25">
      <c r="A15" s="1" t="s">
        <v>30</v>
      </c>
      <c r="B15" s="1" t="s">
        <v>23</v>
      </c>
      <c r="C15" s="3" t="s">
        <v>22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5">
        <f t="shared" si="0"/>
        <v>0</v>
      </c>
      <c r="L15" s="98">
        <v>0</v>
      </c>
      <c r="M15" s="98">
        <v>1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9">
        <f t="shared" si="2"/>
        <v>1</v>
      </c>
      <c r="V15" s="103">
        <f t="shared" si="3"/>
        <v>1</v>
      </c>
      <c r="W15" s="103">
        <f t="shared" si="4"/>
        <v>0</v>
      </c>
      <c r="X15" s="103">
        <f t="shared" si="5"/>
        <v>1</v>
      </c>
      <c r="Y15" s="104">
        <f>VLOOKUP(B15,Publicaciones!$B$3:$C$20,2,0)</f>
        <v>184</v>
      </c>
      <c r="Z15" s="105" t="str">
        <f t="shared" si="6"/>
        <v>Categoría II</v>
      </c>
      <c r="AA15" s="105" t="str">
        <f t="shared" si="1"/>
        <v>CRUCH-ESTATALCategoría II</v>
      </c>
    </row>
    <row r="16" spans="1:27" x14ac:dyDescent="0.25">
      <c r="A16" s="1" t="s">
        <v>31</v>
      </c>
      <c r="B16" s="1" t="s">
        <v>24</v>
      </c>
      <c r="C16" s="3" t="s">
        <v>22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5">
        <f t="shared" si="0"/>
        <v>0</v>
      </c>
      <c r="L16" s="98">
        <v>0</v>
      </c>
      <c r="M16" s="98">
        <v>1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9">
        <f t="shared" si="2"/>
        <v>1</v>
      </c>
      <c r="V16" s="103">
        <f t="shared" si="3"/>
        <v>1</v>
      </c>
      <c r="W16" s="103">
        <f t="shared" si="4"/>
        <v>0</v>
      </c>
      <c r="X16" s="103">
        <f t="shared" si="5"/>
        <v>1</v>
      </c>
      <c r="Y16" s="104">
        <f>VLOOKUP(B16,Publicaciones!$B$3:$C$20,2,0)</f>
        <v>234</v>
      </c>
      <c r="Z16" s="105" t="str">
        <f t="shared" si="6"/>
        <v>Categoría II</v>
      </c>
      <c r="AA16" s="105" t="str">
        <f t="shared" si="1"/>
        <v>CRUCH-ESTATALCategoría II</v>
      </c>
    </row>
    <row r="17" spans="1:27" x14ac:dyDescent="0.25">
      <c r="A17" s="1" t="s">
        <v>32</v>
      </c>
      <c r="B17" s="1" t="s">
        <v>25</v>
      </c>
      <c r="C17" s="3" t="s">
        <v>22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5">
        <f t="shared" si="0"/>
        <v>0</v>
      </c>
      <c r="L17" s="98">
        <v>0</v>
      </c>
      <c r="M17" s="98">
        <v>1</v>
      </c>
      <c r="N17" s="98">
        <v>0</v>
      </c>
      <c r="O17" s="98">
        <v>2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9">
        <f t="shared" si="2"/>
        <v>3</v>
      </c>
      <c r="V17" s="103">
        <f t="shared" si="3"/>
        <v>3</v>
      </c>
      <c r="W17" s="103">
        <f t="shared" si="4"/>
        <v>0</v>
      </c>
      <c r="X17" s="103">
        <f t="shared" si="5"/>
        <v>3</v>
      </c>
      <c r="Y17" s="104">
        <f>VLOOKUP(B17,Publicaciones!$B$3:$C$20,2,0)</f>
        <v>288</v>
      </c>
      <c r="Z17" s="105" t="str">
        <f t="shared" si="6"/>
        <v>Categoría II</v>
      </c>
      <c r="AA17" s="105" t="str">
        <f t="shared" si="1"/>
        <v>CRUCH-ESTATALCategoría II</v>
      </c>
    </row>
    <row r="18" spans="1:27" x14ac:dyDescent="0.25">
      <c r="A18" s="1" t="s">
        <v>33</v>
      </c>
      <c r="B18" s="1" t="s">
        <v>26</v>
      </c>
      <c r="C18" s="3" t="s">
        <v>22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5">
        <f t="shared" si="0"/>
        <v>0</v>
      </c>
      <c r="L18" s="98">
        <v>1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9">
        <f t="shared" si="2"/>
        <v>1</v>
      </c>
      <c r="V18" s="103">
        <f t="shared" si="3"/>
        <v>1</v>
      </c>
      <c r="W18" s="103">
        <f t="shared" si="4"/>
        <v>0</v>
      </c>
      <c r="X18" s="103">
        <f t="shared" si="5"/>
        <v>1</v>
      </c>
      <c r="Y18" s="104">
        <f>VLOOKUP(B18,Publicaciones!$B$3:$C$20,2,0)</f>
        <v>180</v>
      </c>
      <c r="Z18" s="105" t="str">
        <f t="shared" si="6"/>
        <v>Categoría II</v>
      </c>
      <c r="AA18" s="105" t="str">
        <f t="shared" si="1"/>
        <v>CRUCH-ESTATALCategoría II</v>
      </c>
    </row>
    <row r="19" spans="1:27" x14ac:dyDescent="0.25">
      <c r="A19" s="1" t="s">
        <v>35</v>
      </c>
      <c r="B19" s="1" t="s">
        <v>28</v>
      </c>
      <c r="C19" s="3" t="s">
        <v>22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5">
        <f t="shared" si="0"/>
        <v>0</v>
      </c>
      <c r="L19" s="98">
        <v>1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9">
        <f t="shared" si="2"/>
        <v>1</v>
      </c>
      <c r="V19" s="103">
        <f t="shared" si="3"/>
        <v>1</v>
      </c>
      <c r="W19" s="103">
        <f t="shared" si="4"/>
        <v>0</v>
      </c>
      <c r="X19" s="103">
        <f t="shared" si="5"/>
        <v>1</v>
      </c>
      <c r="Y19" s="104">
        <f>VLOOKUP(B19,Publicaciones!$B$3:$C$20,2,0)</f>
        <v>105</v>
      </c>
      <c r="Z19" s="105" t="str">
        <f t="shared" si="6"/>
        <v>Categoría II</v>
      </c>
      <c r="AA19" s="105" t="str">
        <f t="shared" si="1"/>
        <v>CRUCH-ESTATALCategoría II</v>
      </c>
    </row>
    <row r="20" spans="1:27" x14ac:dyDescent="0.25">
      <c r="A20" s="1" t="s">
        <v>36</v>
      </c>
      <c r="B20" s="1" t="s">
        <v>29</v>
      </c>
      <c r="C20" s="3" t="s">
        <v>22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5">
        <f t="shared" si="0"/>
        <v>0</v>
      </c>
      <c r="L20" s="98">
        <v>0</v>
      </c>
      <c r="M20" s="98">
        <v>1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9">
        <f t="shared" si="2"/>
        <v>1</v>
      </c>
      <c r="V20" s="103">
        <f t="shared" si="3"/>
        <v>1</v>
      </c>
      <c r="W20" s="103">
        <f t="shared" si="4"/>
        <v>0</v>
      </c>
      <c r="X20" s="103">
        <f t="shared" si="5"/>
        <v>1</v>
      </c>
      <c r="Y20" s="104">
        <f>VLOOKUP(B20,Publicaciones!$B$3:$C$20,2,0)</f>
        <v>223</v>
      </c>
      <c r="Z20" s="105" t="str">
        <f t="shared" si="6"/>
        <v>Categoría II</v>
      </c>
      <c r="AA20" s="105" t="str">
        <f t="shared" si="1"/>
        <v>CRUCH-ESTATALCategoría II</v>
      </c>
    </row>
    <row r="21" spans="1:27" x14ac:dyDescent="0.25">
      <c r="A21" s="1" t="s">
        <v>87</v>
      </c>
      <c r="B21" s="1" t="s">
        <v>88</v>
      </c>
      <c r="C21" s="3" t="s">
        <v>22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5">
        <f t="shared" si="0"/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9">
        <f t="shared" si="2"/>
        <v>0</v>
      </c>
      <c r="V21" s="103">
        <f t="shared" ref="V21:V22" si="7">K21+U21</f>
        <v>0</v>
      </c>
      <c r="W21" s="103">
        <f t="shared" si="4"/>
        <v>0</v>
      </c>
      <c r="X21" s="103">
        <f t="shared" ref="X21:X22" si="8">U21+W21</f>
        <v>0</v>
      </c>
      <c r="Y21" s="104">
        <f>VLOOKUP(B21,Publicaciones!$B$3:$C$20,2,0)</f>
        <v>172</v>
      </c>
      <c r="Z21" s="105" t="str">
        <f t="shared" si="6"/>
        <v>Categoría III</v>
      </c>
      <c r="AA21" s="105" t="str">
        <f t="shared" si="1"/>
        <v>CRUCH-ESTATALCategoría III</v>
      </c>
    </row>
    <row r="22" spans="1:27" x14ac:dyDescent="0.25">
      <c r="A22" s="1" t="s">
        <v>89</v>
      </c>
      <c r="B22" s="1" t="s">
        <v>90</v>
      </c>
      <c r="C22" s="3" t="s">
        <v>22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5">
        <f t="shared" si="0"/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98">
        <v>0</v>
      </c>
      <c r="U22" s="99">
        <f t="shared" si="2"/>
        <v>0</v>
      </c>
      <c r="V22" s="103">
        <f t="shared" si="7"/>
        <v>0</v>
      </c>
      <c r="W22" s="103">
        <f t="shared" si="4"/>
        <v>0</v>
      </c>
      <c r="X22" s="103">
        <f t="shared" si="8"/>
        <v>0</v>
      </c>
      <c r="Y22" s="104">
        <f>VLOOKUP(B22,Publicaciones!$B$3:$C$20,2,0)</f>
        <v>46</v>
      </c>
      <c r="Z22" s="105" t="str">
        <f t="shared" si="6"/>
        <v>Categoría III</v>
      </c>
      <c r="AA22" s="105" t="str">
        <f t="shared" si="1"/>
        <v>CRUCH-ESTATALCategoría III</v>
      </c>
    </row>
    <row r="23" spans="1:27" x14ac:dyDescent="0.25">
      <c r="A23" s="1"/>
      <c r="B23" s="1"/>
      <c r="C23" s="3" t="s">
        <v>0</v>
      </c>
      <c r="D23" s="95">
        <v>1</v>
      </c>
      <c r="E23" s="95">
        <v>1</v>
      </c>
      <c r="F23" s="95">
        <v>2</v>
      </c>
      <c r="G23" s="95">
        <v>3</v>
      </c>
      <c r="H23" s="95">
        <v>2</v>
      </c>
      <c r="I23" s="95">
        <v>2</v>
      </c>
      <c r="J23" s="95">
        <v>2</v>
      </c>
      <c r="K23" s="95">
        <f t="shared" ref="K23:Y23" si="9">SUM(K5:K22)</f>
        <v>14</v>
      </c>
      <c r="L23" s="99">
        <f t="shared" si="9"/>
        <v>4</v>
      </c>
      <c r="M23" s="99">
        <f t="shared" si="9"/>
        <v>35</v>
      </c>
      <c r="N23" s="99">
        <f>SUM(N5:N22)</f>
        <v>11</v>
      </c>
      <c r="O23" s="99">
        <f t="shared" si="9"/>
        <v>20</v>
      </c>
      <c r="P23" s="99">
        <f t="shared" si="9"/>
        <v>10</v>
      </c>
      <c r="Q23" s="99">
        <f t="shared" si="9"/>
        <v>13</v>
      </c>
      <c r="R23" s="99">
        <f t="shared" si="9"/>
        <v>7</v>
      </c>
      <c r="S23" s="99">
        <f t="shared" si="9"/>
        <v>1</v>
      </c>
      <c r="T23" s="99">
        <f t="shared" si="9"/>
        <v>1</v>
      </c>
      <c r="U23" s="99">
        <f t="shared" si="9"/>
        <v>102</v>
      </c>
      <c r="V23" s="103">
        <f t="shared" si="9"/>
        <v>116</v>
      </c>
      <c r="W23" s="103">
        <f t="shared" si="9"/>
        <v>7</v>
      </c>
      <c r="X23" s="103">
        <f t="shared" si="9"/>
        <v>109</v>
      </c>
      <c r="Y23" s="104">
        <f t="shared" si="9"/>
        <v>9532</v>
      </c>
      <c r="Z23" s="1"/>
    </row>
    <row r="26" spans="1:27" x14ac:dyDescent="0.25">
      <c r="A26" s="8" t="s">
        <v>39</v>
      </c>
      <c r="B26" s="8" t="s">
        <v>70</v>
      </c>
      <c r="C26" s="8" t="s">
        <v>68</v>
      </c>
    </row>
    <row r="27" spans="1:27" x14ac:dyDescent="0.25">
      <c r="A27" s="1" t="s">
        <v>65</v>
      </c>
      <c r="B27" s="1">
        <f>COUNTIF($AA$4:$AA$22,A27)</f>
        <v>3</v>
      </c>
      <c r="C27" s="1">
        <f>(3*$B$27)+(2*$B$28)+$B$29</f>
        <v>37</v>
      </c>
    </row>
    <row r="28" spans="1:27" x14ac:dyDescent="0.25">
      <c r="A28" s="1" t="s">
        <v>66</v>
      </c>
      <c r="B28" s="1">
        <f>COUNTIF($AA$4:$AA$22,A28)</f>
        <v>13</v>
      </c>
      <c r="C28" s="1">
        <f>(3*$B$27)+(2*$B$28)+$B$29</f>
        <v>37</v>
      </c>
    </row>
    <row r="29" spans="1:27" x14ac:dyDescent="0.25">
      <c r="A29" s="1" t="s">
        <v>67</v>
      </c>
      <c r="B29" s="1">
        <f>COUNTIF($AA$4:$AA$22,A29)</f>
        <v>2</v>
      </c>
      <c r="C29" s="1">
        <f>(3*$B$27)+(2*$B$28)+$B$29</f>
        <v>37</v>
      </c>
    </row>
    <row r="30" spans="1:27" x14ac:dyDescent="0.25">
      <c r="B30" s="1">
        <f>SUM(B27:B29)</f>
        <v>18</v>
      </c>
    </row>
    <row r="31" spans="1:27" x14ac:dyDescent="0.25">
      <c r="D31" s="7"/>
      <c r="E31" s="7"/>
    </row>
    <row r="32" spans="1:27" x14ac:dyDescent="0.25">
      <c r="A32" s="8" t="s">
        <v>71</v>
      </c>
      <c r="B32" s="8" t="s">
        <v>73</v>
      </c>
    </row>
    <row r="33" spans="1:5" x14ac:dyDescent="0.25">
      <c r="A33" s="1" t="s">
        <v>72</v>
      </c>
      <c r="B33" s="7">
        <f>'Montos AIUE 2023 '!J37</f>
        <v>44840399.489999995</v>
      </c>
    </row>
    <row r="34" spans="1:5" x14ac:dyDescent="0.25">
      <c r="A34" s="8" t="s">
        <v>39</v>
      </c>
      <c r="B34" s="8" t="s">
        <v>74</v>
      </c>
      <c r="C34" s="8" t="s">
        <v>86</v>
      </c>
      <c r="D34" s="8"/>
    </row>
    <row r="35" spans="1:5" x14ac:dyDescent="0.25">
      <c r="A35" s="1" t="s">
        <v>65</v>
      </c>
      <c r="B35" s="88">
        <f>($B$33*3*B27)/C27</f>
        <v>10907124.200270267</v>
      </c>
      <c r="C35" s="6">
        <f>ROUND(B35,0)</f>
        <v>10907124</v>
      </c>
      <c r="D35" s="91">
        <f>B35/$B$38</f>
        <v>0.24324324324324326</v>
      </c>
      <c r="E35" s="91">
        <f>D35/B27</f>
        <v>8.1081081081081086E-2</v>
      </c>
    </row>
    <row r="36" spans="1:5" x14ac:dyDescent="0.25">
      <c r="A36" s="1" t="s">
        <v>66</v>
      </c>
      <c r="B36" s="88">
        <f>($B$33*2*B28)/C28</f>
        <v>31509469.911891885</v>
      </c>
      <c r="C36" s="6">
        <f>ROUND(B36,0)</f>
        <v>31509470</v>
      </c>
      <c r="D36" s="91">
        <f>B36/$B$38</f>
        <v>0.70270270270270274</v>
      </c>
      <c r="E36" s="91">
        <f t="shared" ref="E36:E37" si="10">D36/B28</f>
        <v>5.4054054054054057E-2</v>
      </c>
    </row>
    <row r="37" spans="1:5" x14ac:dyDescent="0.25">
      <c r="A37" s="1" t="s">
        <v>67</v>
      </c>
      <c r="B37" s="88">
        <f>($B$33*1*B29)/C29</f>
        <v>2423805.3778378377</v>
      </c>
      <c r="C37" s="6">
        <f>ROUND(B37,0)</f>
        <v>2423805</v>
      </c>
      <c r="D37" s="91">
        <f>B37/$B$38</f>
        <v>5.4054054054054064E-2</v>
      </c>
      <c r="E37" s="91">
        <f t="shared" si="10"/>
        <v>2.7027027027027032E-2</v>
      </c>
    </row>
    <row r="38" spans="1:5" x14ac:dyDescent="0.25">
      <c r="B38" s="7">
        <f>SUM(B35:B37)</f>
        <v>44840399.489999987</v>
      </c>
      <c r="C38" s="7">
        <f>SUM(C35:C37)</f>
        <v>44840399</v>
      </c>
    </row>
  </sheetData>
  <autoFilter ref="A2:AA23" xr:uid="{00000000-0001-0000-0000-000000000000}"/>
  <mergeCells count="2">
    <mergeCell ref="L3:X3"/>
    <mergeCell ref="D3:K3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AA40"/>
  <sheetViews>
    <sheetView workbookViewId="0">
      <selection activeCell="K5" sqref="K5"/>
    </sheetView>
  </sheetViews>
  <sheetFormatPr baseColWidth="10" defaultRowHeight="15" x14ac:dyDescent="0.25"/>
  <cols>
    <col min="1" max="1" width="46.5703125" bestFit="1" customWidth="1"/>
    <col min="4" max="4" width="12.85546875" customWidth="1"/>
  </cols>
  <sheetData>
    <row r="1" spans="1:27" x14ac:dyDescent="0.25">
      <c r="E1" t="s">
        <v>181</v>
      </c>
      <c r="F1" t="s">
        <v>181</v>
      </c>
      <c r="G1" t="s">
        <v>181</v>
      </c>
      <c r="H1" t="s">
        <v>181</v>
      </c>
      <c r="I1" t="s">
        <v>181</v>
      </c>
      <c r="J1" t="s">
        <v>181</v>
      </c>
      <c r="K1" t="s">
        <v>182</v>
      </c>
      <c r="L1" t="s">
        <v>182</v>
      </c>
      <c r="M1" t="s">
        <v>182</v>
      </c>
      <c r="N1" t="s">
        <v>181</v>
      </c>
      <c r="O1" t="s">
        <v>181</v>
      </c>
      <c r="P1" t="s">
        <v>181</v>
      </c>
      <c r="Q1" t="s">
        <v>181</v>
      </c>
      <c r="R1" t="s">
        <v>181</v>
      </c>
      <c r="S1" t="s">
        <v>181</v>
      </c>
      <c r="T1" t="s">
        <v>181</v>
      </c>
      <c r="U1" t="s">
        <v>181</v>
      </c>
      <c r="V1" t="s">
        <v>181</v>
      </c>
      <c r="W1" t="s">
        <v>181</v>
      </c>
      <c r="X1" t="s">
        <v>183</v>
      </c>
      <c r="Y1" t="s">
        <v>183</v>
      </c>
    </row>
    <row r="2" spans="1:27" x14ac:dyDescent="0.25">
      <c r="E2" s="87">
        <v>1</v>
      </c>
      <c r="F2" s="87">
        <v>2</v>
      </c>
      <c r="G2" s="87">
        <v>3</v>
      </c>
      <c r="H2" s="87">
        <v>4</v>
      </c>
      <c r="I2" s="87">
        <v>5</v>
      </c>
      <c r="J2" s="87">
        <v>6</v>
      </c>
      <c r="K2" s="87">
        <v>7</v>
      </c>
      <c r="L2" s="87">
        <v>8</v>
      </c>
      <c r="M2" s="87">
        <v>9</v>
      </c>
      <c r="N2" s="87">
        <v>10</v>
      </c>
      <c r="O2" s="87">
        <v>11</v>
      </c>
      <c r="P2" s="87">
        <v>12</v>
      </c>
      <c r="Q2" s="87">
        <v>13</v>
      </c>
      <c r="R2" s="87">
        <v>14</v>
      </c>
      <c r="S2" s="87">
        <v>15</v>
      </c>
      <c r="T2" s="87">
        <v>16</v>
      </c>
      <c r="U2" s="87">
        <v>17</v>
      </c>
      <c r="V2" s="87">
        <v>18</v>
      </c>
      <c r="W2" s="87">
        <v>19</v>
      </c>
      <c r="X2" s="87">
        <v>20</v>
      </c>
      <c r="Y2" s="87">
        <v>21</v>
      </c>
    </row>
    <row r="3" spans="1:27" ht="33.75" x14ac:dyDescent="0.25">
      <c r="A3" s="23" t="s">
        <v>11</v>
      </c>
      <c r="B3" s="23" t="s">
        <v>1</v>
      </c>
      <c r="C3" s="23" t="s">
        <v>21</v>
      </c>
      <c r="D3" s="8" t="s">
        <v>39</v>
      </c>
      <c r="E3" s="174" t="s">
        <v>245</v>
      </c>
      <c r="F3" s="174" t="s">
        <v>246</v>
      </c>
      <c r="G3" s="174" t="s">
        <v>247</v>
      </c>
      <c r="H3" s="174" t="s">
        <v>248</v>
      </c>
      <c r="I3" s="174" t="s">
        <v>249</v>
      </c>
      <c r="J3" s="174" t="s">
        <v>250</v>
      </c>
      <c r="K3" s="173" t="s">
        <v>243</v>
      </c>
      <c r="L3" s="173" t="s">
        <v>244</v>
      </c>
      <c r="M3" s="173" t="s">
        <v>242</v>
      </c>
      <c r="N3" s="174" t="s">
        <v>251</v>
      </c>
      <c r="O3" s="174" t="s">
        <v>252</v>
      </c>
      <c r="P3" s="174" t="s">
        <v>253</v>
      </c>
      <c r="Q3" s="174" t="s">
        <v>311</v>
      </c>
      <c r="R3" s="174" t="s">
        <v>254</v>
      </c>
      <c r="S3" s="174" t="s">
        <v>255</v>
      </c>
      <c r="T3" s="174" t="s">
        <v>256</v>
      </c>
      <c r="U3" s="174" t="s">
        <v>180</v>
      </c>
      <c r="V3" s="174" t="s">
        <v>191</v>
      </c>
      <c r="W3" s="174" t="s">
        <v>257</v>
      </c>
      <c r="X3" s="174" t="s">
        <v>258</v>
      </c>
      <c r="Y3" s="174" t="s">
        <v>266</v>
      </c>
    </row>
    <row r="4" spans="1:27" x14ac:dyDescent="0.25">
      <c r="A4" s="43" t="str">
        <f>Categorías!A5</f>
        <v>UNIVERSIDAD DE CHILE</v>
      </c>
      <c r="B4" s="43" t="str">
        <f>Categorías!B5</f>
        <v>UCH</v>
      </c>
      <c r="C4" s="44" t="str">
        <f>Categorías!C5</f>
        <v>CRUCH-ESTATAL</v>
      </c>
      <c r="D4" s="43" t="str">
        <f>Categorías!Z5</f>
        <v>Categoría I</v>
      </c>
      <c r="E4" s="132">
        <v>1595</v>
      </c>
      <c r="F4" s="132">
        <v>43223</v>
      </c>
      <c r="G4" s="132">
        <v>1302.2159090913763</v>
      </c>
      <c r="H4" s="132">
        <v>2365.6363636366027</v>
      </c>
      <c r="I4" s="175">
        <v>479.13636363624039</v>
      </c>
      <c r="J4" s="175">
        <v>197.47727272709992</v>
      </c>
      <c r="K4" s="132">
        <v>2822</v>
      </c>
      <c r="L4" s="132">
        <v>154474</v>
      </c>
      <c r="M4" s="132">
        <v>16220</v>
      </c>
      <c r="N4" s="134">
        <v>2713</v>
      </c>
      <c r="O4" s="134">
        <v>5747</v>
      </c>
      <c r="P4" s="134">
        <v>5387</v>
      </c>
      <c r="Q4" s="134">
        <v>5797</v>
      </c>
      <c r="R4" s="135">
        <v>4672</v>
      </c>
      <c r="S4" s="135">
        <v>6024</v>
      </c>
      <c r="T4" s="132">
        <v>31</v>
      </c>
      <c r="U4" s="132">
        <v>208</v>
      </c>
      <c r="V4" s="132">
        <v>195</v>
      </c>
      <c r="W4" s="132">
        <v>213</v>
      </c>
      <c r="X4" s="132">
        <v>1</v>
      </c>
      <c r="Y4" s="132">
        <v>2</v>
      </c>
      <c r="Z4" s="45" t="s">
        <v>2</v>
      </c>
      <c r="AA4" s="46"/>
    </row>
    <row r="5" spans="1:27" x14ac:dyDescent="0.25">
      <c r="A5" s="43" t="str">
        <f>Categorías!A6</f>
        <v>UNIVERSIDAD DE SANTIAGO DE CHILE</v>
      </c>
      <c r="B5" s="43" t="str">
        <f>Categorías!B6</f>
        <v>USA</v>
      </c>
      <c r="C5" s="44" t="str">
        <f>Categorías!C6</f>
        <v>CRUCH-ESTATAL</v>
      </c>
      <c r="D5" s="43" t="str">
        <f>Categorías!Z6</f>
        <v>Categoría I</v>
      </c>
      <c r="E5" s="132">
        <v>625</v>
      </c>
      <c r="F5" s="132">
        <v>25547</v>
      </c>
      <c r="G5" s="132">
        <v>471.22727272744515</v>
      </c>
      <c r="H5" s="132">
        <v>1203.602272729119</v>
      </c>
      <c r="I5" s="175">
        <v>285.8295454552329</v>
      </c>
      <c r="J5" s="175">
        <v>45.903409090917989</v>
      </c>
      <c r="K5" s="132">
        <v>1172</v>
      </c>
      <c r="L5" s="132">
        <v>34184</v>
      </c>
      <c r="M5" s="132">
        <v>4721</v>
      </c>
      <c r="N5" s="134">
        <v>2728</v>
      </c>
      <c r="O5" s="134">
        <v>4102</v>
      </c>
      <c r="P5" s="134">
        <v>3944</v>
      </c>
      <c r="Q5" s="134">
        <v>4471</v>
      </c>
      <c r="R5" s="135">
        <v>2648</v>
      </c>
      <c r="S5" s="135">
        <v>3879</v>
      </c>
      <c r="T5" s="132">
        <v>9</v>
      </c>
      <c r="U5" s="132">
        <v>33</v>
      </c>
      <c r="V5" s="132">
        <v>53</v>
      </c>
      <c r="W5" s="132">
        <v>53</v>
      </c>
      <c r="X5" s="132">
        <v>3</v>
      </c>
      <c r="Y5" s="132">
        <v>7</v>
      </c>
      <c r="Z5" s="45" t="s">
        <v>3</v>
      </c>
      <c r="AA5" s="46"/>
    </row>
    <row r="6" spans="1:27" x14ac:dyDescent="0.25">
      <c r="A6" s="43" t="str">
        <f>Categorías!A7</f>
        <v>UNIVERSIDAD DE ANTOFAGASTA</v>
      </c>
      <c r="B6" s="43" t="str">
        <f>Categorías!B7</f>
        <v>ANT</v>
      </c>
      <c r="C6" s="44" t="str">
        <f>Categorías!C7</f>
        <v>CRUCH-ESTATAL</v>
      </c>
      <c r="D6" s="43" t="str">
        <f>Categorías!Z7</f>
        <v>Categoría II</v>
      </c>
      <c r="E6" s="132">
        <v>324</v>
      </c>
      <c r="F6" s="132">
        <v>7991</v>
      </c>
      <c r="G6" s="132">
        <v>153.86363636363902</v>
      </c>
      <c r="H6" s="132">
        <v>407.06818181820296</v>
      </c>
      <c r="I6" s="175">
        <v>130.04545454548401</v>
      </c>
      <c r="J6" s="175">
        <v>12.636363636357</v>
      </c>
      <c r="K6" s="132">
        <v>380</v>
      </c>
      <c r="L6" s="132">
        <v>28449</v>
      </c>
      <c r="M6" s="132">
        <v>1600</v>
      </c>
      <c r="N6" s="134">
        <v>590</v>
      </c>
      <c r="O6" s="134">
        <v>1125</v>
      </c>
      <c r="P6" s="134">
        <v>1095</v>
      </c>
      <c r="Q6" s="134">
        <v>1286</v>
      </c>
      <c r="R6" s="135">
        <v>995</v>
      </c>
      <c r="S6" s="135">
        <v>1350</v>
      </c>
      <c r="T6" s="132">
        <v>4</v>
      </c>
      <c r="U6" s="132">
        <v>15</v>
      </c>
      <c r="V6" s="132">
        <v>4</v>
      </c>
      <c r="W6" s="132">
        <v>21</v>
      </c>
      <c r="X6" s="132">
        <v>3</v>
      </c>
      <c r="Y6" s="132">
        <v>3</v>
      </c>
      <c r="Z6" s="45" t="s">
        <v>9</v>
      </c>
      <c r="AA6" s="46"/>
    </row>
    <row r="7" spans="1:27" x14ac:dyDescent="0.25">
      <c r="A7" s="43" t="str">
        <f>Categorías!A8</f>
        <v>UNIVERSIDAD DE LA FRONTERA</v>
      </c>
      <c r="B7" s="43" t="str">
        <f>Categorías!B8</f>
        <v>FRO</v>
      </c>
      <c r="C7" s="44" t="str">
        <f>Categorías!C8</f>
        <v>CRUCH-ESTATAL</v>
      </c>
      <c r="D7" s="43" t="str">
        <f>Categorías!Z8</f>
        <v>Categoría II</v>
      </c>
      <c r="E7" s="132">
        <v>379</v>
      </c>
      <c r="F7" s="132">
        <v>12168</v>
      </c>
      <c r="G7" s="132">
        <v>287.54545454547912</v>
      </c>
      <c r="H7" s="132">
        <v>516.72727272740894</v>
      </c>
      <c r="I7" s="175">
        <v>104.77272727271995</v>
      </c>
      <c r="J7" s="175">
        <v>46.681818181876984</v>
      </c>
      <c r="K7" s="132">
        <v>887</v>
      </c>
      <c r="L7" s="132">
        <v>31906</v>
      </c>
      <c r="M7" s="132">
        <v>3431</v>
      </c>
      <c r="N7" s="134">
        <v>1197</v>
      </c>
      <c r="O7" s="134">
        <v>1758</v>
      </c>
      <c r="P7" s="134">
        <v>1910</v>
      </c>
      <c r="Q7" s="134">
        <v>2030</v>
      </c>
      <c r="R7" s="135">
        <v>1592</v>
      </c>
      <c r="S7" s="135">
        <v>2155</v>
      </c>
      <c r="T7" s="132">
        <v>8</v>
      </c>
      <c r="U7" s="132">
        <v>50</v>
      </c>
      <c r="V7" s="132">
        <v>34</v>
      </c>
      <c r="W7" s="132">
        <v>40</v>
      </c>
      <c r="X7" s="132">
        <v>0</v>
      </c>
      <c r="Y7" s="132">
        <v>2</v>
      </c>
      <c r="Z7" s="45" t="s">
        <v>6</v>
      </c>
      <c r="AA7" s="46"/>
    </row>
    <row r="8" spans="1:27" x14ac:dyDescent="0.25">
      <c r="A8" s="43" t="str">
        <f>Categorías!A9</f>
        <v>UNIVERSIDAD DE TALCA</v>
      </c>
      <c r="B8" s="43" t="str">
        <f>Categorías!B9</f>
        <v>TAL</v>
      </c>
      <c r="C8" s="44" t="str">
        <f>Categorías!C9</f>
        <v>CRUCH-ESTATAL</v>
      </c>
      <c r="D8" s="43" t="str">
        <f>Categorías!Z9</f>
        <v>Categoría I</v>
      </c>
      <c r="E8" s="132">
        <v>489</v>
      </c>
      <c r="F8" s="132">
        <v>12528</v>
      </c>
      <c r="G8" s="132">
        <v>281.6136363636549</v>
      </c>
      <c r="H8" s="132">
        <v>593.52272727281843</v>
      </c>
      <c r="I8" s="175">
        <v>277.61363636366349</v>
      </c>
      <c r="J8" s="175">
        <v>15.227272727310007</v>
      </c>
      <c r="K8" s="132">
        <v>725</v>
      </c>
      <c r="L8" s="132">
        <v>21431</v>
      </c>
      <c r="M8" s="132">
        <v>2705</v>
      </c>
      <c r="N8" s="134">
        <v>1519</v>
      </c>
      <c r="O8" s="134">
        <v>2022</v>
      </c>
      <c r="P8" s="134">
        <v>1795</v>
      </c>
      <c r="Q8" s="134">
        <v>2064</v>
      </c>
      <c r="R8" s="135">
        <v>1662</v>
      </c>
      <c r="S8" s="135">
        <v>2204</v>
      </c>
      <c r="T8" s="132">
        <v>5</v>
      </c>
      <c r="U8" s="132">
        <v>4</v>
      </c>
      <c r="V8" s="132">
        <v>22</v>
      </c>
      <c r="W8" s="132">
        <v>21</v>
      </c>
      <c r="X8" s="132">
        <v>1</v>
      </c>
      <c r="Y8" s="132">
        <v>0</v>
      </c>
      <c r="Z8" s="45" t="s">
        <v>5</v>
      </c>
      <c r="AA8" s="46"/>
    </row>
    <row r="9" spans="1:27" x14ac:dyDescent="0.25">
      <c r="A9" s="43" t="str">
        <f>Categorías!A10</f>
        <v>UNIVERSIDAD DE TARAPACÁ</v>
      </c>
      <c r="B9" s="43" t="str">
        <f>Categorías!B10</f>
        <v>UTA</v>
      </c>
      <c r="C9" s="44" t="str">
        <f>Categorías!C10</f>
        <v>CRUCH-ESTATAL</v>
      </c>
      <c r="D9" s="43" t="str">
        <f>Categorías!Z10</f>
        <v>Categoría II</v>
      </c>
      <c r="E9" s="132">
        <v>324</v>
      </c>
      <c r="F9" s="132">
        <v>10372</v>
      </c>
      <c r="G9" s="132">
        <v>164.56818181817803</v>
      </c>
      <c r="H9" s="132">
        <v>361.25000000000512</v>
      </c>
      <c r="I9" s="175">
        <v>152.47727272727303</v>
      </c>
      <c r="J9" s="175">
        <v>5.6136363636350008</v>
      </c>
      <c r="K9" s="132">
        <v>555</v>
      </c>
      <c r="L9" s="132">
        <v>12563</v>
      </c>
      <c r="M9" s="132">
        <v>1826</v>
      </c>
      <c r="N9" s="134">
        <v>1535</v>
      </c>
      <c r="O9" s="134">
        <v>1966</v>
      </c>
      <c r="P9" s="134">
        <v>1767</v>
      </c>
      <c r="Q9" s="134">
        <v>1981</v>
      </c>
      <c r="R9" s="135">
        <v>1271</v>
      </c>
      <c r="S9" s="135">
        <v>1813</v>
      </c>
      <c r="T9" s="132">
        <v>0</v>
      </c>
      <c r="U9" s="132">
        <v>0</v>
      </c>
      <c r="V9" s="132">
        <v>0</v>
      </c>
      <c r="W9" s="132">
        <v>0</v>
      </c>
      <c r="X9" s="132">
        <v>2</v>
      </c>
      <c r="Y9" s="132">
        <v>0</v>
      </c>
      <c r="Z9" s="45" t="s">
        <v>10</v>
      </c>
      <c r="AA9" s="46"/>
    </row>
    <row r="10" spans="1:27" x14ac:dyDescent="0.25">
      <c r="A10" s="43" t="str">
        <f>Categorías!A11</f>
        <v>UNIVERSIDAD DE VALPARAÍSO</v>
      </c>
      <c r="B10" s="43" t="str">
        <f>Categorías!B11</f>
        <v>UVA</v>
      </c>
      <c r="C10" s="44" t="str">
        <f>Categorías!C11</f>
        <v>CRUCH-ESTATAL</v>
      </c>
      <c r="D10" s="43" t="str">
        <f>Categorías!Z11</f>
        <v>Categoría II</v>
      </c>
      <c r="E10" s="132">
        <v>552</v>
      </c>
      <c r="F10" s="132">
        <v>16627</v>
      </c>
      <c r="G10" s="132">
        <v>315.21363636362366</v>
      </c>
      <c r="H10" s="132">
        <v>876.15249999984258</v>
      </c>
      <c r="I10" s="175">
        <v>342.67977272712471</v>
      </c>
      <c r="J10" s="175">
        <v>56.840909090924001</v>
      </c>
      <c r="K10" s="132">
        <v>693</v>
      </c>
      <c r="L10" s="132">
        <v>28843</v>
      </c>
      <c r="M10" s="132">
        <v>2801</v>
      </c>
      <c r="N10" s="134">
        <v>1917</v>
      </c>
      <c r="O10" s="134">
        <v>2804</v>
      </c>
      <c r="P10" s="134">
        <v>2677</v>
      </c>
      <c r="Q10" s="134">
        <v>3038</v>
      </c>
      <c r="R10" s="135">
        <v>2381</v>
      </c>
      <c r="S10" s="135">
        <v>3512</v>
      </c>
      <c r="T10" s="132">
        <v>8</v>
      </c>
      <c r="U10" s="132">
        <v>34</v>
      </c>
      <c r="V10" s="132">
        <v>34</v>
      </c>
      <c r="W10" s="132">
        <v>40</v>
      </c>
      <c r="X10" s="132">
        <v>0</v>
      </c>
      <c r="Y10" s="132">
        <v>0</v>
      </c>
      <c r="Z10" s="45" t="s">
        <v>4</v>
      </c>
      <c r="AA10" s="46"/>
    </row>
    <row r="11" spans="1:27" x14ac:dyDescent="0.25">
      <c r="A11" s="43" t="str">
        <f>Categorías!A12</f>
        <v>UNIVERSIDAD DEL BÍO-BÍO</v>
      </c>
      <c r="B11" s="43" t="str">
        <f>Categorías!B12</f>
        <v>UBB</v>
      </c>
      <c r="C11" s="44" t="str">
        <f>Categorías!C12</f>
        <v>CRUCH-ESTATAL</v>
      </c>
      <c r="D11" s="43" t="str">
        <f>Categorías!Z12</f>
        <v>Categoría II</v>
      </c>
      <c r="E11" s="132">
        <v>460</v>
      </c>
      <c r="F11" s="132">
        <v>12501</v>
      </c>
      <c r="G11" s="132">
        <v>278.84090909073001</v>
      </c>
      <c r="H11" s="132">
        <v>498.1590909090641</v>
      </c>
      <c r="I11" s="175">
        <v>178.63636363648411</v>
      </c>
      <c r="J11" s="175">
        <v>0</v>
      </c>
      <c r="K11" s="132">
        <v>447</v>
      </c>
      <c r="L11" s="132">
        <v>10796</v>
      </c>
      <c r="M11" s="132">
        <v>1854</v>
      </c>
      <c r="N11" s="134">
        <v>1707</v>
      </c>
      <c r="O11" s="134">
        <v>2187</v>
      </c>
      <c r="P11" s="134">
        <v>2041</v>
      </c>
      <c r="Q11" s="134">
        <v>2286</v>
      </c>
      <c r="R11" s="135">
        <v>1744</v>
      </c>
      <c r="S11" s="135">
        <v>2407</v>
      </c>
      <c r="T11" s="132">
        <v>1</v>
      </c>
      <c r="U11" s="132">
        <v>6</v>
      </c>
      <c r="V11" s="132">
        <v>10</v>
      </c>
      <c r="W11" s="132">
        <v>10</v>
      </c>
      <c r="X11" s="132">
        <v>0</v>
      </c>
      <c r="Y11" s="132">
        <v>0</v>
      </c>
      <c r="Z11" s="45" t="s">
        <v>8</v>
      </c>
      <c r="AA11" s="46"/>
    </row>
    <row r="12" spans="1:27" x14ac:dyDescent="0.25">
      <c r="A12" s="43" t="str">
        <f>Categorías!A13</f>
        <v>UNIVERSIDAD DE LA SERENA</v>
      </c>
      <c r="B12" s="43" t="str">
        <f>Categorías!B13</f>
        <v>ULS</v>
      </c>
      <c r="C12" s="44" t="str">
        <f>Categorías!C13</f>
        <v>CRUCH-ESTATAL</v>
      </c>
      <c r="D12" s="43" t="str">
        <f>Categorías!Z13</f>
        <v>Categoría II</v>
      </c>
      <c r="E12" s="132">
        <v>195</v>
      </c>
      <c r="F12" s="132">
        <v>8170</v>
      </c>
      <c r="G12" s="132">
        <v>113.59659090915702</v>
      </c>
      <c r="H12" s="132">
        <v>308.69886363645031</v>
      </c>
      <c r="I12" s="175">
        <v>72.767045454610042</v>
      </c>
      <c r="J12" s="175">
        <v>1</v>
      </c>
      <c r="K12" s="132">
        <v>257</v>
      </c>
      <c r="L12" s="132">
        <v>20381</v>
      </c>
      <c r="M12" s="132">
        <v>1138</v>
      </c>
      <c r="N12" s="134">
        <v>1020</v>
      </c>
      <c r="O12" s="134">
        <v>1436</v>
      </c>
      <c r="P12" s="134">
        <v>1512</v>
      </c>
      <c r="Q12" s="134">
        <v>1699</v>
      </c>
      <c r="R12" s="135">
        <v>1102</v>
      </c>
      <c r="S12" s="135">
        <v>1759</v>
      </c>
      <c r="T12" s="132">
        <v>1</v>
      </c>
      <c r="U12" s="132">
        <v>6</v>
      </c>
      <c r="V12" s="132">
        <v>4</v>
      </c>
      <c r="W12" s="132">
        <v>12</v>
      </c>
      <c r="X12" s="132">
        <v>0</v>
      </c>
      <c r="Y12" s="132">
        <v>0</v>
      </c>
      <c r="Z12" s="45" t="s">
        <v>7</v>
      </c>
      <c r="AA12" s="46"/>
    </row>
    <row r="13" spans="1:27" x14ac:dyDescent="0.25">
      <c r="A13" s="43" t="str">
        <f>Categorías!A14</f>
        <v>UNIVERSIDAD DE PLAYA ANCHA CS. EDUCACIÓN</v>
      </c>
      <c r="B13" s="43" t="str">
        <f>Categorías!B14</f>
        <v>UPA</v>
      </c>
      <c r="C13" s="44" t="str">
        <f>Categorías!C14</f>
        <v>CRUCH-ESTATAL</v>
      </c>
      <c r="D13" s="43" t="str">
        <f>Categorías!Z14</f>
        <v>Categoría II</v>
      </c>
      <c r="E13" s="132">
        <v>277</v>
      </c>
      <c r="F13" s="132">
        <v>7474</v>
      </c>
      <c r="G13" s="132">
        <v>148.86363636367011</v>
      </c>
      <c r="H13" s="132">
        <v>411.01136363651335</v>
      </c>
      <c r="I13" s="175">
        <v>178.3636363637203</v>
      </c>
      <c r="J13" s="175">
        <v>0</v>
      </c>
      <c r="K13" s="132">
        <v>162</v>
      </c>
      <c r="L13" s="132">
        <v>3119</v>
      </c>
      <c r="M13" s="132">
        <v>736</v>
      </c>
      <c r="N13" s="134">
        <v>1132</v>
      </c>
      <c r="O13" s="134">
        <v>1402</v>
      </c>
      <c r="P13" s="134">
        <v>989</v>
      </c>
      <c r="Q13" s="134">
        <v>1127</v>
      </c>
      <c r="R13" s="135">
        <v>1035</v>
      </c>
      <c r="S13" s="135">
        <v>1611</v>
      </c>
      <c r="T13" s="132">
        <v>5</v>
      </c>
      <c r="U13" s="132">
        <v>6</v>
      </c>
      <c r="V13" s="132">
        <v>10</v>
      </c>
      <c r="W13" s="132">
        <v>10</v>
      </c>
      <c r="X13" s="132">
        <v>0</v>
      </c>
      <c r="Y13" s="132">
        <v>0</v>
      </c>
      <c r="Z13" s="45" t="s">
        <v>27</v>
      </c>
      <c r="AA13" s="46"/>
    </row>
    <row r="14" spans="1:27" x14ac:dyDescent="0.25">
      <c r="A14" s="43" t="str">
        <f>Categorías!A15</f>
        <v>UNIVERSIDAD ARTURO PRAT</v>
      </c>
      <c r="B14" s="43" t="str">
        <f>Categorías!B15</f>
        <v>UAP</v>
      </c>
      <c r="C14" s="44" t="str">
        <f>Categorías!C15</f>
        <v>CRUCH-ESTATAL</v>
      </c>
      <c r="D14" s="43" t="str">
        <f>Categorías!Z15</f>
        <v>Categoría II</v>
      </c>
      <c r="E14" s="132">
        <v>251</v>
      </c>
      <c r="F14" s="132">
        <v>11532</v>
      </c>
      <c r="G14" s="132">
        <v>86.659090908917989</v>
      </c>
      <c r="H14" s="132">
        <v>401.47727272662212</v>
      </c>
      <c r="I14" s="175">
        <v>187.49999999963322</v>
      </c>
      <c r="J14" s="175">
        <v>1.61363636364</v>
      </c>
      <c r="K14" s="132">
        <v>184</v>
      </c>
      <c r="L14" s="132">
        <v>3516</v>
      </c>
      <c r="M14" s="132">
        <v>628</v>
      </c>
      <c r="N14" s="134">
        <v>635</v>
      </c>
      <c r="O14" s="134">
        <v>880</v>
      </c>
      <c r="P14" s="134">
        <v>909</v>
      </c>
      <c r="Q14" s="134">
        <v>1100</v>
      </c>
      <c r="R14" s="135">
        <v>693</v>
      </c>
      <c r="S14" s="135">
        <v>1088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45" t="s">
        <v>23</v>
      </c>
      <c r="AA14" s="46"/>
    </row>
    <row r="15" spans="1:27" x14ac:dyDescent="0.25">
      <c r="A15" s="43" t="str">
        <f>Categorías!A16</f>
        <v>UNIVERSIDAD DE ATACAMA</v>
      </c>
      <c r="B15" s="43" t="str">
        <f>Categorías!B16</f>
        <v>ATA</v>
      </c>
      <c r="C15" s="44" t="str">
        <f>Categorías!C16</f>
        <v>CRUCH-ESTATAL</v>
      </c>
      <c r="D15" s="43" t="str">
        <f>Categorías!Z16</f>
        <v>Categoría II</v>
      </c>
      <c r="E15" s="132">
        <v>358</v>
      </c>
      <c r="F15" s="132">
        <v>7769</v>
      </c>
      <c r="G15" s="132">
        <v>100.13636363636</v>
      </c>
      <c r="H15" s="132">
        <v>379.82386363634203</v>
      </c>
      <c r="I15" s="175">
        <v>108.988636363632</v>
      </c>
      <c r="J15" s="175">
        <v>0</v>
      </c>
      <c r="K15" s="132">
        <v>234</v>
      </c>
      <c r="L15" s="132">
        <v>7305</v>
      </c>
      <c r="M15" s="132">
        <v>895</v>
      </c>
      <c r="N15" s="134">
        <v>613</v>
      </c>
      <c r="O15" s="134">
        <v>926</v>
      </c>
      <c r="P15" s="134">
        <v>777</v>
      </c>
      <c r="Q15" s="134">
        <v>889</v>
      </c>
      <c r="R15" s="135">
        <v>639</v>
      </c>
      <c r="S15" s="135">
        <v>1051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45" t="s">
        <v>24</v>
      </c>
      <c r="AA15" s="46"/>
    </row>
    <row r="16" spans="1:27" x14ac:dyDescent="0.25">
      <c r="A16" s="43" t="str">
        <f>Categorías!A17</f>
        <v>UNIVERSIDAD DE LOS LAGOS</v>
      </c>
      <c r="B16" s="43" t="str">
        <f>Categorías!B17</f>
        <v>ULA</v>
      </c>
      <c r="C16" s="44" t="str">
        <f>Categorías!C17</f>
        <v>CRUCH-ESTATAL</v>
      </c>
      <c r="D16" s="43" t="str">
        <f>Categorías!Z17</f>
        <v>Categoría II</v>
      </c>
      <c r="E16" s="132">
        <v>355</v>
      </c>
      <c r="F16" s="132">
        <v>9467</v>
      </c>
      <c r="G16" s="132">
        <v>132.23977272723002</v>
      </c>
      <c r="H16" s="132">
        <v>459.9840909088461</v>
      </c>
      <c r="I16" s="175">
        <v>220.29659090904897</v>
      </c>
      <c r="J16" s="175">
        <v>4.5454545455000002E-2</v>
      </c>
      <c r="K16" s="132">
        <v>288</v>
      </c>
      <c r="L16" s="132">
        <v>7380</v>
      </c>
      <c r="M16" s="132">
        <v>1080</v>
      </c>
      <c r="N16" s="134">
        <v>1077</v>
      </c>
      <c r="O16" s="134">
        <v>1246</v>
      </c>
      <c r="P16" s="134">
        <v>1276</v>
      </c>
      <c r="Q16" s="134">
        <v>1401</v>
      </c>
      <c r="R16" s="135">
        <v>884</v>
      </c>
      <c r="S16" s="135">
        <v>1301</v>
      </c>
      <c r="T16" s="132">
        <v>1</v>
      </c>
      <c r="U16" s="132">
        <v>2</v>
      </c>
      <c r="V16" s="132">
        <v>15</v>
      </c>
      <c r="W16" s="132">
        <v>3</v>
      </c>
      <c r="X16" s="132">
        <v>0</v>
      </c>
      <c r="Y16" s="132">
        <v>1</v>
      </c>
      <c r="Z16" s="45" t="s">
        <v>25</v>
      </c>
      <c r="AA16" s="46"/>
    </row>
    <row r="17" spans="1:27" x14ac:dyDescent="0.25">
      <c r="A17" s="43" t="str">
        <f>Categorías!A18</f>
        <v>UNIVERSIDAD DE MAGALLANES</v>
      </c>
      <c r="B17" s="43" t="str">
        <f>Categorías!B18</f>
        <v>MAG</v>
      </c>
      <c r="C17" s="44" t="str">
        <f>Categorías!C18</f>
        <v>CRUCH-ESTATAL</v>
      </c>
      <c r="D17" s="43" t="str">
        <f>Categorías!Z18</f>
        <v>Categoría II</v>
      </c>
      <c r="E17" s="132">
        <v>215</v>
      </c>
      <c r="F17" s="132">
        <v>4142</v>
      </c>
      <c r="G17" s="132">
        <v>93.273636363699993</v>
      </c>
      <c r="H17" s="132">
        <v>285.4672727272262</v>
      </c>
      <c r="I17" s="175">
        <v>78.747954545548012</v>
      </c>
      <c r="J17" s="175">
        <v>2.0661363636279999</v>
      </c>
      <c r="K17" s="132">
        <v>180</v>
      </c>
      <c r="L17" s="132">
        <v>7504</v>
      </c>
      <c r="M17" s="132">
        <v>732</v>
      </c>
      <c r="N17" s="134">
        <v>366</v>
      </c>
      <c r="O17" s="134">
        <v>621</v>
      </c>
      <c r="P17" s="134">
        <v>494</v>
      </c>
      <c r="Q17" s="134">
        <v>566</v>
      </c>
      <c r="R17" s="135">
        <v>441</v>
      </c>
      <c r="S17" s="135">
        <v>713</v>
      </c>
      <c r="T17" s="132">
        <v>0</v>
      </c>
      <c r="U17" s="132">
        <v>0</v>
      </c>
      <c r="V17" s="132">
        <v>0</v>
      </c>
      <c r="W17" s="132">
        <v>3</v>
      </c>
      <c r="X17" s="132">
        <v>0</v>
      </c>
      <c r="Y17" s="132">
        <v>0</v>
      </c>
      <c r="Z17" s="45" t="s">
        <v>26</v>
      </c>
      <c r="AA17" s="46"/>
    </row>
    <row r="18" spans="1:27" x14ac:dyDescent="0.25">
      <c r="A18" s="43" t="str">
        <f>Categorías!A19</f>
        <v>UNIVERSIDAD METROPOLITANA DE CS.DE LA EDUCACIÓN</v>
      </c>
      <c r="B18" s="43" t="str">
        <f>Categorías!B19</f>
        <v>UMC</v>
      </c>
      <c r="C18" s="44" t="str">
        <f>Categorías!C19</f>
        <v>CRUCH-ESTATAL</v>
      </c>
      <c r="D18" s="43" t="str">
        <f>Categorías!Z19</f>
        <v>Categoría II</v>
      </c>
      <c r="E18" s="132">
        <v>171</v>
      </c>
      <c r="F18" s="132">
        <v>4482</v>
      </c>
      <c r="G18" s="132">
        <v>91.375000000091987</v>
      </c>
      <c r="H18" s="132">
        <v>294.57386363667285</v>
      </c>
      <c r="I18" s="175">
        <v>133.17613636376689</v>
      </c>
      <c r="J18" s="175">
        <v>0</v>
      </c>
      <c r="K18" s="132">
        <v>105</v>
      </c>
      <c r="L18" s="132">
        <v>1573</v>
      </c>
      <c r="M18" s="132">
        <v>327</v>
      </c>
      <c r="N18" s="134">
        <v>503</v>
      </c>
      <c r="O18" s="134">
        <v>712</v>
      </c>
      <c r="P18" s="134">
        <v>785</v>
      </c>
      <c r="Q18" s="134">
        <v>890</v>
      </c>
      <c r="R18" s="135">
        <v>808</v>
      </c>
      <c r="S18" s="135">
        <v>1217</v>
      </c>
      <c r="T18" s="132">
        <v>0</v>
      </c>
      <c r="U18" s="132">
        <v>6</v>
      </c>
      <c r="V18" s="132">
        <v>3</v>
      </c>
      <c r="W18" s="132">
        <v>0</v>
      </c>
      <c r="X18" s="132">
        <v>0</v>
      </c>
      <c r="Y18" s="132">
        <v>0</v>
      </c>
      <c r="Z18" s="45" t="s">
        <v>28</v>
      </c>
      <c r="AA18" s="46"/>
    </row>
    <row r="19" spans="1:27" x14ac:dyDescent="0.25">
      <c r="A19" s="43" t="str">
        <f>Categorías!A20</f>
        <v>UNIVERSIDAD TECNOLÓGICA METROPOLITANA</v>
      </c>
      <c r="B19" s="43" t="str">
        <f>Categorías!B20</f>
        <v>UTM</v>
      </c>
      <c r="C19" s="44" t="str">
        <f>Categorías!C20</f>
        <v>CRUCH-ESTATAL</v>
      </c>
      <c r="D19" s="43" t="str">
        <f>Categorías!Z20</f>
        <v>Categoría II</v>
      </c>
      <c r="E19" s="132">
        <v>213</v>
      </c>
      <c r="F19" s="132">
        <v>9482</v>
      </c>
      <c r="G19" s="132">
        <v>117.25000000002693</v>
      </c>
      <c r="H19" s="132">
        <v>374.97727272741173</v>
      </c>
      <c r="I19" s="175">
        <v>161.88636363641297</v>
      </c>
      <c r="J19" s="175">
        <v>0</v>
      </c>
      <c r="K19" s="132">
        <v>223</v>
      </c>
      <c r="L19" s="132">
        <v>4826</v>
      </c>
      <c r="M19" s="132">
        <v>689</v>
      </c>
      <c r="N19" s="134">
        <v>1202</v>
      </c>
      <c r="O19" s="134">
        <v>1545</v>
      </c>
      <c r="P19" s="134">
        <v>1683</v>
      </c>
      <c r="Q19" s="134">
        <v>1990</v>
      </c>
      <c r="R19" s="135">
        <v>1320</v>
      </c>
      <c r="S19" s="135">
        <v>2232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5</v>
      </c>
      <c r="Z19" s="45" t="s">
        <v>29</v>
      </c>
      <c r="AA19" s="46"/>
    </row>
    <row r="20" spans="1:27" x14ac:dyDescent="0.25">
      <c r="A20" s="43" t="str">
        <f>Categorías!A21</f>
        <v>U. DE O'HIGGINS</v>
      </c>
      <c r="B20" s="43" t="str">
        <f>Categorías!B21</f>
        <v>URO</v>
      </c>
      <c r="C20" s="44" t="str">
        <f>Categorías!C21</f>
        <v>CRUCH-ESTATAL</v>
      </c>
      <c r="D20" s="43" t="str">
        <f>Categorías!Z21</f>
        <v>Categoría III</v>
      </c>
      <c r="E20" s="132">
        <v>114</v>
      </c>
      <c r="F20" s="132">
        <v>4104</v>
      </c>
      <c r="G20" s="132">
        <v>94.034090909154031</v>
      </c>
      <c r="H20" s="132">
        <v>202.03409090878506</v>
      </c>
      <c r="I20" s="175">
        <v>48.380681817969005</v>
      </c>
      <c r="J20" s="175">
        <v>6.6477272726940004</v>
      </c>
      <c r="K20" s="132">
        <v>172</v>
      </c>
      <c r="L20" s="132">
        <v>2413</v>
      </c>
      <c r="M20" s="132">
        <v>457</v>
      </c>
      <c r="N20" s="134">
        <v>725</v>
      </c>
      <c r="O20" s="134">
        <v>1018</v>
      </c>
      <c r="P20" s="134">
        <v>1079</v>
      </c>
      <c r="Q20" s="134">
        <v>1216</v>
      </c>
      <c r="R20" s="135">
        <v>582</v>
      </c>
      <c r="S20" s="135">
        <v>733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45" t="s">
        <v>88</v>
      </c>
      <c r="AA20" s="46"/>
    </row>
    <row r="21" spans="1:27" x14ac:dyDescent="0.25">
      <c r="A21" s="43" t="str">
        <f>Categorías!A22</f>
        <v>U. DE AYSÉN</v>
      </c>
      <c r="B21" s="43" t="str">
        <f>Categorías!B22</f>
        <v>URY</v>
      </c>
      <c r="C21" s="44" t="str">
        <f>Categorías!C22</f>
        <v>CRUCH-ESTATAL</v>
      </c>
      <c r="D21" s="43" t="str">
        <f>Categorías!Z22</f>
        <v>Categoría III</v>
      </c>
      <c r="E21" s="132">
        <v>46</v>
      </c>
      <c r="F21" s="132">
        <v>571</v>
      </c>
      <c r="G21" s="132">
        <v>28.068181818179013</v>
      </c>
      <c r="H21" s="132">
        <v>53.704545454611996</v>
      </c>
      <c r="I21" s="175">
        <v>12.227272727280996</v>
      </c>
      <c r="J21" s="175">
        <v>4.5454545455000002E-2</v>
      </c>
      <c r="K21" s="132">
        <v>46</v>
      </c>
      <c r="L21" s="132">
        <v>907</v>
      </c>
      <c r="M21" s="132">
        <v>115</v>
      </c>
      <c r="N21" s="134">
        <v>112</v>
      </c>
      <c r="O21" s="134">
        <v>169</v>
      </c>
      <c r="P21" s="134">
        <v>135</v>
      </c>
      <c r="Q21" s="134">
        <v>144</v>
      </c>
      <c r="R21" s="135">
        <v>82</v>
      </c>
      <c r="S21" s="135">
        <v>119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45" t="s">
        <v>90</v>
      </c>
      <c r="AA21" s="46"/>
    </row>
    <row r="22" spans="1:27" x14ac:dyDescent="0.25">
      <c r="E22" s="42">
        <v>6943</v>
      </c>
      <c r="F22" s="42">
        <v>208150</v>
      </c>
      <c r="G22" s="42">
        <v>4260.585000000613</v>
      </c>
      <c r="H22" s="42">
        <v>9993.870909092544</v>
      </c>
      <c r="I22" s="42">
        <v>3153.5254545458452</v>
      </c>
      <c r="J22" s="42">
        <v>391.79909090899292</v>
      </c>
      <c r="K22" s="42">
        <v>9532</v>
      </c>
      <c r="L22" s="42">
        <v>381570</v>
      </c>
      <c r="M22" s="42">
        <v>41955</v>
      </c>
      <c r="N22" s="42">
        <v>21291</v>
      </c>
      <c r="O22" s="42">
        <v>31666</v>
      </c>
      <c r="P22" s="42">
        <v>30255</v>
      </c>
      <c r="Q22" s="42">
        <v>33975</v>
      </c>
      <c r="R22" s="42">
        <v>24551</v>
      </c>
      <c r="S22" s="42">
        <v>35168</v>
      </c>
      <c r="T22" s="42">
        <v>73</v>
      </c>
      <c r="U22" s="42">
        <v>370</v>
      </c>
      <c r="V22" s="42">
        <v>384</v>
      </c>
      <c r="W22" s="42">
        <v>426</v>
      </c>
      <c r="X22" s="42">
        <v>10</v>
      </c>
      <c r="Y22" s="42">
        <v>20</v>
      </c>
      <c r="Z22" s="45"/>
    </row>
    <row r="25" spans="1:27" x14ac:dyDescent="0.25">
      <c r="L25" s="18"/>
    </row>
    <row r="26" spans="1:27" x14ac:dyDescent="0.25">
      <c r="L26" s="18"/>
    </row>
    <row r="27" spans="1:27" x14ac:dyDescent="0.25">
      <c r="L27" s="18"/>
    </row>
    <row r="28" spans="1:27" x14ac:dyDescent="0.25">
      <c r="L28" s="18"/>
    </row>
    <row r="29" spans="1:27" x14ac:dyDescent="0.25">
      <c r="A29" s="8" t="s">
        <v>190</v>
      </c>
      <c r="L29" s="18"/>
    </row>
    <row r="30" spans="1:27" x14ac:dyDescent="0.25">
      <c r="L30" s="18"/>
    </row>
    <row r="31" spans="1:27" x14ac:dyDescent="0.25">
      <c r="L31" s="18"/>
    </row>
    <row r="32" spans="1:27" x14ac:dyDescent="0.25">
      <c r="L32" s="18"/>
    </row>
    <row r="33" spans="12:12" x14ac:dyDescent="0.25">
      <c r="L33" s="18"/>
    </row>
    <row r="34" spans="12:12" x14ac:dyDescent="0.25">
      <c r="L34" s="18"/>
    </row>
    <row r="35" spans="12:12" x14ac:dyDescent="0.25">
      <c r="L35" s="18"/>
    </row>
    <row r="36" spans="12:12" x14ac:dyDescent="0.25">
      <c r="L36" s="18"/>
    </row>
    <row r="37" spans="12:12" x14ac:dyDescent="0.25">
      <c r="L37" s="18"/>
    </row>
    <row r="38" spans="12:12" x14ac:dyDescent="0.25">
      <c r="L38" s="18"/>
    </row>
    <row r="39" spans="12:12" x14ac:dyDescent="0.25">
      <c r="L39" s="18"/>
    </row>
    <row r="40" spans="12:12" x14ac:dyDescent="0.25">
      <c r="L40" s="18"/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I85"/>
  <sheetViews>
    <sheetView zoomScale="90" zoomScaleNormal="90" workbookViewId="0">
      <pane xSplit="2" ySplit="4" topLeftCell="Z5" activePane="bottomRight" state="frozen"/>
      <selection pane="topRight" activeCell="C1" sqref="C1"/>
      <selection pane="bottomLeft" activeCell="A4" sqref="A4"/>
      <selection pane="bottomRight" activeCell="AC30" sqref="AC30"/>
    </sheetView>
  </sheetViews>
  <sheetFormatPr baseColWidth="10" defaultRowHeight="15" x14ac:dyDescent="0.25"/>
  <cols>
    <col min="1" max="1" width="46.5703125" bestFit="1" customWidth="1"/>
    <col min="5" max="5" width="19.7109375" customWidth="1"/>
    <col min="28" max="28" width="11.28515625" customWidth="1"/>
    <col min="29" max="31" width="10.7109375" customWidth="1"/>
    <col min="32" max="32" width="14" customWidth="1"/>
    <col min="33" max="34" width="12.7109375" bestFit="1" customWidth="1"/>
    <col min="35" max="35" width="10.7109375" customWidth="1"/>
  </cols>
  <sheetData>
    <row r="1" spans="1:35" x14ac:dyDescent="0.25">
      <c r="A1" s="17" t="s">
        <v>140</v>
      </c>
      <c r="F1" s="4" t="s">
        <v>40</v>
      </c>
      <c r="G1" s="4" t="s">
        <v>41</v>
      </c>
      <c r="H1" s="4" t="s">
        <v>42</v>
      </c>
      <c r="I1" s="4" t="s">
        <v>43</v>
      </c>
      <c r="J1" s="4" t="s">
        <v>44</v>
      </c>
      <c r="K1" s="4" t="s">
        <v>45</v>
      </c>
      <c r="L1" s="4" t="s">
        <v>46</v>
      </c>
      <c r="M1" s="4" t="s">
        <v>47</v>
      </c>
      <c r="N1" s="4" t="s">
        <v>48</v>
      </c>
      <c r="O1" s="4" t="s">
        <v>84</v>
      </c>
      <c r="P1" s="4" t="s">
        <v>85</v>
      </c>
      <c r="Q1" s="24" t="s">
        <v>62</v>
      </c>
    </row>
    <row r="2" spans="1:35" x14ac:dyDescent="0.25">
      <c r="A2" s="17"/>
      <c r="B2" s="61">
        <v>1</v>
      </c>
      <c r="C2" s="61">
        <v>2</v>
      </c>
      <c r="D2" s="61">
        <v>3</v>
      </c>
      <c r="E2" s="61">
        <v>4</v>
      </c>
      <c r="F2" s="61">
        <v>5</v>
      </c>
      <c r="G2" s="61">
        <v>6</v>
      </c>
      <c r="H2" s="61">
        <v>7</v>
      </c>
      <c r="I2" s="61">
        <v>8</v>
      </c>
      <c r="J2" s="61">
        <v>9</v>
      </c>
      <c r="K2" s="61">
        <v>10</v>
      </c>
      <c r="L2" s="61">
        <v>11</v>
      </c>
      <c r="M2" s="61">
        <v>12</v>
      </c>
      <c r="N2" s="61">
        <v>13</v>
      </c>
      <c r="O2" s="61">
        <v>14</v>
      </c>
      <c r="P2" s="61">
        <v>15</v>
      </c>
      <c r="Q2" s="61">
        <v>16</v>
      </c>
      <c r="R2" s="61">
        <v>17</v>
      </c>
      <c r="S2" s="61">
        <v>18</v>
      </c>
      <c r="T2" s="61">
        <v>19</v>
      </c>
      <c r="U2" s="61">
        <v>20</v>
      </c>
      <c r="V2" s="61">
        <v>21</v>
      </c>
      <c r="W2" s="61">
        <v>22</v>
      </c>
      <c r="X2" s="61">
        <v>23</v>
      </c>
      <c r="Y2" s="61">
        <v>24</v>
      </c>
      <c r="Z2" s="61">
        <v>25</v>
      </c>
      <c r="AA2" s="61">
        <v>26</v>
      </c>
      <c r="AB2" s="61">
        <v>27</v>
      </c>
      <c r="AC2" s="61">
        <v>28</v>
      </c>
      <c r="AD2" s="61">
        <v>29</v>
      </c>
      <c r="AE2" s="61">
        <v>30</v>
      </c>
      <c r="AF2" s="61">
        <v>31</v>
      </c>
      <c r="AG2" s="61">
        <v>32</v>
      </c>
      <c r="AH2" s="61">
        <v>33</v>
      </c>
      <c r="AI2" s="61">
        <v>34</v>
      </c>
    </row>
    <row r="3" spans="1:35" ht="79.5" x14ac:dyDescent="0.25">
      <c r="F3" s="5" t="s">
        <v>49</v>
      </c>
      <c r="G3" s="5" t="s">
        <v>50</v>
      </c>
      <c r="H3" s="5" t="s">
        <v>51</v>
      </c>
      <c r="I3" s="5" t="s">
        <v>52</v>
      </c>
      <c r="J3" s="5" t="s">
        <v>53</v>
      </c>
      <c r="K3" s="5" t="s">
        <v>54</v>
      </c>
      <c r="L3" s="5" t="s">
        <v>55</v>
      </c>
      <c r="M3" s="5" t="s">
        <v>56</v>
      </c>
      <c r="N3" s="5" t="s">
        <v>57</v>
      </c>
      <c r="O3" s="5" t="s">
        <v>58</v>
      </c>
      <c r="P3" s="5" t="s">
        <v>59</v>
      </c>
      <c r="Q3" s="5" t="s">
        <v>49</v>
      </c>
      <c r="R3" s="5" t="s">
        <v>50</v>
      </c>
      <c r="S3" s="5" t="s">
        <v>51</v>
      </c>
      <c r="T3" s="5" t="s">
        <v>52</v>
      </c>
      <c r="U3" s="5" t="s">
        <v>53</v>
      </c>
      <c r="V3" s="5" t="s">
        <v>54</v>
      </c>
      <c r="W3" s="5" t="s">
        <v>55</v>
      </c>
      <c r="X3" s="5" t="s">
        <v>56</v>
      </c>
      <c r="Y3" s="5" t="s">
        <v>57</v>
      </c>
      <c r="Z3" s="5" t="s">
        <v>58</v>
      </c>
      <c r="AA3" s="5" t="s">
        <v>59</v>
      </c>
      <c r="AB3" s="5"/>
      <c r="AC3" s="5"/>
    </row>
    <row r="4" spans="1:35" ht="82.5" customHeight="1" x14ac:dyDescent="0.25">
      <c r="A4" s="9" t="s">
        <v>11</v>
      </c>
      <c r="B4" s="14" t="s">
        <v>1</v>
      </c>
      <c r="C4" s="14" t="s">
        <v>21</v>
      </c>
      <c r="D4" s="15" t="s">
        <v>39</v>
      </c>
      <c r="E4" s="16" t="s">
        <v>61</v>
      </c>
      <c r="F4" s="136" t="s">
        <v>297</v>
      </c>
      <c r="G4" s="136" t="s">
        <v>298</v>
      </c>
      <c r="H4" s="136" t="s">
        <v>299</v>
      </c>
      <c r="I4" s="136" t="s">
        <v>300</v>
      </c>
      <c r="J4" s="136" t="s">
        <v>301</v>
      </c>
      <c r="K4" s="136" t="s">
        <v>303</v>
      </c>
      <c r="L4" s="136" t="s">
        <v>302</v>
      </c>
      <c r="M4" s="136" t="s">
        <v>305</v>
      </c>
      <c r="N4" s="136" t="s">
        <v>306</v>
      </c>
      <c r="O4" s="136" t="s">
        <v>304</v>
      </c>
      <c r="P4" s="136" t="s">
        <v>307</v>
      </c>
      <c r="Q4" s="13" t="s">
        <v>60</v>
      </c>
      <c r="R4" s="10" t="s">
        <v>60</v>
      </c>
      <c r="S4" s="10" t="s">
        <v>60</v>
      </c>
      <c r="T4" s="10" t="s">
        <v>60</v>
      </c>
      <c r="U4" s="10" t="s">
        <v>60</v>
      </c>
      <c r="V4" s="10" t="s">
        <v>60</v>
      </c>
      <c r="W4" s="10" t="s">
        <v>60</v>
      </c>
      <c r="X4" s="10" t="s">
        <v>60</v>
      </c>
      <c r="Y4" s="10" t="s">
        <v>60</v>
      </c>
      <c r="Z4" s="10" t="s">
        <v>60</v>
      </c>
      <c r="AA4" s="10" t="s">
        <v>60</v>
      </c>
      <c r="AB4" s="33" t="s">
        <v>63</v>
      </c>
      <c r="AC4" s="34" t="s">
        <v>80</v>
      </c>
      <c r="AD4" s="34" t="s">
        <v>64</v>
      </c>
      <c r="AE4" s="34" t="s">
        <v>79</v>
      </c>
      <c r="AF4" s="34" t="s">
        <v>81</v>
      </c>
      <c r="AG4" s="34" t="s">
        <v>82</v>
      </c>
      <c r="AH4" s="34" t="s">
        <v>83</v>
      </c>
      <c r="AI4" s="34" t="s">
        <v>78</v>
      </c>
    </row>
    <row r="5" spans="1:35" x14ac:dyDescent="0.25">
      <c r="A5" s="25" t="str">
        <f>Valores!A4</f>
        <v>UNIVERSIDAD DE CHILE</v>
      </c>
      <c r="B5" s="26" t="str">
        <f>Valores!B4</f>
        <v>UCH</v>
      </c>
      <c r="C5" s="27" t="str">
        <f>Valores!C4</f>
        <v>CRUCH-ESTATAL</v>
      </c>
      <c r="D5" s="27" t="str">
        <f>Valores!D4</f>
        <v>Categoría I</v>
      </c>
      <c r="E5" s="27" t="str">
        <f>CONCATENATE(C5,D5)</f>
        <v>CRUCH-ESTATALCategoría I</v>
      </c>
      <c r="F5" s="28">
        <f>IFERROR(Valores!E4/Valores!F4*100,0)</f>
        <v>3.6901649584711844</v>
      </c>
      <c r="G5" s="29">
        <f>IFERROR(Valores!G4/Valores!H4,0)</f>
        <v>0.55047171624024638</v>
      </c>
      <c r="H5" s="29">
        <f>IFERROR((Valores!G4+Valores!I4+Valores!J4)/(Valores!H4),0)</f>
        <v>0.8364893167319839</v>
      </c>
      <c r="I5" s="29">
        <f>IFERROR(Valores!K4/Valores!H4,0)</f>
        <v>1.1929136884173723</v>
      </c>
      <c r="J5" s="29">
        <f>IFERROR(Valores!K4/Valores!G4,0)</f>
        <v>2.1670753523269854</v>
      </c>
      <c r="K5" s="29">
        <f>IFERROR(Valores!L4/Valores!M4,0)</f>
        <v>9.5236744759556107</v>
      </c>
      <c r="L5" s="29">
        <f>IFERROR(Valores!N4/Valores!O4,0)</f>
        <v>0.47207238559248305</v>
      </c>
      <c r="M5" s="29">
        <f>IFERROR(Valores!P4/Valores!Q4,0)</f>
        <v>0.92927376229084013</v>
      </c>
      <c r="N5" s="29">
        <f>IFERROR(Valores!R4/Valores!S4,0)</f>
        <v>0.77556440903054447</v>
      </c>
      <c r="O5" s="29">
        <f>IF(Valores!W4&gt;0,Valores!T4/Valores!W4,IF(AND(Valores!W4=0,OR(Valores!V4&gt;0,Valores!U4&gt;0)),0,IF(AND(Valores!V4=0,Valores!W4=0,Valores!U4=0),"NC",)))</f>
        <v>0.14553990610328638</v>
      </c>
      <c r="P5" s="30">
        <f>IFERROR((Valores!X4+Valores!Y4)*1000/(Valores!H4),0)</f>
        <v>1.2681577127045063</v>
      </c>
      <c r="Q5" s="31">
        <f t="array" ref="Q5">F5/MAX(IF($E$5:$E$26=$E5,F$5:F$26))</f>
        <v>0.94540667893102237</v>
      </c>
      <c r="R5" s="31">
        <f t="array" ref="R5">G5/MAX(IF($E$5:$E$26=$E5,G$5:G$26))</f>
        <v>1</v>
      </c>
      <c r="S5" s="31">
        <f t="array" ref="S5">H5/MAX(IF($E$5:$E$26=$E5,H$5:H$26))</f>
        <v>0.8642553610720034</v>
      </c>
      <c r="T5" s="31">
        <f t="array" ref="T5">I5/MAX(IF($E$5:$E$26=$E5,I$5:I$26))</f>
        <v>0.9765812217249048</v>
      </c>
      <c r="U5" s="31">
        <f t="array" ref="U5">J5/MAX(IF($E$5:$E$26=$E5,J$5:J$26))</f>
        <v>0.84176271757634624</v>
      </c>
      <c r="V5" s="31">
        <f t="array" ref="V5">K5/MAX(IF($E$5:$E$26=$E5,K$5:K$26))</f>
        <v>1</v>
      </c>
      <c r="W5" s="31">
        <f t="array" ref="W5">L5/MAX(IF($E$5:$E$26=$E5,L$5:L$26))</f>
        <v>0.62839391946543821</v>
      </c>
      <c r="X5" s="31">
        <f t="array" ref="X5">M5/MAX(IF($E$5:$E$26=$E5,M$5:M$26))</f>
        <v>1</v>
      </c>
      <c r="Y5" s="31">
        <f t="array" ref="Y5">N5/MAX(IF($E$5:$E$26=$E5,N$5:N$26))</f>
        <v>1</v>
      </c>
      <c r="Z5" s="31">
        <f t="array" ref="Z5">IF(O5="NC","NC",IF(O5=0,0,IF(O5&gt;0,O5/MAX(IF($E$5:$E$26=$E5,$O$5:$O$26,"ERROR")))))</f>
        <v>0.61126760563380278</v>
      </c>
      <c r="AA5" s="32">
        <f t="array" ref="AA5">IF(P5=0,0,P5/MAX(IF($E$5:$E$26=$E5,$P$5:$P$26)))</f>
        <v>0.15263575051901052</v>
      </c>
      <c r="AB5" s="11">
        <f>IF(Z5="NC",(SUM(Q5:Y5)+AA5)/(COUNTA(Q5:Y5)+COUNTA(AA5)),AVERAGE(Q5:AA5))</f>
        <v>0.82002756862932069</v>
      </c>
      <c r="AC5" s="11">
        <f t="array" ref="AC5">SUM(IF($E$5:$E$26=$E5,$AB$5:$AB$26,"ERROR"))</f>
        <v>2.5276236937313561</v>
      </c>
      <c r="AD5" s="36">
        <f>AB5/AC5</f>
        <v>0.32442628650104582</v>
      </c>
      <c r="AE5" s="12">
        <f>VLOOKUP(E5,Categorías!$A$35:$C$37,3,0)</f>
        <v>10907124</v>
      </c>
      <c r="AF5" s="112">
        <f>AD5*AE5</f>
        <v>3538557.7357264329</v>
      </c>
      <c r="AG5" s="85">
        <f>ROUND(AF5,0)</f>
        <v>3538558</v>
      </c>
      <c r="AH5" s="85">
        <f>ROUND(AG5,0)</f>
        <v>3538558</v>
      </c>
      <c r="AI5" s="22">
        <f t="array" ref="AI5">AG5/(SUM(IF($C$5:$C$26=$C5,$AG$5:$AG$26,0)))</f>
        <v>7.8914507428892416E-2</v>
      </c>
    </row>
    <row r="6" spans="1:35" x14ac:dyDescent="0.25">
      <c r="A6" s="25" t="str">
        <f>Valores!A5</f>
        <v>UNIVERSIDAD DE SANTIAGO DE CHILE</v>
      </c>
      <c r="B6" s="26" t="str">
        <f>Valores!B5</f>
        <v>USA</v>
      </c>
      <c r="C6" s="27" t="str">
        <f>Valores!C5</f>
        <v>CRUCH-ESTATAL</v>
      </c>
      <c r="D6" s="27" t="str">
        <f>Valores!D5</f>
        <v>Categoría I</v>
      </c>
      <c r="E6" s="27" t="str">
        <f t="shared" ref="E6:E20" si="0">CONCATENATE(C6,D6)</f>
        <v>CRUCH-ESTATALCategoría I</v>
      </c>
      <c r="F6" s="28">
        <f>IFERROR(Valores!E5/Valores!F5*100,0)</f>
        <v>2.4464712099268016</v>
      </c>
      <c r="G6" s="29">
        <f>IFERROR(Valores!G5/Valores!H5,0)</f>
        <v>0.39151411010462495</v>
      </c>
      <c r="H6" s="29">
        <f>IFERROR((Valores!G5+Valores!I5+Valores!J5)/(Valores!H5),0)</f>
        <v>0.66713086662167609</v>
      </c>
      <c r="I6" s="29">
        <f>IFERROR(Valores!K5/Valores!H5,0)</f>
        <v>0.97374359167878421</v>
      </c>
      <c r="J6" s="29">
        <f>IFERROR(Valores!K5/Valores!G5,0)</f>
        <v>2.4871226005585574</v>
      </c>
      <c r="K6" s="29">
        <f>IFERROR(Valores!L5/Valores!M5,0)</f>
        <v>7.2408388053378525</v>
      </c>
      <c r="L6" s="29">
        <f>IFERROR(Valores!N5/Valores!O5,0)</f>
        <v>0.66504144319843983</v>
      </c>
      <c r="M6" s="29">
        <f>IFERROR(Valores!P5/Valores!Q5,0)</f>
        <v>0.88212927756653992</v>
      </c>
      <c r="N6" s="29">
        <f>IFERROR(Valores!R5/Valores!S5,0)</f>
        <v>0.68265016756896102</v>
      </c>
      <c r="O6" s="29">
        <f>IF(Valores!W5&gt;0,Valores!T5/Valores!W5,IF(AND(Valores!W5=0,OR(Valores!V5&gt;0,Valores!U5&gt;0)),0,IF(AND(Valores!V5=0,Valores!W5=0,Valores!U5=0),"NC",)))</f>
        <v>0.16981132075471697</v>
      </c>
      <c r="P6" s="30">
        <f>IFERROR((Valores!X5+Valores!Y5)*1000/(Valores!H5),0)</f>
        <v>8.3083924204674418</v>
      </c>
      <c r="Q6" s="31">
        <f t="array" ref="Q6">F6/MAX(IF($E$5:$E$26=$E6,F$5:F$26))</f>
        <v>0.62677691856774986</v>
      </c>
      <c r="R6" s="31">
        <f t="array" ref="R6">G6/MAX(IF($E$5:$E$26=$E6,G$5:G$26))</f>
        <v>0.71123383555233122</v>
      </c>
      <c r="S6" s="31">
        <f t="array" ref="S6">H6/MAX(IF($E$5:$E$26=$E6,H$5:H$26))</f>
        <v>0.68927530391775715</v>
      </c>
      <c r="T6" s="31">
        <f t="array" ref="T6">I6/MAX(IF($E$5:$E$26=$E6,I$5:I$26))</f>
        <v>0.79715717544499543</v>
      </c>
      <c r="U6" s="31">
        <f t="array" ref="U6">J6/MAX(IF($E$5:$E$26=$E6,J$5:J$26))</f>
        <v>0.96607950293175904</v>
      </c>
      <c r="V6" s="31">
        <f t="array" ref="V6">K6/MAX(IF($E$5:$E$26=$E6,K$5:K$26))</f>
        <v>0.76029885561699684</v>
      </c>
      <c r="W6" s="31">
        <f t="array" ref="W6">L6/MAX(IF($E$5:$E$26=$E6,L$5:L$26))</f>
        <v>0.88526253992577042</v>
      </c>
      <c r="X6" s="31">
        <f t="array" ref="X6">M6/MAX(IF($E$5:$E$26=$E6,M$5:M$26))</f>
        <v>0.94926738853781911</v>
      </c>
      <c r="Y6" s="31">
        <f t="array" ref="Y6">N6/MAX(IF($E$5:$E$26=$E6,N$5:N$26))</f>
        <v>0.88019790441682821</v>
      </c>
      <c r="Z6" s="31">
        <f t="array" ref="Z6">IF(O6="NC","NC",IF(O6=0,0,IF(O6&gt;0,O6/MAX(IF($E$5:$E$26=$E6,$O$5:$O$26,"ERROR")))))</f>
        <v>0.71320754716981127</v>
      </c>
      <c r="AA6" s="32">
        <f t="array" ref="AA6">IF(P6=0,0,P6/MAX(IF($E$5:$E$26=$E6,$P$5:$P$26)))</f>
        <v>1</v>
      </c>
      <c r="AB6" s="11">
        <f t="shared" ref="AB6:AB19" si="1">IF(Z6="NC",(SUM(Q6:Y6)+AA6)/(COUNTA(Q6:Y6)+COUNTA(AA6)),AVERAGE(Q6:AA6))</f>
        <v>0.8162506338256198</v>
      </c>
      <c r="AC6" s="11">
        <f t="array" ref="AC6">SUM(IF($E$5:$E$26=$E6,$AB$5:$AB$26,"ERROR"))</f>
        <v>2.5276236937313561</v>
      </c>
      <c r="AD6" s="36">
        <f t="shared" ref="AD6:AD19" si="2">AB6/AC6</f>
        <v>0.32293202340600213</v>
      </c>
      <c r="AE6" s="12">
        <f>VLOOKUP(E6,Categorías!$A$35:$C$37,3,0)</f>
        <v>10907124</v>
      </c>
      <c r="AF6" s="112">
        <f t="shared" ref="AF6:AF20" si="3">AD6*AE6</f>
        <v>3522259.6228601676</v>
      </c>
      <c r="AG6" s="85">
        <f t="shared" ref="AG6:AH21" si="4">ROUND(AF6,0)</f>
        <v>3522260</v>
      </c>
      <c r="AH6" s="85">
        <f t="shared" si="4"/>
        <v>3522260</v>
      </c>
      <c r="AI6" s="22">
        <f t="array" ref="AI6">AG6/(SUM(IF($C$5:$C$26=$C6,$AG$5:$AG$26,0)))</f>
        <v>7.8551040547163734E-2</v>
      </c>
    </row>
    <row r="7" spans="1:35" x14ac:dyDescent="0.25">
      <c r="A7" s="25" t="str">
        <f>Valores!A6</f>
        <v>UNIVERSIDAD DE ANTOFAGASTA</v>
      </c>
      <c r="B7" s="26" t="str">
        <f>Valores!B6</f>
        <v>ANT</v>
      </c>
      <c r="C7" s="27" t="str">
        <f>Valores!C6</f>
        <v>CRUCH-ESTATAL</v>
      </c>
      <c r="D7" s="27" t="str">
        <f>Valores!D6</f>
        <v>Categoría II</v>
      </c>
      <c r="E7" s="27" t="str">
        <f t="shared" si="0"/>
        <v>CRUCH-ESTATALCategoría II</v>
      </c>
      <c r="F7" s="28">
        <f>IFERROR(Valores!E6/Valores!F6*100,0)</f>
        <v>4.0545613815542483</v>
      </c>
      <c r="G7" s="29">
        <f>IFERROR(Valores!G6/Valores!H6,0)</f>
        <v>0.37798001228294148</v>
      </c>
      <c r="H7" s="29">
        <f>IFERROR((Valores!G6+Valores!I6+Valores!J6)/(Valores!H6),0)</f>
        <v>0.72849087153148584</v>
      </c>
      <c r="I7" s="29">
        <f>IFERROR(Valores!K6/Valores!H6,0)</f>
        <v>0.93350455027631796</v>
      </c>
      <c r="J7" s="29">
        <f>IFERROR(Valores!K6/Valores!G6,0)</f>
        <v>2.4697193500738126</v>
      </c>
      <c r="K7" s="29">
        <f>IFERROR(Valores!L6/Valores!M6,0)</f>
        <v>17.780625000000001</v>
      </c>
      <c r="L7" s="29">
        <f>IFERROR(Valores!N6/Valores!O6,0)</f>
        <v>0.52444444444444449</v>
      </c>
      <c r="M7" s="29">
        <f>IFERROR(Valores!P6/Valores!Q6,0)</f>
        <v>0.85147744945567649</v>
      </c>
      <c r="N7" s="29">
        <f>IFERROR(Valores!R6/Valores!S6,0)</f>
        <v>0.73703703703703705</v>
      </c>
      <c r="O7" s="29">
        <f>IF(Valores!W6&gt;0,Valores!T6/Valores!W6,IF(AND(Valores!W6=0,OR(Valores!V6&gt;0,Valores!U6&gt;0)),0,IF(AND(Valores!V6=0,Valores!W6=0,Valores!U6=0),"NC",)))</f>
        <v>0.19047619047619047</v>
      </c>
      <c r="P7" s="30">
        <f>IFERROR((Valores!X6+Valores!Y6)*1000/(Valores!H6),0)</f>
        <v>14.739545530678706</v>
      </c>
      <c r="Q7" s="31">
        <f t="array" ref="Q7">F7/MAX(IF($E$5:$E$26=$E7,F$5:F$26))</f>
        <v>0.78111596476268352</v>
      </c>
      <c r="R7" s="31">
        <f t="array" ref="R7">G7/MAX(IF($E$5:$E$26=$E7,G$5:G$26))</f>
        <v>0.67527458547841468</v>
      </c>
      <c r="S7" s="31">
        <f t="array" ref="S7">H7/MAX(IF($E$5:$E$26=$E7,H$5:H$26))</f>
        <v>0.79327296006258763</v>
      </c>
      <c r="T7" s="31">
        <f t="array" ref="T7">I7/MAX(IF($E$5:$E$26=$E7,I$5:I$26))</f>
        <v>0.54381878279922002</v>
      </c>
      <c r="U7" s="31">
        <f t="array" ref="U7">J7/MAX(IF($E$5:$E$26=$E7,J$5:J$26))</f>
        <v>0.73231932079787321</v>
      </c>
      <c r="V7" s="31">
        <f t="array" ref="V7">K7/MAX(IF($E$5:$E$26=$E7,K$5:K$26))</f>
        <v>0.99280463421814447</v>
      </c>
      <c r="W7" s="31">
        <f t="array" ref="W7">L7/MAX(IF($E$5:$E$26=$E7,L$5:L$26))</f>
        <v>0.60673888373052731</v>
      </c>
      <c r="X7" s="31">
        <f t="array" ref="X7">M7/MAX(IF($E$5:$E$26=$E7,M$5:M$26))</f>
        <v>0.9049734148665044</v>
      </c>
      <c r="Y7" s="31">
        <f t="array" ref="Y7">N7/MAX(IF($E$5:$E$26=$E7,N$5:N$26))</f>
        <v>0.99768518518518512</v>
      </c>
      <c r="Z7" s="31">
        <f t="array" ref="Z7">IF(O7="NC","NC",IF(O7=0,0,IF(O7&gt;0,O7/MAX(IF($E$5:$E$26=$E7,$O$5:$O$26,"ERROR")))))</f>
        <v>0.38095238095238093</v>
      </c>
      <c r="AA7" s="32">
        <f t="array" ref="AA7">IF(P7=0,0,P7/MAX(IF($E$5:$E$26=$E7,$P$5:$P$26)))</f>
        <v>1</v>
      </c>
      <c r="AB7" s="11">
        <f t="shared" si="1"/>
        <v>0.76445055571395659</v>
      </c>
      <c r="AC7" s="11">
        <f t="array" ref="AC7">SUM(IF($E$5:$E$26=$E7,$AB$5:$AB$26,"ERROR"))</f>
        <v>8.3236920895193087</v>
      </c>
      <c r="AD7" s="36">
        <f t="shared" si="2"/>
        <v>9.184032127720182E-2</v>
      </c>
      <c r="AE7" s="12">
        <f>VLOOKUP(E7,Categorías!$A$35:$C$37,3,0)</f>
        <v>31509470</v>
      </c>
      <c r="AF7" s="112">
        <f t="shared" si="3"/>
        <v>2893839.8480743524</v>
      </c>
      <c r="AG7" s="85">
        <f t="shared" si="4"/>
        <v>2893840</v>
      </c>
      <c r="AH7" s="85">
        <f t="shared" si="4"/>
        <v>2893840</v>
      </c>
      <c r="AI7" s="22">
        <f t="array" ref="AI7">AG7/(SUM(IF($C$5:$C$26=$C7,$AG$5:$AG$26,0)))</f>
        <v>6.4536446252407342E-2</v>
      </c>
    </row>
    <row r="8" spans="1:35" x14ac:dyDescent="0.25">
      <c r="A8" s="25" t="str">
        <f>Valores!A7</f>
        <v>UNIVERSIDAD DE LA FRONTERA</v>
      </c>
      <c r="B8" s="26" t="str">
        <f>Valores!B7</f>
        <v>FRO</v>
      </c>
      <c r="C8" s="27" t="str">
        <f>Valores!C7</f>
        <v>CRUCH-ESTATAL</v>
      </c>
      <c r="D8" s="27" t="str">
        <f>Valores!D7</f>
        <v>Categoría II</v>
      </c>
      <c r="E8" s="27" t="str">
        <f t="shared" si="0"/>
        <v>CRUCH-ESTATALCategoría II</v>
      </c>
      <c r="F8" s="28">
        <f>IFERROR(Valores!E7/Valores!F7*100,0)</f>
        <v>3.1147271531886918</v>
      </c>
      <c r="G8" s="29">
        <f>IFERROR(Valores!G7/Valores!H7,0)</f>
        <v>0.55647431386337731</v>
      </c>
      <c r="H8" s="29">
        <f>IFERROR((Valores!G7+Valores!I7+Valores!J7)/(Valores!H7),0)</f>
        <v>0.84957776213926162</v>
      </c>
      <c r="I8" s="29">
        <f>IFERROR(Valores!K7/Valores!H7,0)</f>
        <v>1.7165728360305117</v>
      </c>
      <c r="J8" s="29">
        <f>IFERROR(Valores!K7/Valores!G7,0)</f>
        <v>3.0847296870057432</v>
      </c>
      <c r="K8" s="29">
        <f>IFERROR(Valores!L7/Valores!M7,0)</f>
        <v>9.2993296415039346</v>
      </c>
      <c r="L8" s="29">
        <f>IFERROR(Valores!N7/Valores!O7,0)</f>
        <v>0.6808873720136519</v>
      </c>
      <c r="M8" s="29">
        <f>IFERROR(Valores!P7/Valores!Q7,0)</f>
        <v>0.94088669950738912</v>
      </c>
      <c r="N8" s="29">
        <f>IFERROR(Valores!R7/Valores!S7,0)</f>
        <v>0.73874709976798147</v>
      </c>
      <c r="O8" s="29">
        <f>IF(Valores!W7&gt;0,Valores!T7/Valores!W7,IF(AND(Valores!W7=0,OR(Valores!V7&gt;0,Valores!U7&gt;0)),0,IF(AND(Valores!V7=0,Valores!W7=0,Valores!U7=0),"NC",)))</f>
        <v>0.2</v>
      </c>
      <c r="P8" s="30">
        <f>IFERROR((Valores!X7+Valores!Y7)*1000/(Valores!H7),0)</f>
        <v>3.8705137227294513</v>
      </c>
      <c r="Q8" s="31">
        <f t="array" ref="Q8">F8/MAX(IF($E$5:$E$26=$E8,F$5:F$26))</f>
        <v>0.60005580783756096</v>
      </c>
      <c r="R8" s="31">
        <f t="array" ref="R8">G8/MAX(IF($E$5:$E$26=$E8,G$5:G$26))</f>
        <v>0.99416093288601726</v>
      </c>
      <c r="S8" s="31">
        <f t="array" ref="S8">H8/MAX(IF($E$5:$E$26=$E8,H$5:H$26))</f>
        <v>0.92512767491340164</v>
      </c>
      <c r="T8" s="31">
        <f t="array" ref="T8">I8/MAX(IF($E$5:$E$26=$E8,I$5:I$26))</f>
        <v>1</v>
      </c>
      <c r="U8" s="31">
        <f t="array" ref="U8">J8/MAX(IF($E$5:$E$26=$E8,J$5:J$26))</f>
        <v>0.91468172250647306</v>
      </c>
      <c r="V8" s="31">
        <f t="array" ref="V8">K8/MAX(IF($E$5:$E$26=$E8,K$5:K$26))</f>
        <v>0.51924032834657174</v>
      </c>
      <c r="W8" s="31">
        <f t="array" ref="W8">L8/MAX(IF($E$5:$E$26=$E8,L$5:L$26))</f>
        <v>0.78773042296101237</v>
      </c>
      <c r="X8" s="31">
        <f t="array" ref="X8">M8/MAX(IF($E$5:$E$26=$E8,M$5:M$26))</f>
        <v>1</v>
      </c>
      <c r="Y8" s="31">
        <f t="array" ref="Y8">N8/MAX(IF($E$5:$E$26=$E8,N$5:N$26))</f>
        <v>1</v>
      </c>
      <c r="Z8" s="31">
        <f t="array" ref="Z8">IF(O8="NC","NC",IF(O8=0,0,IF(O8&gt;0,O8/MAX(IF($E$5:$E$26=$E8,$O$5:$O$26,"ERROR")))))</f>
        <v>0.4</v>
      </c>
      <c r="AA8" s="32">
        <f t="array" ref="AA8">IF(P8=0,0,P8/MAX(IF($E$5:$E$26=$E8,$P$5:$P$26)))</f>
        <v>0.26259383063564695</v>
      </c>
      <c r="AB8" s="11">
        <f t="shared" si="1"/>
        <v>0.76396279273515322</v>
      </c>
      <c r="AC8" s="11">
        <f t="array" ref="AC8">SUM(IF($E$5:$E$26=$E8,$AB$5:$AB$26,"ERROR"))</f>
        <v>8.3236920895193087</v>
      </c>
      <c r="AD8" s="36">
        <f t="shared" si="2"/>
        <v>9.1781721923266377E-2</v>
      </c>
      <c r="AE8" s="12">
        <f>VLOOKUP(E8,Categorías!$A$35:$C$37,3,0)</f>
        <v>31509470</v>
      </c>
      <c r="AF8" s="112">
        <f t="shared" si="3"/>
        <v>2891993.4134895043</v>
      </c>
      <c r="AG8" s="85">
        <f t="shared" si="4"/>
        <v>2891993</v>
      </c>
      <c r="AH8" s="85">
        <f t="shared" si="4"/>
        <v>2891993</v>
      </c>
      <c r="AI8" s="22">
        <f t="array" ref="AI8">AG8/(SUM(IF($C$5:$C$26=$C8,$AG$5:$AG$26,0)))</f>
        <v>6.4495255717952019E-2</v>
      </c>
    </row>
    <row r="9" spans="1:35" x14ac:dyDescent="0.25">
      <c r="A9" s="25" t="str">
        <f>Valores!A8</f>
        <v>UNIVERSIDAD DE TALCA</v>
      </c>
      <c r="B9" s="26" t="str">
        <f>Valores!B8</f>
        <v>TAL</v>
      </c>
      <c r="C9" s="27" t="str">
        <f>Valores!C8</f>
        <v>CRUCH-ESTATAL</v>
      </c>
      <c r="D9" s="27" t="str">
        <f>Valores!D8</f>
        <v>Categoría I</v>
      </c>
      <c r="E9" s="27" t="str">
        <f t="shared" si="0"/>
        <v>CRUCH-ESTATALCategoría I</v>
      </c>
      <c r="F9" s="28">
        <f>IFERROR(Valores!E8/Valores!F8*100,0)</f>
        <v>3.9032567049808433</v>
      </c>
      <c r="G9" s="29">
        <f>IFERROR(Valores!G8/Valores!H8,0)</f>
        <v>0.47447826919390823</v>
      </c>
      <c r="H9" s="29">
        <f>IFERROR((Valores!G8+Valores!I8+Valores!J8)/(Valores!H8),0)</f>
        <v>0.96787286999807665</v>
      </c>
      <c r="I9" s="29">
        <f>IFERROR(Valores!K8/Valores!H8,0)</f>
        <v>1.2215201991190925</v>
      </c>
      <c r="J9" s="29">
        <f>IFERROR(Valores!K8/Valores!G8,0)</f>
        <v>2.5744491969976515</v>
      </c>
      <c r="K9" s="29">
        <f>IFERROR(Valores!L8/Valores!M8,0)</f>
        <v>7.9227356746765247</v>
      </c>
      <c r="L9" s="29">
        <f>IFERROR(Valores!N8/Valores!O8,0)</f>
        <v>0.75123639960435218</v>
      </c>
      <c r="M9" s="29">
        <f>IFERROR(Valores!P8/Valores!Q8,0)</f>
        <v>0.86967054263565891</v>
      </c>
      <c r="N9" s="29">
        <f>IFERROR(Valores!R8/Valores!S8,0)</f>
        <v>0.75408348457350272</v>
      </c>
      <c r="O9" s="29">
        <f>IF(Valores!W8&gt;0,Valores!T8/Valores!W8,IF(AND(Valores!W8=0,OR(Valores!V8&gt;0,Valores!U8&gt;0)),0,IF(AND(Valores!V8=0,Valores!W8=0,Valores!U8=0),"NC",)))</f>
        <v>0.23809523809523808</v>
      </c>
      <c r="P9" s="30">
        <f>IFERROR((Valores!X8+Valores!Y8)*1000/(Valores!H8),0)</f>
        <v>1.6848554470608172</v>
      </c>
      <c r="Q9" s="31">
        <f t="array" ref="Q9">F9/MAX(IF($E$5:$E$26=$E9,F$5:F$26))</f>
        <v>1</v>
      </c>
      <c r="R9" s="31">
        <f t="array" ref="R9">G9/MAX(IF($E$5:$E$26=$E9,G$5:G$26))</f>
        <v>0.86194849834360654</v>
      </c>
      <c r="S9" s="31">
        <f t="array" ref="S9">H9/MAX(IF($E$5:$E$26=$E9,H$5:H$26))</f>
        <v>1</v>
      </c>
      <c r="T9" s="31">
        <f t="array" ref="T9">I9/MAX(IF($E$5:$E$26=$E9,I$5:I$26))</f>
        <v>1</v>
      </c>
      <c r="U9" s="31">
        <f t="array" ref="U9">J9/MAX(IF($E$5:$E$26=$E9,J$5:J$26))</f>
        <v>1</v>
      </c>
      <c r="V9" s="31">
        <f t="array" ref="V9">K9/MAX(IF($E$5:$E$26=$E9,K$5:K$26))</f>
        <v>0.83189904218996868</v>
      </c>
      <c r="W9" s="31">
        <f t="array" ref="W9">L9/MAX(IF($E$5:$E$26=$E9,L$5:L$26))</f>
        <v>1</v>
      </c>
      <c r="X9" s="31">
        <f t="array" ref="X9">M9/MAX(IF($E$5:$E$26=$E9,M$5:M$26))</f>
        <v>0.93586042986057438</v>
      </c>
      <c r="Y9" s="31">
        <f t="array" ref="Y9">N9/MAX(IF($E$5:$E$26=$E9,N$5:N$26))</f>
        <v>0.97230284911617737</v>
      </c>
      <c r="Z9" s="31">
        <f t="array" ref="Z9">IF(O9="NC","NC",IF(O9=0,0,IF(O9&gt;0,O9/MAX(IF($E$5:$E$26=$E9,$O$5:$O$26,"ERROR")))))</f>
        <v>1</v>
      </c>
      <c r="AA9" s="32">
        <f t="array" ref="AA9">IF(P9=0,0,P9/MAX(IF($E$5:$E$26=$E9,$P$5:$P$26)))</f>
        <v>0.20278958453024357</v>
      </c>
      <c r="AB9" s="11">
        <f t="shared" si="1"/>
        <v>0.89134549127641549</v>
      </c>
      <c r="AC9" s="11">
        <f t="array" ref="AC9">SUM(IF($E$5:$E$26=$E9,$AB$5:$AB$26,"ERROR"))</f>
        <v>2.5276236937313561</v>
      </c>
      <c r="AD9" s="36">
        <f t="shared" si="2"/>
        <v>0.35264169009295199</v>
      </c>
      <c r="AE9" s="12">
        <f>VLOOKUP(E9,Categorías!$A$35:$C$37,3,0)</f>
        <v>10907124</v>
      </c>
      <c r="AF9" s="112">
        <f t="shared" si="3"/>
        <v>3846306.641413399</v>
      </c>
      <c r="AG9" s="85">
        <f t="shared" si="4"/>
        <v>3846307</v>
      </c>
      <c r="AH9" s="85">
        <f t="shared" si="4"/>
        <v>3846307</v>
      </c>
      <c r="AI9" s="22">
        <f t="array" ref="AI9">AG9/(SUM(IF($C$5:$C$26=$C9,$AG$5:$AG$26,0)))</f>
        <v>8.5777715760290182E-2</v>
      </c>
    </row>
    <row r="10" spans="1:35" x14ac:dyDescent="0.25">
      <c r="A10" s="25" t="str">
        <f>Valores!A9</f>
        <v>UNIVERSIDAD DE TARAPACÁ</v>
      </c>
      <c r="B10" s="26" t="str">
        <f>Valores!B9</f>
        <v>UTA</v>
      </c>
      <c r="C10" s="27" t="str">
        <f>Valores!C9</f>
        <v>CRUCH-ESTATAL</v>
      </c>
      <c r="D10" s="27" t="str">
        <f>Valores!D9</f>
        <v>Categoría II</v>
      </c>
      <c r="E10" s="27" t="str">
        <f t="shared" si="0"/>
        <v>CRUCH-ESTATALCategoría II</v>
      </c>
      <c r="F10" s="28">
        <f>IFERROR(Valores!E9/Valores!F9*100,0)</f>
        <v>3.1237948322406477</v>
      </c>
      <c r="G10" s="29">
        <f>IFERROR(Valores!G9/Valores!H9,0)</f>
        <v>0.45555206039633411</v>
      </c>
      <c r="H10" s="29">
        <f>IFERROR((Valores!G9+Valores!I9+Valores!J9)/(Valores!H9),0)</f>
        <v>0.89317395407358213</v>
      </c>
      <c r="I10" s="29">
        <f>IFERROR(Valores!K9/Valores!H9,0)</f>
        <v>1.5363321799307741</v>
      </c>
      <c r="J10" s="29">
        <f>IFERROR(Valores!K9/Valores!G9,0)</f>
        <v>3.3724623670764484</v>
      </c>
      <c r="K10" s="29">
        <f>IFERROR(Valores!L9/Valores!M9,0)</f>
        <v>6.880065717415115</v>
      </c>
      <c r="L10" s="29">
        <f>IFERROR(Valores!N9/Valores!O9,0)</f>
        <v>0.78077314343845372</v>
      </c>
      <c r="M10" s="29">
        <f>IFERROR(Valores!P9/Valores!Q9,0)</f>
        <v>0.89197375063099449</v>
      </c>
      <c r="N10" s="29">
        <f>IFERROR(Valores!R9/Valores!S9,0)</f>
        <v>0.70104798676227242</v>
      </c>
      <c r="O10" s="29" t="str">
        <f>IF(Valores!W9&gt;0,Valores!T9/Valores!W9,IF(AND(Valores!W9=0,OR(Valores!V9&gt;0,Valores!U9&gt;0)),0,IF(AND(Valores!V9=0,Valores!W9=0,Valores!U9=0),"NC",)))</f>
        <v>NC</v>
      </c>
      <c r="P10" s="30">
        <f>IFERROR((Valores!X9+Valores!Y9)*1000/(Valores!H9),0)</f>
        <v>5.5363321799307172</v>
      </c>
      <c r="Q10" s="31">
        <f t="array" ref="Q10">F10/MAX(IF($E$5:$E$26=$E10,F$5:F$26))</f>
        <v>0.60180270675073311</v>
      </c>
      <c r="R10" s="31">
        <f t="array" ref="R10">G10/MAX(IF($E$5:$E$26=$E10,G$5:G$26))</f>
        <v>0.81385977763738881</v>
      </c>
      <c r="S10" s="31">
        <f t="array" ref="S10">H10/MAX(IF($E$5:$E$26=$E10,H$5:H$26))</f>
        <v>0.97260072032094513</v>
      </c>
      <c r="T10" s="31">
        <f t="array" ref="T10">I10/MAX(IF($E$5:$E$26=$E10,I$5:I$26))</f>
        <v>0.8949997038770956</v>
      </c>
      <c r="U10" s="31">
        <f t="array" ref="U10">J10/MAX(IF($E$5:$E$26=$E10,J$5:J$26))</f>
        <v>1</v>
      </c>
      <c r="V10" s="31">
        <f t="array" ref="V10">K10/MAX(IF($E$5:$E$26=$E10,K$5:K$26))</f>
        <v>0.38415753821786963</v>
      </c>
      <c r="W10" s="31">
        <f t="array" ref="W10">L10/MAX(IF($E$5:$E$26=$E10,L$5:L$26))</f>
        <v>0.90329000624355937</v>
      </c>
      <c r="X10" s="31">
        <f t="array" ref="X10">M10/MAX(IF($E$5:$E$26=$E10,M$5:M$26))</f>
        <v>0.94801398627273237</v>
      </c>
      <c r="Y10" s="31">
        <f t="array" ref="Y10">N10/MAX(IF($E$5:$E$26=$E10,N$5:N$26))</f>
        <v>0.94896885142757348</v>
      </c>
      <c r="Z10" s="31" t="str">
        <f t="array" ref="Z10">IF(O10="NC","NC",IF(O10=0,0,IF(O10&gt;0,O10/MAX(IF($E$5:$E$26=$E10,$O$5:$O$26,"ERROR")))))</f>
        <v>NC</v>
      </c>
      <c r="AA10" s="32">
        <f t="array" ref="AA10">IF(P10=0,0,P10/MAX(IF($E$5:$E$26=$E10,$P$5:$P$26)))</f>
        <v>0.37561077907100082</v>
      </c>
      <c r="AB10" s="11">
        <f t="shared" si="1"/>
        <v>0.78433040698188983</v>
      </c>
      <c r="AC10" s="11">
        <f t="array" ref="AC10">SUM(IF($E$5:$E$26=$E10,$AB$5:$AB$26,"ERROR"))</f>
        <v>8.3236920895193087</v>
      </c>
      <c r="AD10" s="36">
        <f t="shared" si="2"/>
        <v>9.4228666623729557E-2</v>
      </c>
      <c r="AE10" s="12">
        <f>VLOOKUP(E10,Categorías!$A$35:$C$37,3,0)</f>
        <v>31509470</v>
      </c>
      <c r="AF10" s="112">
        <f t="shared" si="3"/>
        <v>2969095.3441204079</v>
      </c>
      <c r="AG10" s="85">
        <f t="shared" si="4"/>
        <v>2969095</v>
      </c>
      <c r="AH10" s="85">
        <f t="shared" si="4"/>
        <v>2969095</v>
      </c>
      <c r="AI10" s="22">
        <f t="array" ref="AI10">AG10/(SUM(IF($C$5:$C$26=$C10,$AG$5:$AG$26,0)))</f>
        <v>6.6214731942951716E-2</v>
      </c>
    </row>
    <row r="11" spans="1:35" x14ac:dyDescent="0.25">
      <c r="A11" s="25" t="str">
        <f>Valores!A10</f>
        <v>UNIVERSIDAD DE VALPARAÍSO</v>
      </c>
      <c r="B11" s="26" t="str">
        <f>Valores!B10</f>
        <v>UVA</v>
      </c>
      <c r="C11" s="27" t="str">
        <f>Valores!C10</f>
        <v>CRUCH-ESTATAL</v>
      </c>
      <c r="D11" s="27" t="str">
        <f>Valores!D10</f>
        <v>Categoría II</v>
      </c>
      <c r="E11" s="27" t="str">
        <f t="shared" si="0"/>
        <v>CRUCH-ESTATALCategoría II</v>
      </c>
      <c r="F11" s="28">
        <f>IFERROR(Valores!E10/Valores!F10*100,0)</f>
        <v>3.3199013652492932</v>
      </c>
      <c r="G11" s="29">
        <f>IFERROR(Valores!G10/Valores!H10,0)</f>
        <v>0.35977028698049746</v>
      </c>
      <c r="H11" s="29">
        <f>IFERROR((Valores!G10+Valores!I10+Valores!J10)/(Valores!H10),0)</f>
        <v>0.81576474207606642</v>
      </c>
      <c r="I11" s="29">
        <f>IFERROR(Valores!K10/Valores!H10,0)</f>
        <v>0.79095819506321619</v>
      </c>
      <c r="J11" s="29">
        <f>IFERROR(Valores!K10/Valores!G10,0)</f>
        <v>2.1985089477555793</v>
      </c>
      <c r="K11" s="29">
        <f>IFERROR(Valores!L10/Valores!M10,0)</f>
        <v>10.297393787932881</v>
      </c>
      <c r="L11" s="29">
        <f>IFERROR(Valores!N10/Valores!O10,0)</f>
        <v>0.68366619115549221</v>
      </c>
      <c r="M11" s="29">
        <f>IFERROR(Valores!P10/Valores!Q10,0)</f>
        <v>0.88117182356813695</v>
      </c>
      <c r="N11" s="29">
        <f>IFERROR(Valores!R10/Valores!S10,0)</f>
        <v>0.67796127562642372</v>
      </c>
      <c r="O11" s="29">
        <f>IF(Valores!W10&gt;0,Valores!T10/Valores!W10,IF(AND(Valores!W10=0,OR(Valores!V10&gt;0,Valores!U10&gt;0)),0,IF(AND(Valores!V10=0,Valores!W10=0,Valores!U10=0),"NC",)))</f>
        <v>0.2</v>
      </c>
      <c r="P11" s="30">
        <f>IFERROR((Valores!X10+Valores!Y10)*1000/(Valores!H10),0)</f>
        <v>0</v>
      </c>
      <c r="Q11" s="31">
        <f t="array" ref="Q11">F11/MAX(IF($E$5:$E$26=$E11,F$5:F$26))</f>
        <v>0.63958285836570106</v>
      </c>
      <c r="R11" s="31">
        <f t="array" ref="R11">G11/MAX(IF($E$5:$E$26=$E11,G$5:G$26))</f>
        <v>0.64274227079062385</v>
      </c>
      <c r="S11" s="31">
        <f t="array" ref="S11">H11/MAX(IF($E$5:$E$26=$E11,H$5:H$26))</f>
        <v>0.88830778387235487</v>
      </c>
      <c r="T11" s="31">
        <f t="array" ref="T11">I11/MAX(IF($E$5:$E$26=$E11,I$5:I$26))</f>
        <v>0.46077753210418221</v>
      </c>
      <c r="U11" s="31">
        <f t="array" ref="U11">J11/MAX(IF($E$5:$E$26=$E11,J$5:J$26))</f>
        <v>0.65190021665429088</v>
      </c>
      <c r="V11" s="31">
        <f t="array" ref="V11">K11/MAX(IF($E$5:$E$26=$E11,K$5:K$26))</f>
        <v>0.57496855555015058</v>
      </c>
      <c r="W11" s="31">
        <f t="array" ref="W11">L11/MAX(IF($E$5:$E$26=$E11,L$5:L$26))</f>
        <v>0.79094528707497058</v>
      </c>
      <c r="X11" s="31">
        <f t="array" ref="X11">M11/MAX(IF($E$5:$E$26=$E11,M$5:M$26))</f>
        <v>0.93653340410644925</v>
      </c>
      <c r="Y11" s="31">
        <f t="array" ref="Y11">N11/MAX(IF($E$5:$E$26=$E11,N$5:N$26))</f>
        <v>0.91771768151692401</v>
      </c>
      <c r="Z11" s="31">
        <f t="array" ref="Z11">IF(O11="NC","NC",IF(O11=0,0,IF(O11&gt;0,O11/MAX(IF($E$5:$E$26=$E11,$O$5:$O$26,"ERROR")))))</f>
        <v>0.4</v>
      </c>
      <c r="AA11" s="32">
        <f t="array" ref="AA11">IF(P11=0,0,P11/MAX(IF($E$5:$E$26=$E11,$P$5:$P$26)))</f>
        <v>0</v>
      </c>
      <c r="AB11" s="11">
        <f t="shared" si="1"/>
        <v>0.62758869000324069</v>
      </c>
      <c r="AC11" s="11">
        <f t="array" ref="AC11">SUM(IF($E$5:$E$26=$E11,$AB$5:$AB$26,"ERROR"))</f>
        <v>8.3236920895193087</v>
      </c>
      <c r="AD11" s="36">
        <f t="shared" si="2"/>
        <v>7.5397874315108623E-2</v>
      </c>
      <c r="AE11" s="12">
        <f>VLOOKUP(E11,Categorías!$A$35:$C$37,3,0)</f>
        <v>31509470</v>
      </c>
      <c r="AF11" s="112">
        <f t="shared" si="3"/>
        <v>2375747.0587956859</v>
      </c>
      <c r="AG11" s="85">
        <f t="shared" si="4"/>
        <v>2375747</v>
      </c>
      <c r="AH11" s="85">
        <f t="shared" si="4"/>
        <v>2375747</v>
      </c>
      <c r="AI11" s="22">
        <f t="array" ref="AI11">AG11/(SUM(IF($C$5:$C$26=$C11,$AG$5:$AG$26,0)))</f>
        <v>5.2982289475167248E-2</v>
      </c>
    </row>
    <row r="12" spans="1:35" x14ac:dyDescent="0.25">
      <c r="A12" s="25" t="str">
        <f>Valores!A11</f>
        <v>UNIVERSIDAD DEL BÍO-BÍO</v>
      </c>
      <c r="B12" s="26" t="str">
        <f>Valores!B11</f>
        <v>UBB</v>
      </c>
      <c r="C12" s="27" t="str">
        <f>Valores!C11</f>
        <v>CRUCH-ESTATAL</v>
      </c>
      <c r="D12" s="27" t="str">
        <f>Valores!D11</f>
        <v>Categoría II</v>
      </c>
      <c r="E12" s="27" t="str">
        <f t="shared" si="0"/>
        <v>CRUCH-ESTATALCategoría II</v>
      </c>
      <c r="F12" s="28">
        <f>IFERROR(Valores!E11/Valores!F11*100,0)</f>
        <v>3.6797056235501162</v>
      </c>
      <c r="G12" s="29">
        <f>IFERROR(Valores!G11/Valores!H11,0)</f>
        <v>0.55974268899095669</v>
      </c>
      <c r="H12" s="29">
        <f>IFERROR((Valores!G11+Valores!I11+Valores!J11)/(Valores!H11),0)</f>
        <v>0.91833569049676089</v>
      </c>
      <c r="I12" s="29">
        <f>IFERROR(Valores!K11/Valores!H11,0)</f>
        <v>0.89730370911086543</v>
      </c>
      <c r="J12" s="29">
        <f>IFERROR(Valores!K11/Valores!G11,0)</f>
        <v>1.6030646344455646</v>
      </c>
      <c r="K12" s="29">
        <f>IFERROR(Valores!L11/Valores!M11,0)</f>
        <v>5.8230852211434732</v>
      </c>
      <c r="L12" s="29">
        <f>IFERROR(Valores!N11/Valores!O11,0)</f>
        <v>0.78052126200274352</v>
      </c>
      <c r="M12" s="29">
        <f>IFERROR(Valores!P11/Valores!Q11,0)</f>
        <v>0.89282589676290469</v>
      </c>
      <c r="N12" s="29">
        <f>IFERROR(Valores!R11/Valores!S11,0)</f>
        <v>0.72455338595762364</v>
      </c>
      <c r="O12" s="29">
        <f>IF(Valores!W11&gt;0,Valores!T11/Valores!W11,IF(AND(Valores!W11=0,OR(Valores!V11&gt;0,Valores!U11&gt;0)),0,IF(AND(Valores!V11=0,Valores!W11=0,Valores!U11=0),"NC",)))</f>
        <v>0.1</v>
      </c>
      <c r="P12" s="30">
        <f>IFERROR((Valores!X11+Valores!Y11)*1000/(Valores!H11),0)</f>
        <v>0</v>
      </c>
      <c r="Q12" s="31">
        <f t="array" ref="Q12">F12/MAX(IF($E$5:$E$26=$E12,F$5:F$26))</f>
        <v>0.70889956710439916</v>
      </c>
      <c r="R12" s="31">
        <f t="array" ref="R12">G12/MAX(IF($E$5:$E$26=$E12,G$5:G$26))</f>
        <v>1</v>
      </c>
      <c r="S12" s="31">
        <f t="array" ref="S12">H12/MAX(IF($E$5:$E$26=$E12,H$5:H$26))</f>
        <v>1</v>
      </c>
      <c r="T12" s="31">
        <f t="array" ref="T12">I12/MAX(IF($E$5:$E$26=$E12,I$5:I$26))</f>
        <v>0.52272976146228378</v>
      </c>
      <c r="U12" s="31">
        <f t="array" ref="U12">J12/MAX(IF($E$5:$E$26=$E12,J$5:J$26))</f>
        <v>0.47533951752743919</v>
      </c>
      <c r="V12" s="31">
        <f t="array" ref="V12">K12/MAX(IF($E$5:$E$26=$E12,K$5:K$26))</f>
        <v>0.32513963896085929</v>
      </c>
      <c r="W12" s="31">
        <f t="array" ref="W12">L12/MAX(IF($E$5:$E$26=$E12,L$5:L$26))</f>
        <v>0.90299860023715739</v>
      </c>
      <c r="X12" s="31">
        <f t="array" ref="X12">M12/MAX(IF($E$5:$E$26=$E12,M$5:M$26))</f>
        <v>0.94891967038151659</v>
      </c>
      <c r="Y12" s="31">
        <f t="array" ref="Y12">N12/MAX(IF($E$5:$E$26=$E12,N$5:N$26))</f>
        <v>0.98078677558962246</v>
      </c>
      <c r="Z12" s="31">
        <f t="array" ref="Z12">IF(O12="NC","NC",IF(O12=0,0,IF(O12&gt;0,O12/MAX(IF($E$5:$E$26=$E12,$O$5:$O$26,"ERROR")))))</f>
        <v>0.2</v>
      </c>
      <c r="AA12" s="32">
        <f t="array" ref="AA12">IF(P12=0,0,P12/MAX(IF($E$5:$E$26=$E12,$P$5:$P$26)))</f>
        <v>0</v>
      </c>
      <c r="AB12" s="35">
        <f t="shared" si="1"/>
        <v>0.64225577556938884</v>
      </c>
      <c r="AC12" s="11">
        <f t="array" ref="AC12">SUM(IF($E$5:$E$26=$E12,$AB$5:$AB$26,"ERROR"))</f>
        <v>8.3236920895193087</v>
      </c>
      <c r="AD12" s="36">
        <f t="shared" si="2"/>
        <v>7.715996323050904E-2</v>
      </c>
      <c r="AE12" s="12">
        <f>VLOOKUP(E12,Categorías!$A$35:$C$37,3,0)</f>
        <v>31509470</v>
      </c>
      <c r="AF12" s="112">
        <f t="shared" si="3"/>
        <v>2431269.5466128276</v>
      </c>
      <c r="AG12" s="85">
        <f t="shared" si="4"/>
        <v>2431270</v>
      </c>
      <c r="AH12" s="85">
        <f t="shared" si="4"/>
        <v>2431270</v>
      </c>
      <c r="AI12" s="22">
        <f t="array" ref="AI12">AG12/(SUM(IF($C$5:$C$26=$C12,$AG$5:$AG$26,0)))</f>
        <v>5.4220525557767671E-2</v>
      </c>
    </row>
    <row r="13" spans="1:35" x14ac:dyDescent="0.25">
      <c r="A13" s="25" t="str">
        <f>Valores!A12</f>
        <v>UNIVERSIDAD DE LA SERENA</v>
      </c>
      <c r="B13" s="26" t="str">
        <f>Valores!B12</f>
        <v>ULS</v>
      </c>
      <c r="C13" s="27" t="str">
        <f>Valores!C12</f>
        <v>CRUCH-ESTATAL</v>
      </c>
      <c r="D13" s="27" t="str">
        <f>Valores!D12</f>
        <v>Categoría II</v>
      </c>
      <c r="E13" s="27" t="str">
        <f t="shared" si="0"/>
        <v>CRUCH-ESTATALCategoría II</v>
      </c>
      <c r="F13" s="28">
        <f>IFERROR(Valores!E12/Valores!F12*100,0)</f>
        <v>2.386780905752754</v>
      </c>
      <c r="G13" s="29">
        <f>IFERROR(Valores!G12/Valores!H12,0)</f>
        <v>0.3679851281958002</v>
      </c>
      <c r="H13" s="29">
        <f>IFERROR((Valores!G12+Valores!I12+Valores!J12)/(Valores!H12),0)</f>
        <v>0.60694631057800785</v>
      </c>
      <c r="I13" s="29">
        <f>IFERROR(Valores!K12/Valores!H12,0)</f>
        <v>0.83252655021971433</v>
      </c>
      <c r="J13" s="29">
        <f>IFERROR(Valores!K12/Valores!G12,0)</f>
        <v>2.2623918371416836</v>
      </c>
      <c r="K13" s="29">
        <f>IFERROR(Valores!L12/Valores!M12,0)</f>
        <v>17.909490333919155</v>
      </c>
      <c r="L13" s="29">
        <f>IFERROR(Valores!N12/Valores!O12,0)</f>
        <v>0.71030640668523681</v>
      </c>
      <c r="M13" s="29">
        <f>IFERROR(Valores!P12/Valores!Q12,0)</f>
        <v>0.88993525603296053</v>
      </c>
      <c r="N13" s="29">
        <f>IFERROR(Valores!R12/Valores!S12,0)</f>
        <v>0.62649232518476405</v>
      </c>
      <c r="O13" s="29">
        <f>IF(Valores!W12&gt;0,Valores!T12/Valores!W12,IF(AND(Valores!W12=0,OR(Valores!V12&gt;0,Valores!U12&gt;0)),0,IF(AND(Valores!V12=0,Valores!W12=0,Valores!U12=0),"NC",)))</f>
        <v>8.3333333333333329E-2</v>
      </c>
      <c r="P13" s="30">
        <f>IFERROR((Valores!X12+Valores!Y12)*1000/(Valores!H12),0)</f>
        <v>0</v>
      </c>
      <c r="Q13" s="31">
        <f t="array" ref="Q13">F13/MAX(IF($E$5:$E$26=$E13,F$5:F$26))</f>
        <v>0.45981611681990264</v>
      </c>
      <c r="R13" s="31">
        <f t="array" ref="R13">G13/MAX(IF($E$5:$E$26=$E13,G$5:G$26))</f>
        <v>0.65741837353724764</v>
      </c>
      <c r="S13" s="31">
        <f t="array" ref="S13">H13/MAX(IF($E$5:$E$26=$E13,H$5:H$26))</f>
        <v>0.66091987587860024</v>
      </c>
      <c r="T13" s="31">
        <f t="array" ref="T13">I13/MAX(IF($E$5:$E$26=$E13,I$5:I$26))</f>
        <v>0.48499343153121899</v>
      </c>
      <c r="U13" s="31">
        <f t="array" ref="U13">J13/MAX(IF($E$5:$E$26=$E13,J$5:J$26))</f>
        <v>0.67084272288053037</v>
      </c>
      <c r="V13" s="31">
        <f t="array" ref="V13">K13/MAX(IF($E$5:$E$26=$E13,K$5:K$26))</f>
        <v>1</v>
      </c>
      <c r="W13" s="31">
        <f t="array" ref="W13">L13/MAX(IF($E$5:$E$26=$E13,L$5:L$26))</f>
        <v>0.82176581497660639</v>
      </c>
      <c r="X13" s="31">
        <f t="array" ref="X13">M13/MAX(IF($E$5:$E$26=$E13,M$5:M$26))</f>
        <v>0.94584741871565969</v>
      </c>
      <c r="Y13" s="31">
        <f t="array" ref="Y13">N13/MAX(IF($E$5:$E$26=$E13,N$5:N$26))</f>
        <v>0.84804708591279299</v>
      </c>
      <c r="Z13" s="31">
        <f t="array" ref="Z13">IF(O13="NC","NC",IF(O13=0,0,IF(O13&gt;0,O13/MAX(IF($E$5:$E$26=$E13,$O$5:$O$26,"ERROR")))))</f>
        <v>0.16666666666666666</v>
      </c>
      <c r="AA13" s="32">
        <f t="array" ref="AA13">IF(P13=0,0,P13/MAX(IF($E$5:$E$26=$E13,$P$5:$P$26)))</f>
        <v>0</v>
      </c>
      <c r="AB13" s="11">
        <f t="shared" si="1"/>
        <v>0.61057431881083868</v>
      </c>
      <c r="AC13" s="11">
        <f t="array" ref="AC13">SUM(IF($E$5:$E$26=$E13,$AB$5:$AB$26,"ERROR"))</f>
        <v>8.3236920895193087</v>
      </c>
      <c r="AD13" s="36">
        <f t="shared" si="2"/>
        <v>7.3353784864247568E-2</v>
      </c>
      <c r="AE13" s="12">
        <f>VLOOKUP(E13,Categorías!$A$35:$C$37,3,0)</f>
        <v>31509470</v>
      </c>
      <c r="AF13" s="112">
        <f t="shared" si="3"/>
        <v>2311338.8835664629</v>
      </c>
      <c r="AG13" s="85">
        <f t="shared" si="4"/>
        <v>2311339</v>
      </c>
      <c r="AH13" s="85">
        <f t="shared" si="4"/>
        <v>2311339</v>
      </c>
      <c r="AI13" s="22">
        <f t="array" ref="AI13">AG13/(SUM(IF($C$5:$C$26=$C13,$AG$5:$AG$26,0)))</f>
        <v>5.1545906181610916E-2</v>
      </c>
    </row>
    <row r="14" spans="1:35" x14ac:dyDescent="0.25">
      <c r="A14" s="25" t="str">
        <f>Valores!A13</f>
        <v>UNIVERSIDAD DE PLAYA ANCHA CS. EDUCACIÓN</v>
      </c>
      <c r="B14" s="26" t="str">
        <f>Valores!B13</f>
        <v>UPA</v>
      </c>
      <c r="C14" s="27" t="str">
        <f>Valores!C13</f>
        <v>CRUCH-ESTATAL</v>
      </c>
      <c r="D14" s="27" t="str">
        <f>Valores!D13</f>
        <v>Categoría II</v>
      </c>
      <c r="E14" s="27" t="str">
        <f t="shared" si="0"/>
        <v>CRUCH-ESTATALCategoría II</v>
      </c>
      <c r="F14" s="28">
        <f>IFERROR(Valores!E13/Valores!F13*100,0)</f>
        <v>3.7061814289537058</v>
      </c>
      <c r="G14" s="29">
        <f>IFERROR(Valores!G13/Valores!H13,0)</f>
        <v>0.36218861455937951</v>
      </c>
      <c r="H14" s="29">
        <f>IFERROR((Valores!G13+Valores!I13+Valores!J13)/(Valores!H13),0)</f>
        <v>0.79615140037047938</v>
      </c>
      <c r="I14" s="29">
        <f>IFERROR(Valores!K13/Valores!H13,0)</f>
        <v>0.39414968619521712</v>
      </c>
      <c r="J14" s="29">
        <f>IFERROR(Valores!K13/Valores!G13,0)</f>
        <v>1.0882442748089136</v>
      </c>
      <c r="K14" s="29">
        <f>IFERROR(Valores!L13/Valores!M13,0)</f>
        <v>4.2377717391304346</v>
      </c>
      <c r="L14" s="29">
        <f>IFERROR(Valores!N13/Valores!O13,0)</f>
        <v>0.80741797432239659</v>
      </c>
      <c r="M14" s="29">
        <f>IFERROR(Valores!P13/Valores!Q13,0)</f>
        <v>0.87755102040816324</v>
      </c>
      <c r="N14" s="29">
        <f>IFERROR(Valores!R13/Valores!S13,0)</f>
        <v>0.64245810055865926</v>
      </c>
      <c r="O14" s="29">
        <f>IF(Valores!W13&gt;0,Valores!T13/Valores!W13,IF(AND(Valores!W13=0,OR(Valores!V13&gt;0,Valores!U13&gt;0)),0,IF(AND(Valores!V13=0,Valores!W13=0,Valores!U13=0),"NC",)))</f>
        <v>0.5</v>
      </c>
      <c r="P14" s="30">
        <f>IFERROR((Valores!X13+Valores!Y13)*1000/(Valores!H13),0)</f>
        <v>0</v>
      </c>
      <c r="Q14" s="31">
        <f t="array" ref="Q14">F14/MAX(IF($E$5:$E$26=$E14,F$5:F$26))</f>
        <v>0.71400016180122095</v>
      </c>
      <c r="R14" s="31">
        <f t="array" ref="R14">G14/MAX(IF($E$5:$E$26=$E14,G$5:G$26))</f>
        <v>0.64706269806273631</v>
      </c>
      <c r="S14" s="31">
        <f t="array" ref="S14">H14/MAX(IF($E$5:$E$26=$E14,H$5:H$26))</f>
        <v>0.86695029781518385</v>
      </c>
      <c r="T14" s="31">
        <f t="array" ref="T14">I14/MAX(IF($E$5:$E$26=$E14,I$5:I$26))</f>
        <v>0.22961430935064103</v>
      </c>
      <c r="U14" s="31">
        <f t="array" ref="U14">J14/MAX(IF($E$5:$E$26=$E14,J$5:J$26))</f>
        <v>0.3226853723952155</v>
      </c>
      <c r="V14" s="31">
        <f t="array" ref="V14">K14/MAX(IF($E$5:$E$26=$E14,K$5:K$26))</f>
        <v>0.23662157102843015</v>
      </c>
      <c r="W14" s="31">
        <f t="array" ref="W14">L14/MAX(IF($E$5:$E$26=$E14,L$5:L$26))</f>
        <v>0.93411587372860372</v>
      </c>
      <c r="X14" s="31">
        <f t="array" ref="X14">M14/MAX(IF($E$5:$E$26=$E14,M$5:M$26))</f>
        <v>0.93268511593118919</v>
      </c>
      <c r="Y14" s="31">
        <f t="array" ref="Y14">N14/MAX(IF($E$5:$E$26=$E14,N$5:N$26))</f>
        <v>0.86965904943712979</v>
      </c>
      <c r="Z14" s="31">
        <f t="array" ref="Z14">IF(O14="NC","NC",IF(O14=0,0,IF(O14&gt;0,O14/MAX(IF($E$5:$E$26=$E14,$O$5:$O$26,"ERROR")))))</f>
        <v>1</v>
      </c>
      <c r="AA14" s="32">
        <f t="array" ref="AA14">IF(P14=0,0,P14/MAX(IF($E$5:$E$26=$E14,$P$5:$P$26)))</f>
        <v>0</v>
      </c>
      <c r="AB14" s="11">
        <f t="shared" si="1"/>
        <v>0.61394494995912274</v>
      </c>
      <c r="AC14" s="11">
        <f t="array" ref="AC14">SUM(IF($E$5:$E$26=$E14,$AB$5:$AB$26,"ERROR"))</f>
        <v>8.3236920895193087</v>
      </c>
      <c r="AD14" s="36">
        <f t="shared" si="2"/>
        <v>7.3758729101976894E-2</v>
      </c>
      <c r="AE14" s="12">
        <f>VLOOKUP(E14,Categorías!$A$35:$C$37,3,0)</f>
        <v>31509470</v>
      </c>
      <c r="AF14" s="112">
        <f t="shared" si="3"/>
        <v>2324098.4618768678</v>
      </c>
      <c r="AG14" s="85">
        <f t="shared" si="4"/>
        <v>2324098</v>
      </c>
      <c r="AH14" s="85">
        <f t="shared" si="4"/>
        <v>2324098</v>
      </c>
      <c r="AI14" s="22">
        <f t="array" ref="AI14">AG14/(SUM(IF($C$5:$C$26=$C14,$AG$5:$AG$26,0)))</f>
        <v>5.1830448698728125E-2</v>
      </c>
    </row>
    <row r="15" spans="1:35" x14ac:dyDescent="0.25">
      <c r="A15" s="25" t="str">
        <f>Valores!A14</f>
        <v>UNIVERSIDAD ARTURO PRAT</v>
      </c>
      <c r="B15" s="26" t="str">
        <f>Valores!B14</f>
        <v>UAP</v>
      </c>
      <c r="C15" s="27" t="str">
        <f>Valores!C14</f>
        <v>CRUCH-ESTATAL</v>
      </c>
      <c r="D15" s="27" t="str">
        <f>Valores!D14</f>
        <v>Categoría II</v>
      </c>
      <c r="E15" s="27" t="str">
        <f t="shared" si="0"/>
        <v>CRUCH-ESTATALCategoría II</v>
      </c>
      <c r="F15" s="28">
        <f>IFERROR(Valores!E14/Valores!F14*100,0)</f>
        <v>2.1765522025667705</v>
      </c>
      <c r="G15" s="29">
        <f>IFERROR(Valores!G14/Valores!H14,0)</f>
        <v>0.21585055193878125</v>
      </c>
      <c r="H15" s="29">
        <f>IFERROR((Valores!G14+Valores!I14+Valores!J14)/(Valores!H14),0)</f>
        <v>0.686894990093183</v>
      </c>
      <c r="I15" s="29">
        <f>IFERROR(Valores!K14/Valores!H14,0)</f>
        <v>0.4583073874901285</v>
      </c>
      <c r="J15" s="29">
        <f>IFERROR(Valores!K14/Valores!G14,0)</f>
        <v>2.123262522952047</v>
      </c>
      <c r="K15" s="29">
        <f>IFERROR(Valores!L14/Valores!M14,0)</f>
        <v>5.5987261146496818</v>
      </c>
      <c r="L15" s="29">
        <f>IFERROR(Valores!N14/Valores!O14,0)</f>
        <v>0.72159090909090906</v>
      </c>
      <c r="M15" s="29">
        <f>IFERROR(Valores!P14/Valores!Q14,0)</f>
        <v>0.82636363636363641</v>
      </c>
      <c r="N15" s="29">
        <f>IFERROR(Valores!R14/Valores!S14,0)</f>
        <v>0.63694852941176472</v>
      </c>
      <c r="O15" s="29" t="str">
        <f>IF(Valores!W14&gt;0,Valores!T14/Valores!W14,IF(AND(Valores!W14=0,OR(Valores!V14&gt;0,Valores!U14&gt;0)),0,IF(AND(Valores!V14=0,Valores!W14=0,Valores!U14=0),"NC",)))</f>
        <v>NC</v>
      </c>
      <c r="P15" s="30">
        <f>IFERROR((Valores!X14+Valores!Y14)*1000/(Valores!H14),0)</f>
        <v>0</v>
      </c>
      <c r="Q15" s="31">
        <f t="array" ref="Q15">F15/MAX(IF($E$5:$E$26=$E15,F$5:F$26))</f>
        <v>0.41931531269914246</v>
      </c>
      <c r="R15" s="31">
        <f t="array" ref="R15">G15/MAX(IF($E$5:$E$26=$E15,G$5:G$26))</f>
        <v>0.3856246024899283</v>
      </c>
      <c r="S15" s="31">
        <f t="array" ref="S15">H15/MAX(IF($E$5:$E$26=$E15,H$5:H$26))</f>
        <v>0.74797810561148581</v>
      </c>
      <c r="T15" s="31">
        <f t="array" ref="T15">I15/MAX(IF($E$5:$E$26=$E15,I$5:I$26))</f>
        <v>0.26698977047192551</v>
      </c>
      <c r="U15" s="31">
        <f t="array" ref="U15">J15/MAX(IF($E$5:$E$26=$E15,J$5:J$26))</f>
        <v>0.62958820346828082</v>
      </c>
      <c r="V15" s="31">
        <f t="array" ref="V15">K15/MAX(IF($E$5:$E$26=$E15,K$5:K$26))</f>
        <v>0.31261225251319064</v>
      </c>
      <c r="W15" s="31">
        <f t="array" ref="W15">L15/MAX(IF($E$5:$E$26=$E15,L$5:L$26))</f>
        <v>0.83482105174305732</v>
      </c>
      <c r="X15" s="31">
        <f t="array" ref="X15">M15/MAX(IF($E$5:$E$26=$E15,M$5:M$26))</f>
        <v>0.87828177058543555</v>
      </c>
      <c r="Y15" s="31">
        <f t="array" ref="Y15">N15/MAX(IF($E$5:$E$26=$E15,N$5:N$26))</f>
        <v>0.86220105583062367</v>
      </c>
      <c r="Z15" s="31" t="str">
        <f t="array" ref="Z15">IF(O15="NC","NC",IF(O15=0,0,IF(O15&gt;0,O15/MAX(IF($E$5:$E$26=$E15,$O$5:$O$26,"ERROR")))))</f>
        <v>NC</v>
      </c>
      <c r="AA15" s="32">
        <f t="array" ref="AA15">IF(P15=0,0,P15/MAX(IF($E$5:$E$26=$E15,$P$5:$P$26)))</f>
        <v>0</v>
      </c>
      <c r="AB15" s="11">
        <f t="shared" si="1"/>
        <v>0.53374121254130702</v>
      </c>
      <c r="AC15" s="11">
        <f t="array" ref="AC15">SUM(IF($E$5:$E$26=$E15,$AB$5:$AB$26,"ERROR"))</f>
        <v>8.3236920895193087</v>
      </c>
      <c r="AD15" s="36">
        <f t="shared" si="2"/>
        <v>6.4123132715752637E-2</v>
      </c>
      <c r="AE15" s="12">
        <f>VLOOKUP(E15,Categorías!$A$35:$C$37,3,0)</f>
        <v>31509470</v>
      </c>
      <c r="AF15" s="112">
        <f t="shared" si="3"/>
        <v>2020485.9266130263</v>
      </c>
      <c r="AG15" s="85">
        <f t="shared" si="4"/>
        <v>2020486</v>
      </c>
      <c r="AH15" s="85">
        <f t="shared" si="4"/>
        <v>2020486</v>
      </c>
      <c r="AI15" s="22">
        <f t="array" ref="AI15">AG15/(SUM(IF($C$5:$C$26=$C15,$AG$5:$AG$26,0)))</f>
        <v>4.5059500920141229E-2</v>
      </c>
    </row>
    <row r="16" spans="1:35" x14ac:dyDescent="0.25">
      <c r="A16" s="25" t="str">
        <f>Valores!A15</f>
        <v>UNIVERSIDAD DE ATACAMA</v>
      </c>
      <c r="B16" s="26" t="str">
        <f>Valores!B15</f>
        <v>ATA</v>
      </c>
      <c r="C16" s="27" t="str">
        <f>Valores!C15</f>
        <v>CRUCH-ESTATAL</v>
      </c>
      <c r="D16" s="27" t="str">
        <f>Valores!D15</f>
        <v>Categoría II</v>
      </c>
      <c r="E16" s="27" t="str">
        <f t="shared" si="0"/>
        <v>CRUCH-ESTATALCategoría II</v>
      </c>
      <c r="F16" s="28">
        <f>IFERROR(Valores!E15/Valores!F15*100,0)</f>
        <v>4.6080576650791603</v>
      </c>
      <c r="G16" s="29">
        <f>IFERROR(Valores!G15/Valores!H15,0)</f>
        <v>0.26363894747865135</v>
      </c>
      <c r="H16" s="29">
        <f>IFERROR((Valores!G15+Valores!I15+Valores!J15)/(Valores!H15),0)</f>
        <v>0.55058415234335123</v>
      </c>
      <c r="I16" s="29">
        <f>IFERROR(Valores!K15/Valores!H15,0)</f>
        <v>0.6160750347799121</v>
      </c>
      <c r="J16" s="29">
        <f>IFERROR(Valores!K15/Valores!G15,0)</f>
        <v>2.3368134362234168</v>
      </c>
      <c r="K16" s="29">
        <f>IFERROR(Valores!L15/Valores!M15,0)</f>
        <v>8.1620111731843572</v>
      </c>
      <c r="L16" s="29">
        <f>IFERROR(Valores!N15/Valores!O15,0)</f>
        <v>0.66198704103671702</v>
      </c>
      <c r="M16" s="29">
        <f>IFERROR(Valores!P15/Valores!Q15,0)</f>
        <v>0.87401574803149606</v>
      </c>
      <c r="N16" s="29">
        <f>IFERROR(Valores!R15/Valores!S15,0)</f>
        <v>0.60799238820171264</v>
      </c>
      <c r="O16" s="29" t="str">
        <f>IF(Valores!W15&gt;0,Valores!T15/Valores!W15,IF(AND(Valores!W15=0,OR(Valores!V15&gt;0,Valores!U15&gt;0)),0,IF(AND(Valores!V15=0,Valores!W15=0,Valores!U15=0),"NC",)))</f>
        <v>NC</v>
      </c>
      <c r="P16" s="30">
        <f>IFERROR((Valores!X15+Valores!Y15)*1000/(Valores!H15),0)</f>
        <v>0</v>
      </c>
      <c r="Q16" s="31">
        <f t="array" ref="Q16">F16/MAX(IF($E$5:$E$26=$E16,F$5:F$26))</f>
        <v>0.8877476673840875</v>
      </c>
      <c r="R16" s="31">
        <f t="array" ref="R16">G16/MAX(IF($E$5:$E$26=$E16,G$5:G$26))</f>
        <v>0.47100025183698424</v>
      </c>
      <c r="S16" s="31">
        <f t="array" ref="S16">H16/MAX(IF($E$5:$E$26=$E16,H$5:H$26))</f>
        <v>0.59954563243155712</v>
      </c>
      <c r="T16" s="31">
        <f t="array" ref="T16">I16/MAX(IF($E$5:$E$26=$E16,I$5:I$26))</f>
        <v>0.35889827792251133</v>
      </c>
      <c r="U16" s="31">
        <f t="array" ref="U16">J16/MAX(IF($E$5:$E$26=$E16,J$5:J$26))</f>
        <v>0.69291015936500289</v>
      </c>
      <c r="V16" s="31">
        <f t="array" ref="V16">K16/MAX(IF($E$5:$E$26=$E16,K$5:K$26))</f>
        <v>0.45573665252361506</v>
      </c>
      <c r="W16" s="31">
        <f t="array" ref="W16">L16/MAX(IF($E$5:$E$26=$E16,L$5:L$26))</f>
        <v>0.76586430188648968</v>
      </c>
      <c r="X16" s="31">
        <f t="array" ref="X16">M16/MAX(IF($E$5:$E$26=$E16,M$5:M$26))</f>
        <v>0.92892773220101421</v>
      </c>
      <c r="Y16" s="31">
        <f t="array" ref="Y16">N16/MAX(IF($E$5:$E$26=$E16,N$5:N$26))</f>
        <v>0.82300477171777053</v>
      </c>
      <c r="Z16" s="31" t="str">
        <f t="array" ref="Z16">IF(O16="NC","NC",IF(O16=0,0,IF(O16&gt;0,O16/MAX(IF($E$5:$E$26=$E16,$O$5:$O$26,"ERROR")))))</f>
        <v>NC</v>
      </c>
      <c r="AA16" s="32">
        <f t="array" ref="AA16">IF(P16=0,0,P16/MAX(IF($E$5:$E$26=$E16,$P$5:$P$26)))</f>
        <v>0</v>
      </c>
      <c r="AB16" s="11">
        <f t="shared" si="1"/>
        <v>0.59836354472690334</v>
      </c>
      <c r="AC16" s="11">
        <f t="array" ref="AC16">SUM(IF($E$5:$E$26=$E16,$AB$5:$AB$26,"ERROR"))</f>
        <v>8.3236920895193087</v>
      </c>
      <c r="AD16" s="36">
        <f t="shared" si="2"/>
        <v>7.188679474104126E-2</v>
      </c>
      <c r="AE16" s="12">
        <f>VLOOKUP(E16,Categorías!$A$35:$C$37,3,0)</f>
        <v>31509470</v>
      </c>
      <c r="AF16" s="112">
        <f t="shared" si="3"/>
        <v>2265114.8022889975</v>
      </c>
      <c r="AG16" s="85">
        <f t="shared" si="4"/>
        <v>2265115</v>
      </c>
      <c r="AH16" s="85">
        <f t="shared" si="4"/>
        <v>2265115</v>
      </c>
      <c r="AI16" s="22">
        <f t="array" ref="AI16">AG16/(SUM(IF($C$5:$C$26=$C16,$AG$5:$AG$26,0)))</f>
        <v>5.0515050055642906E-2</v>
      </c>
    </row>
    <row r="17" spans="1:35" x14ac:dyDescent="0.25">
      <c r="A17" s="25" t="str">
        <f>Valores!A16</f>
        <v>UNIVERSIDAD DE LOS LAGOS</v>
      </c>
      <c r="B17" s="26" t="str">
        <f>Valores!B16</f>
        <v>ULA</v>
      </c>
      <c r="C17" s="27" t="str">
        <f>Valores!C16</f>
        <v>CRUCH-ESTATAL</v>
      </c>
      <c r="D17" s="27" t="str">
        <f>Valores!D16</f>
        <v>Categoría II</v>
      </c>
      <c r="E17" s="27" t="str">
        <f t="shared" si="0"/>
        <v>CRUCH-ESTATALCategoría II</v>
      </c>
      <c r="F17" s="28">
        <f>IFERROR(Valores!E16/Valores!F16*100,0)</f>
        <v>3.7498679623956899</v>
      </c>
      <c r="G17" s="29">
        <f>IFERROR(Valores!G16/Valores!H16,0)</f>
        <v>0.28748770955523251</v>
      </c>
      <c r="H17" s="29">
        <f>IFERROR((Valores!G16+Valores!I16+Valores!J16)/(Valores!H16),0)</f>
        <v>0.76650872312800122</v>
      </c>
      <c r="I17" s="29">
        <f>IFERROR(Valores!K16/Valores!H16,0)</f>
        <v>0.62610861047599198</v>
      </c>
      <c r="J17" s="29">
        <f>IFERROR(Valores!K16/Valores!G16,0)</f>
        <v>2.1778621821594886</v>
      </c>
      <c r="K17" s="29">
        <f>IFERROR(Valores!L16/Valores!M16,0)</f>
        <v>6.833333333333333</v>
      </c>
      <c r="L17" s="29">
        <f>IFERROR(Valores!N16/Valores!O16,0)</f>
        <v>0.8643659711075441</v>
      </c>
      <c r="M17" s="29">
        <f>IFERROR(Valores!P16/Valores!Q16,0)</f>
        <v>0.91077801570306927</v>
      </c>
      <c r="N17" s="29">
        <f>IFERROR(Valores!R16/Valores!S16,0)</f>
        <v>0.67947732513451187</v>
      </c>
      <c r="O17" s="29">
        <f>IF(Valores!W16&gt;0,Valores!T16/Valores!W16,IF(AND(Valores!W16=0,OR(Valores!V16&gt;0,Valores!U16&gt;0)),0,IF(AND(Valores!V16=0,Valores!W16=0,Valores!U16=0),"NC",)))</f>
        <v>0.33333333333333331</v>
      </c>
      <c r="P17" s="30">
        <f>IFERROR((Valores!X16+Valores!Y16)*1000/(Valores!H16),0)</f>
        <v>2.1739882308194165</v>
      </c>
      <c r="Q17" s="31">
        <f t="array" ref="Q17">F17/MAX(IF($E$5:$E$26=$E17,F$5:F$26))</f>
        <v>0.72241642326711386</v>
      </c>
      <c r="R17" s="31">
        <f t="array" ref="R17">G17/MAX(IF($E$5:$E$26=$E17,G$5:G$26))</f>
        <v>0.51360690404636478</v>
      </c>
      <c r="S17" s="31">
        <f t="array" ref="S17">H17/MAX(IF($E$5:$E$26=$E17,H$5:H$26))</f>
        <v>0.83467160327109691</v>
      </c>
      <c r="T17" s="31">
        <f t="array" ref="T17">I17/MAX(IF($E$5:$E$26=$E17,I$5:I$26))</f>
        <v>0.36474339878512618</v>
      </c>
      <c r="U17" s="31">
        <f t="array" ref="U17">J17/MAX(IF($E$5:$E$26=$E17,J$5:J$26))</f>
        <v>0.6457780532766787</v>
      </c>
      <c r="V17" s="31">
        <f t="array" ref="V17">K17/MAX(IF($E$5:$E$26=$E17,K$5:K$26))</f>
        <v>0.38154817395286461</v>
      </c>
      <c r="W17" s="31">
        <f t="array" ref="W17">L17/MAX(IF($E$5:$E$26=$E17,L$5:L$26))</f>
        <v>1</v>
      </c>
      <c r="X17" s="31">
        <f t="array" ref="X17">M17/MAX(IF($E$5:$E$26=$E17,M$5:M$26))</f>
        <v>0.96799967113991137</v>
      </c>
      <c r="Y17" s="31">
        <f t="array" ref="Y17">N17/MAX(IF($E$5:$E$26=$E17,N$5:N$26))</f>
        <v>0.91976987164878954</v>
      </c>
      <c r="Z17" s="31">
        <f t="array" ref="Z17">IF(O17="NC","NC",IF(O17=0,0,IF(O17&gt;0,O17/MAX(IF($E$5:$E$26=$E17,$O$5:$O$26,"ERROR")))))</f>
        <v>0.66666666666666663</v>
      </c>
      <c r="AA17" s="32">
        <f t="array" ref="AA17">IF(P17=0,0,P17/MAX(IF($E$5:$E$26=$E17,$P$5:$P$26)))</f>
        <v>0.1474935727356386</v>
      </c>
      <c r="AB17" s="11">
        <f t="shared" si="1"/>
        <v>0.65133584898093189</v>
      </c>
      <c r="AC17" s="11">
        <f t="array" ref="AC17">SUM(IF($E$5:$E$26=$E17,$AB$5:$AB$26,"ERROR"))</f>
        <v>8.3236920895193087</v>
      </c>
      <c r="AD17" s="36">
        <f t="shared" si="2"/>
        <v>7.8250834122162535E-2</v>
      </c>
      <c r="AE17" s="12">
        <f>VLOOKUP(E17,Categorías!$A$35:$C$37,3,0)</f>
        <v>31509470</v>
      </c>
      <c r="AF17" s="112">
        <f t="shared" si="3"/>
        <v>2465642.3102472569</v>
      </c>
      <c r="AG17" s="85">
        <f t="shared" si="4"/>
        <v>2465642</v>
      </c>
      <c r="AH17" s="85">
        <f t="shared" si="4"/>
        <v>2465642</v>
      </c>
      <c r="AI17" s="22">
        <f t="array" ref="AI17">AG17/(SUM(IF($C$5:$C$26=$C17,$AG$5:$AG$26,0)))</f>
        <v>5.4987066462098159E-2</v>
      </c>
    </row>
    <row r="18" spans="1:35" x14ac:dyDescent="0.25">
      <c r="A18" s="25" t="str">
        <f>Valores!A17</f>
        <v>UNIVERSIDAD DE MAGALLANES</v>
      </c>
      <c r="B18" s="26" t="str">
        <f>Valores!B17</f>
        <v>MAG</v>
      </c>
      <c r="C18" s="27" t="str">
        <f>Valores!C17</f>
        <v>CRUCH-ESTATAL</v>
      </c>
      <c r="D18" s="27" t="str">
        <f>Valores!D17</f>
        <v>Categoría II</v>
      </c>
      <c r="E18" s="27" t="str">
        <f t="shared" si="0"/>
        <v>CRUCH-ESTATALCategoría II</v>
      </c>
      <c r="F18" s="28">
        <f>IFERROR(Valores!E17/Valores!F17*100,0)</f>
        <v>5.190729116368904</v>
      </c>
      <c r="G18" s="29">
        <f>IFERROR(Valores!G17/Valores!H17,0)</f>
        <v>0.32674020903554207</v>
      </c>
      <c r="H18" s="29">
        <f>IFERROR((Valores!G17+Valores!I17+Valores!J17)/(Valores!H17),0)</f>
        <v>0.60983427490556097</v>
      </c>
      <c r="I18" s="29">
        <f>IFERROR(Valores!K17/Valores!H17,0)</f>
        <v>0.63054513493039255</v>
      </c>
      <c r="J18" s="29">
        <f>IFERROR(Valores!K17/Valores!G17,0)</f>
        <v>1.9298057523792647</v>
      </c>
      <c r="K18" s="29">
        <f>IFERROR(Valores!L17/Valores!M17,0)</f>
        <v>10.251366120218579</v>
      </c>
      <c r="L18" s="29">
        <f>IFERROR(Valores!N17/Valores!O17,0)</f>
        <v>0.58937198067632846</v>
      </c>
      <c r="M18" s="29">
        <f>IFERROR(Valores!P17/Valores!Q17,0)</f>
        <v>0.87279151943462896</v>
      </c>
      <c r="N18" s="29">
        <f>IFERROR(Valores!R17/Valores!S17,0)</f>
        <v>0.61851332398316972</v>
      </c>
      <c r="O18" s="29">
        <f>IF(Valores!W17&gt;0,Valores!T17/Valores!W17,IF(AND(Valores!W17=0,OR(Valores!V17&gt;0,Valores!U17&gt;0)),0,IF(AND(Valores!V17=0,Valores!W17=0,Valores!U17=0),"NC",)))</f>
        <v>0</v>
      </c>
      <c r="P18" s="30">
        <f>IFERROR((Valores!X17+Valores!Y17)*1000/(Valores!H17),0)</f>
        <v>0</v>
      </c>
      <c r="Q18" s="31">
        <f t="array" ref="Q18">F18/MAX(IF($E$5:$E$26=$E18,F$5:F$26))</f>
        <v>1</v>
      </c>
      <c r="R18" s="31">
        <f t="array" ref="R18">G18/MAX(IF($E$5:$E$26=$E18,G$5:G$26))</f>
        <v>0.5837328748760503</v>
      </c>
      <c r="S18" s="31">
        <f t="array" ref="S18">H18/MAX(IF($E$5:$E$26=$E18,H$5:H$26))</f>
        <v>0.66406465654806424</v>
      </c>
      <c r="T18" s="31">
        <f t="array" ref="T18">I18/MAX(IF($E$5:$E$26=$E18,I$5:I$26))</f>
        <v>0.36732792322899416</v>
      </c>
      <c r="U18" s="31">
        <f t="array" ref="U18">J18/MAX(IF($E$5:$E$26=$E18,J$5:J$26))</f>
        <v>0.572224547623994</v>
      </c>
      <c r="V18" s="31">
        <f t="array" ref="V18">K18/MAX(IF($E$5:$E$26=$E18,K$5:K$26))</f>
        <v>0.57239854005243829</v>
      </c>
      <c r="W18" s="31">
        <f t="array" ref="W18">L18/MAX(IF($E$5:$E$26=$E18,L$5:L$26))</f>
        <v>0.6818546777369594</v>
      </c>
      <c r="X18" s="31">
        <f t="array" ref="X18">M18/MAX(IF($E$5:$E$26=$E18,M$5:M$26))</f>
        <v>0.92762658871848003</v>
      </c>
      <c r="Y18" s="31">
        <f t="array" ref="Y18">N18/MAX(IF($E$5:$E$26=$E18,N$5:N$26))</f>
        <v>0.83724636506515748</v>
      </c>
      <c r="Z18" s="31">
        <f t="array" ref="Z18">IF(O18="NC","NC",IF(O18=0,0,IF(O18&gt;0,O18/MAX(IF($E$5:$E$26=$E18,$O$5:$O$26,"ERROR")))))</f>
        <v>0</v>
      </c>
      <c r="AA18" s="32">
        <f t="array" ref="AA18">IF(P18=0,0,P18/MAX(IF($E$5:$E$26=$E18,$P$5:$P$26)))</f>
        <v>0</v>
      </c>
      <c r="AB18" s="11">
        <f t="shared" si="1"/>
        <v>0.56422510671364889</v>
      </c>
      <c r="AC18" s="11">
        <f t="array" ref="AC18">SUM(IF($E$5:$E$26=$E18,$AB$5:$AB$26,"ERROR"))</f>
        <v>8.3236920895193087</v>
      </c>
      <c r="AD18" s="36">
        <f t="shared" si="2"/>
        <v>6.7785437116791858E-2</v>
      </c>
      <c r="AE18" s="12">
        <f>VLOOKUP(E18,Categorías!$A$35:$C$37,3,0)</f>
        <v>31509470</v>
      </c>
      <c r="AF18" s="112">
        <f t="shared" si="3"/>
        <v>2135883.1972684395</v>
      </c>
      <c r="AG18" s="85">
        <f t="shared" si="4"/>
        <v>2135883</v>
      </c>
      <c r="AH18" s="85">
        <f t="shared" si="4"/>
        <v>2135883</v>
      </c>
      <c r="AI18" s="22">
        <f t="array" ref="AI18">AG18/(SUM(IF($C$5:$C$26=$C18,$AG$5:$AG$26,0)))</f>
        <v>4.7633006120217619E-2</v>
      </c>
    </row>
    <row r="19" spans="1:35" x14ac:dyDescent="0.25">
      <c r="A19" s="25" t="str">
        <f>Valores!A18</f>
        <v>UNIVERSIDAD METROPOLITANA DE CS.DE LA EDUCACIÓN</v>
      </c>
      <c r="B19" s="26" t="str">
        <f>Valores!B18</f>
        <v>UMC</v>
      </c>
      <c r="C19" s="27" t="str">
        <f>Valores!C18</f>
        <v>CRUCH-ESTATAL</v>
      </c>
      <c r="D19" s="27" t="str">
        <f>Valores!D18</f>
        <v>Categoría II</v>
      </c>
      <c r="E19" s="27" t="str">
        <f t="shared" si="0"/>
        <v>CRUCH-ESTATALCategoría II</v>
      </c>
      <c r="F19" s="28">
        <f>IFERROR(Valores!E18/Valores!F18*100,0)</f>
        <v>3.8152610441767072</v>
      </c>
      <c r="G19" s="29">
        <f>IFERROR(Valores!G18/Valores!H18,0)</f>
        <v>0.31019384704406033</v>
      </c>
      <c r="H19" s="29">
        <f>IFERROR((Valores!G18+Valores!I18+Valores!J18)/(Valores!H18),0)</f>
        <v>0.76229144565527385</v>
      </c>
      <c r="I19" s="29">
        <f>IFERROR(Valores!K18/Valores!H18,0)</f>
        <v>0.35644710193809626</v>
      </c>
      <c r="J19" s="29">
        <f>IFERROR(Valores!K18/Valores!G18,0)</f>
        <v>1.1491108071123863</v>
      </c>
      <c r="K19" s="29">
        <f>IFERROR(Valores!L18/Valores!M18,0)</f>
        <v>4.81039755351682</v>
      </c>
      <c r="L19" s="29">
        <f>IFERROR(Valores!N18/Valores!O18,0)</f>
        <v>0.7064606741573034</v>
      </c>
      <c r="M19" s="29">
        <f>IFERROR(Valores!P18/Valores!Q18,0)</f>
        <v>0.8820224719101124</v>
      </c>
      <c r="N19" s="29">
        <f>IFERROR(Valores!R18/Valores!S18,0)</f>
        <v>0.66392769104354976</v>
      </c>
      <c r="O19" s="29">
        <f>IF(Valores!W18&gt;0,Valores!T18/Valores!W18,IF(AND(Valores!W18=0,OR(Valores!V18&gt;0,Valores!U18&gt;0)),0,IF(AND(Valores!V18=0,Valores!W18=0,Valores!U18=0),"NC",)))</f>
        <v>0</v>
      </c>
      <c r="P19" s="30">
        <f>IFERROR((Valores!X18+Valores!Y18)*1000/(Valores!H18),0)</f>
        <v>0</v>
      </c>
      <c r="Q19" s="31">
        <f t="array" ref="Q19">F19/MAX(IF($E$5:$E$26=$E19,F$5:F$26))</f>
        <v>0.73501447651069396</v>
      </c>
      <c r="R19" s="31">
        <f t="array" ref="R19">G19/MAX(IF($E$5:$E$26=$E19,G$5:G$26))</f>
        <v>0.55417221724368404</v>
      </c>
      <c r="S19" s="31">
        <f t="array" ref="S19">H19/MAX(IF($E$5:$E$26=$E19,H$5:H$26))</f>
        <v>0.83007929839133543</v>
      </c>
      <c r="T19" s="31">
        <f t="array" ref="T19">I19/MAX(IF($E$5:$E$26=$E19,I$5:I$26))</f>
        <v>0.20765043839465749</v>
      </c>
      <c r="U19" s="31">
        <f t="array" ref="U19">J19/MAX(IF($E$5:$E$26=$E19,J$5:J$26))</f>
        <v>0.34073347069208015</v>
      </c>
      <c r="V19" s="31">
        <f t="array" ref="V19">K19/MAX(IF($E$5:$E$26=$E19,K$5:K$26))</f>
        <v>0.26859488817536636</v>
      </c>
      <c r="W19" s="31">
        <f t="array" ref="W19">L19/MAX(IF($E$5:$E$26=$E19,L$5:L$26))</f>
        <v>0.81731662024141138</v>
      </c>
      <c r="X19" s="31">
        <f t="array" ref="X19">M19/MAX(IF($E$5:$E$26=$E19,M$5:M$26))</f>
        <v>0.93743749632331319</v>
      </c>
      <c r="Y19" s="31">
        <f t="array" ref="Y19">N19/MAX(IF($E$5:$E$26=$E19,N$5:N$26))</f>
        <v>0.89872121494902613</v>
      </c>
      <c r="Z19" s="31">
        <f t="array" ref="Z19">IF(O19="NC","NC",IF(O19=0,0,IF(O19&gt;0,O19/MAX(IF($E$5:$E$26=$E19,$O$5:$O$26,"ERROR")))))</f>
        <v>0</v>
      </c>
      <c r="AA19" s="32">
        <f t="array" ref="AA19">IF(P19=0,0,P19/MAX(IF($E$5:$E$26=$E19,$P$5:$P$26)))</f>
        <v>0</v>
      </c>
      <c r="AB19" s="11">
        <f t="shared" si="1"/>
        <v>0.50815637462923346</v>
      </c>
      <c r="AC19" s="11">
        <f t="array" ref="AC19">SUM(IF($E$5:$E$26=$E19,$AB$5:$AB$26,"ERROR"))</f>
        <v>8.3236920895193087</v>
      </c>
      <c r="AD19" s="36">
        <f t="shared" si="2"/>
        <v>6.104939600890251E-2</v>
      </c>
      <c r="AE19" s="12">
        <f>VLOOKUP(E19,Categorías!$A$35:$C$37,3,0)</f>
        <v>31509470</v>
      </c>
      <c r="AF19" s="112">
        <f t="shared" si="3"/>
        <v>1923634.1120606333</v>
      </c>
      <c r="AG19" s="85">
        <f t="shared" si="4"/>
        <v>1923634</v>
      </c>
      <c r="AH19" s="85">
        <f t="shared" si="4"/>
        <v>1923634</v>
      </c>
      <c r="AI19" s="22">
        <f t="array" ref="AI19">AG19/(SUM(IF($C$5:$C$26=$C19,$AG$5:$AG$26,0)))</f>
        <v>4.289957366347253E-2</v>
      </c>
    </row>
    <row r="20" spans="1:35" x14ac:dyDescent="0.25">
      <c r="A20" s="25" t="str">
        <f>Valores!A19</f>
        <v>UNIVERSIDAD TECNOLÓGICA METROPOLITANA</v>
      </c>
      <c r="B20" s="26" t="str">
        <f>Valores!B19</f>
        <v>UTM</v>
      </c>
      <c r="C20" s="27" t="str">
        <f>Valores!C19</f>
        <v>CRUCH-ESTATAL</v>
      </c>
      <c r="D20" s="27" t="str">
        <f>Valores!D19</f>
        <v>Categoría II</v>
      </c>
      <c r="E20" s="27" t="str">
        <f t="shared" si="0"/>
        <v>CRUCH-ESTATALCategoría II</v>
      </c>
      <c r="F20" s="28">
        <f>IFERROR(Valores!E19/Valores!F19*100,0)</f>
        <v>2.2463615271039865</v>
      </c>
      <c r="G20" s="29">
        <f>IFERROR(Valores!G19/Valores!H19,0)</f>
        <v>0.31268561731009592</v>
      </c>
      <c r="H20" s="29">
        <f>IFERROR((Valores!G19+Valores!I19+Valores!J19)/(Valores!H19),0)</f>
        <v>0.74440875204550594</v>
      </c>
      <c r="I20" s="29">
        <f>IFERROR(Valores!K19/Valores!H19,0)</f>
        <v>0.59470270925488589</v>
      </c>
      <c r="J20" s="29">
        <f>IFERROR(Valores!K19/Valores!G19,0)</f>
        <v>1.9019189765454054</v>
      </c>
      <c r="K20" s="29">
        <f>IFERROR(Valores!L19/Valores!M19,0)</f>
        <v>7.0043541364296082</v>
      </c>
      <c r="L20" s="29">
        <f>IFERROR(Valores!N19/Valores!O19,0)</f>
        <v>0.77799352750809059</v>
      </c>
      <c r="M20" s="29">
        <f>IFERROR(Valores!P19/Valores!Q19,0)</f>
        <v>0.84572864321608043</v>
      </c>
      <c r="N20" s="29">
        <f>IFERROR(Valores!R19/Valores!S19,0)</f>
        <v>0.59139784946236562</v>
      </c>
      <c r="O20" s="29" t="str">
        <f>IF(Valores!W19&gt;0,Valores!T19/Valores!W19,IF(AND(Valores!W19=0,OR(Valores!V19&gt;0,Valores!U19&gt;0)),0,IF(AND(Valores!V19=0,Valores!W19=0,Valores!U19=0),"NC",)))</f>
        <v>NC</v>
      </c>
      <c r="P20" s="30">
        <f>IFERROR((Valores!X19+Valores!Y19)*1000/(Valores!H19),0)</f>
        <v>13.334141463114033</v>
      </c>
      <c r="Q20" s="31">
        <f t="array" ref="Q20">F20/MAX(IF($E$5:$E$26=$E20,F$5:F$26))</f>
        <v>0.4327641602448703</v>
      </c>
      <c r="R20" s="31">
        <f t="array" ref="R20">G20/MAX(IF($E$5:$E$26=$E20,G$5:G$26))</f>
        <v>0.5586238524593713</v>
      </c>
      <c r="S20" s="31">
        <f t="array" ref="S20">H20/MAX(IF($E$5:$E$26=$E20,H$5:H$26))</f>
        <v>0.81060636077731929</v>
      </c>
      <c r="T20" s="31">
        <f t="array" ref="T20">I20/MAX(IF($E$5:$E$26=$E20,I$5:I$26))</f>
        <v>0.34644769902692041</v>
      </c>
      <c r="U20" s="31">
        <f t="array" ref="U20">J20/MAX(IF($E$5:$E$26=$E20,J$5:J$26))</f>
        <v>0.56395558186588712</v>
      </c>
      <c r="V20" s="31">
        <f t="array" ref="V20">K20/MAX(IF($E$5:$E$26=$E20,K$5:K$26))</f>
        <v>0.39109734592301137</v>
      </c>
      <c r="W20" s="31">
        <f t="array" ref="W20">L20/MAX(IF($E$5:$E$26=$E20,L$5:L$26))</f>
        <v>0.90007422031112438</v>
      </c>
      <c r="X20" s="31">
        <f t="array" ref="X20">M20/MAX(IF($E$5:$E$26=$E20,M$5:M$26))</f>
        <v>0.89886342708305933</v>
      </c>
      <c r="Y20" s="31">
        <f t="array" ref="Y20">N20/MAX(IF($E$5:$E$26=$E20,N$5:N$26))</f>
        <v>0.80054168692926997</v>
      </c>
      <c r="Z20" s="31" t="str">
        <f t="array" ref="Z20">IF(O20="NC","NC",IF(O20=0,0,IF(O20&gt;0,O20/MAX(IF($E$5:$E$26=$E20,$O$5:$O$26,"ERROR")))))</f>
        <v>NC</v>
      </c>
      <c r="AA20" s="32">
        <f t="array" ref="AA20">IF(P20=0,0,P20/MAX(IF($E$5:$E$26=$E20,$P$5:$P$26)))</f>
        <v>0.90465078691609024</v>
      </c>
      <c r="AB20" s="11">
        <f>IF(Z20="NC",(SUM(Q20:Y20)+AA20)/(COUNTA(Q20:Y20)+COUNTA(AA20)),AVERAGE(Q20:AA20))</f>
        <v>0.66076251215369231</v>
      </c>
      <c r="AC20" s="11">
        <f t="array" ref="AC20">SUM(IF($E$5:$E$26=$E20,$AB$5:$AB$26,"ERROR"))</f>
        <v>8.3236920895193087</v>
      </c>
      <c r="AD20" s="36">
        <f>AB20/AC20</f>
        <v>7.9383343959309197E-2</v>
      </c>
      <c r="AE20" s="12">
        <f>VLOOKUP(E20,Categorías!$A$35:$C$37,3,0)</f>
        <v>31509470</v>
      </c>
      <c r="AF20" s="112">
        <f t="shared" si="3"/>
        <v>2501327.0949855344</v>
      </c>
      <c r="AG20" s="85">
        <f t="shared" si="4"/>
        <v>2501327</v>
      </c>
      <c r="AH20" s="85">
        <f t="shared" si="4"/>
        <v>2501327</v>
      </c>
      <c r="AI20" s="22">
        <f t="array" ref="AI20">AG20/(SUM(IF($C$5:$C$26=$C20,$AG$5:$AG$26,0)))</f>
        <v>5.578288899704037E-2</v>
      </c>
    </row>
    <row r="21" spans="1:35" x14ac:dyDescent="0.25">
      <c r="A21" s="25" t="str">
        <f>Valores!A20</f>
        <v>U. DE O'HIGGINS</v>
      </c>
      <c r="B21" s="26" t="str">
        <f>Valores!B20</f>
        <v>URO</v>
      </c>
      <c r="C21" s="27" t="str">
        <f>Valores!C20</f>
        <v>CRUCH-ESTATAL</v>
      </c>
      <c r="D21" s="27" t="str">
        <f>Valores!D20</f>
        <v>Categoría III</v>
      </c>
      <c r="E21" s="27" t="str">
        <f t="shared" ref="E21" si="5">CONCATENATE(C21,D21)</f>
        <v>CRUCH-ESTATALCategoría III</v>
      </c>
      <c r="F21" s="28">
        <f>IFERROR(Valores!E20/Valores!F20*100,0)</f>
        <v>2.7777777777777777</v>
      </c>
      <c r="G21" s="29">
        <f>IFERROR(Valores!G20/Valores!H20,0)</f>
        <v>0.46543675122437045</v>
      </c>
      <c r="H21" s="29">
        <f>IFERROR((Valores!G20+Valores!I20+Valores!J20)/(Valores!H20),0)</f>
        <v>0.73780865065547874</v>
      </c>
      <c r="I21" s="29">
        <f>IFERROR(Valores!K20/Valores!H20,0)</f>
        <v>0.85134147027520746</v>
      </c>
      <c r="J21" s="29">
        <f>IFERROR(Valores!K20/Valores!G20,0)</f>
        <v>1.8291238670682586</v>
      </c>
      <c r="K21" s="29">
        <f>IFERROR(Valores!L20/Valores!M20,0)</f>
        <v>5.2800875273522978</v>
      </c>
      <c r="L21" s="29">
        <f>IFERROR(Valores!N20/Valores!O20,0)</f>
        <v>0.71218074656188601</v>
      </c>
      <c r="M21" s="29">
        <f>IFERROR(Valores!P20/Valores!Q20,0)</f>
        <v>0.88733552631578949</v>
      </c>
      <c r="N21" s="29">
        <f>IFERROR(Valores!R20/Valores!S20,0)</f>
        <v>0.79399727148703958</v>
      </c>
      <c r="O21" s="29" t="str">
        <f>IF(Valores!W20&gt;0,Valores!T20/Valores!W20,IF(AND(Valores!W20=0,OR(Valores!V20&gt;0,Valores!U20&gt;0)),0,IF(AND(Valores!V20=0,Valores!W20=0,Valores!U20=0),"NC",)))</f>
        <v>NC</v>
      </c>
      <c r="P21" s="30">
        <f>IFERROR((Valores!X20+Valores!Y20)*1000/(Valores!H20),0)</f>
        <v>0</v>
      </c>
      <c r="Q21" s="31">
        <f t="array" ref="Q21">F21/MAX(IF($E$5:$E$26=$E21,F$5:F$26))</f>
        <v>0.34480676328502419</v>
      </c>
      <c r="R21" s="31">
        <f t="array" ref="R21">G21/MAX(IF($E$5:$E$26=$E21,G$5:G$26))</f>
        <v>0.89054821307259913</v>
      </c>
      <c r="S21" s="31">
        <f t="array" ref="S21">H21/MAX(IF($E$5:$E$26=$E21,H$5:H$26))</f>
        <v>0.98222075577509882</v>
      </c>
      <c r="T21" s="31">
        <f t="array" ref="T21">I21/MAX(IF($E$5:$E$26=$E21,I$5:I$26))</f>
        <v>0.99393275408241499</v>
      </c>
      <c r="U21" s="31">
        <f t="array" ref="U21">J21/MAX(IF($E$5:$E$26=$E21,J$5:J$26))</f>
        <v>1</v>
      </c>
      <c r="V21" s="31">
        <f t="array" ref="V21">K21/MAX(IF($E$5:$E$26=$E21,K$5:K$26))</f>
        <v>0.66947085517697269</v>
      </c>
      <c r="W21" s="31">
        <f t="array" ref="W21">L21/MAX(IF($E$5:$E$26=$E21,L$5:L$26))</f>
        <v>1</v>
      </c>
      <c r="X21" s="31">
        <f t="array" ref="X21">M21/MAX(IF($E$5:$E$26=$E21,M$5:M$26))</f>
        <v>0.94649122807017549</v>
      </c>
      <c r="Y21" s="31">
        <f t="array" ref="Y21">N21/MAX(IF($E$5:$E$26=$E21,N$5:N$26))</f>
        <v>1</v>
      </c>
      <c r="Z21" s="31" t="str">
        <f t="array" ref="Z21">IF(O21="NC","NC",IF(O21=0,0,IF(O21&gt;0,O21/MAX(IF($E$5:$E$26=$E21,$O$5:$O$26,"ERROR")))))</f>
        <v>NC</v>
      </c>
      <c r="AA21" s="32">
        <f t="array" ref="AA21">IF(P21=0,0,P21/MAX(IF($E$5:$E$26=$E21,$P$5:$P$26)))</f>
        <v>0</v>
      </c>
      <c r="AB21" s="11">
        <f t="shared" ref="AB21:AB22" si="6">IF(Z21="NC",(SUM(Q21:Y21)+AA21)/(COUNTA(Q21:Y21)+COUNTA(AA21)),AVERAGE(Q21:AA21))</f>
        <v>0.78274705694622848</v>
      </c>
      <c r="AC21" s="11">
        <f t="array" ref="AC21">SUM(IF($E$5:$E$26=$E21,$AB$5:$AB$26,"ERROR"))</f>
        <v>1.6521864309346315</v>
      </c>
      <c r="AD21" s="36">
        <f t="shared" ref="AD21:AD22" si="7">AB21/AC21</f>
        <v>0.4737643659883064</v>
      </c>
      <c r="AE21" s="12">
        <f>VLOOKUP(E21,Categorías!$A$35:$C$37,3,0)</f>
        <v>2423805</v>
      </c>
      <c r="AF21" s="112">
        <f t="shared" ref="AF21:AF22" si="8">AD21*AE21</f>
        <v>1148312.439104287</v>
      </c>
      <c r="AG21" s="85">
        <f t="shared" ref="AG21:AH22" si="9">ROUND(AF21,0)</f>
        <v>1148312</v>
      </c>
      <c r="AH21" s="85">
        <f t="shared" si="4"/>
        <v>1148312</v>
      </c>
      <c r="AI21" s="22">
        <f t="array" ref="AI21">AG21/(SUM(IF($C$5:$C$26=$C21,$AG$5:$AG$26,0)))</f>
        <v>2.5608871143184966E-2</v>
      </c>
    </row>
    <row r="22" spans="1:35" x14ac:dyDescent="0.25">
      <c r="A22" s="25" t="str">
        <f>Valores!A21</f>
        <v>U. DE AYSÉN</v>
      </c>
      <c r="B22" s="26" t="str">
        <f>Valores!B21</f>
        <v>URY</v>
      </c>
      <c r="C22" s="27" t="str">
        <f>Valores!C21</f>
        <v>CRUCH-ESTATAL</v>
      </c>
      <c r="D22" s="27" t="str">
        <f>Valores!D21</f>
        <v>Categoría III</v>
      </c>
      <c r="E22" s="27" t="str">
        <f t="shared" ref="E22" si="10">CONCATENATE(C22,D22)</f>
        <v>CRUCH-ESTATALCategoría III</v>
      </c>
      <c r="F22" s="28">
        <f>IFERROR(Valores!E21/Valores!F21*100,0)</f>
        <v>8.0560420315236421</v>
      </c>
      <c r="G22" s="29">
        <f>IFERROR(Valores!G21/Valores!H21,0)</f>
        <v>0.52264071095994347</v>
      </c>
      <c r="H22" s="29">
        <f>IFERROR((Valores!G21+Valores!I21+Valores!J21)/(Valores!H21),0)</f>
        <v>0.75116377486164254</v>
      </c>
      <c r="I22" s="29">
        <f>IFERROR(Valores!K21/Valores!H21,0)</f>
        <v>0.85653829877168519</v>
      </c>
      <c r="J22" s="29">
        <f>IFERROR(Valores!K21/Valores!G21,0)</f>
        <v>1.6388663967612973</v>
      </c>
      <c r="K22" s="29">
        <f>IFERROR(Valores!L21/Valores!M21,0)</f>
        <v>7.8869565217391306</v>
      </c>
      <c r="L22" s="29">
        <f>IFERROR(Valores!N21/Valores!O21,0)</f>
        <v>0.66272189349112431</v>
      </c>
      <c r="M22" s="29">
        <f>IFERROR(Valores!P21/Valores!Q21,0)</f>
        <v>0.9375</v>
      </c>
      <c r="N22" s="29">
        <f>IFERROR(Valores!R21/Valores!S21,0)</f>
        <v>0.68907563025210083</v>
      </c>
      <c r="O22" s="29" t="str">
        <f>IF(Valores!W21&gt;0,Valores!T21/Valores!W21,IF(AND(Valores!W21=0,OR(Valores!V21&gt;0,Valores!U21&gt;0)),0,IF(AND(Valores!V21=0,Valores!W21=0,Valores!U21=0),"NC",)))</f>
        <v>NC</v>
      </c>
      <c r="P22" s="30">
        <f>IFERROR((Valores!X21+Valores!Y21)*1000/(Valores!H21),0)</f>
        <v>0</v>
      </c>
      <c r="Q22" s="31">
        <f t="array" ref="Q22">F22/MAX(IF($E$5:$E$26=$E22,F$5:F$26))</f>
        <v>1</v>
      </c>
      <c r="R22" s="31">
        <f t="array" ref="R22">G22/MAX(IF($E$5:$E$26=$E22,G$5:G$26))</f>
        <v>1</v>
      </c>
      <c r="S22" s="31">
        <f t="array" ref="S22">H22/MAX(IF($E$5:$E$26=$E22,H$5:H$26))</f>
        <v>1</v>
      </c>
      <c r="T22" s="31">
        <f t="array" ref="T22">I22/MAX(IF($E$5:$E$26=$E22,I$5:I$26))</f>
        <v>1</v>
      </c>
      <c r="U22" s="31">
        <f t="array" ref="U22">J22/MAX(IF($E$5:$E$26=$E22,J$5:J$26))</f>
        <v>0.89598437058726466</v>
      </c>
      <c r="V22" s="31">
        <f t="array" ref="V22">K22/MAX(IF($E$5:$E$26=$E22,K$5:K$26))</f>
        <v>1</v>
      </c>
      <c r="W22" s="31">
        <f t="array" ref="W22">L22/MAX(IF($E$5:$E$26=$E22,L$5:L$26))</f>
        <v>0.93055294837788216</v>
      </c>
      <c r="X22" s="31">
        <f t="array" ref="X22">M22/MAX(IF($E$5:$E$26=$E22,M$5:M$26))</f>
        <v>1</v>
      </c>
      <c r="Y22" s="31">
        <f t="array" ref="Y22">N22/MAX(IF($E$5:$E$26=$E22,N$5:N$26))</f>
        <v>0.86785642091888304</v>
      </c>
      <c r="Z22" s="31" t="str">
        <f t="array" ref="Z22">IF(O22="NC","NC",IF(O22=0,0,IF(O22&gt;0,O22/MAX(IF($E$5:$E$26=$E22,$O$5:$O$26,"ERROR")))))</f>
        <v>NC</v>
      </c>
      <c r="AA22" s="32">
        <f t="array" ref="AA22">IF(P22=0,0,P22/MAX(IF($E$5:$E$26=$E22,$P$5:$P$26)))</f>
        <v>0</v>
      </c>
      <c r="AB22" s="11">
        <f t="shared" si="6"/>
        <v>0.86943937398840299</v>
      </c>
      <c r="AC22" s="11">
        <f t="array" ref="AC22">SUM(IF($E$5:$E$26=$E22,$AB$5:$AB$26,"ERROR"))</f>
        <v>1.6521864309346315</v>
      </c>
      <c r="AD22" s="36">
        <f t="shared" si="7"/>
        <v>0.5262356340116936</v>
      </c>
      <c r="AE22" s="12">
        <f>VLOOKUP(E22,Categorías!$A$35:$C$37,3,0)</f>
        <v>2423805</v>
      </c>
      <c r="AF22" s="112">
        <f t="shared" si="8"/>
        <v>1275492.560895713</v>
      </c>
      <c r="AG22" s="85">
        <f t="shared" si="9"/>
        <v>1275493</v>
      </c>
      <c r="AH22" s="85">
        <f t="shared" si="9"/>
        <v>1275493</v>
      </c>
      <c r="AI22" s="22">
        <f t="array" ref="AI22">AG22/(SUM(IF($C$5:$C$26=$C22,$AG$5:$AG$26,0)))</f>
        <v>2.8445175075270852E-2</v>
      </c>
    </row>
    <row r="23" spans="1:35" x14ac:dyDescent="0.25">
      <c r="F23" s="199">
        <f>SUM(F5:F22)</f>
        <v>66.046194890860932</v>
      </c>
      <c r="G23" s="199">
        <f t="shared" ref="G23:Q23" si="11">SUM(G5:G22)</f>
        <v>7.1608315453547435</v>
      </c>
      <c r="H23" s="199">
        <f t="shared" si="11"/>
        <v>13.689428548305379</v>
      </c>
      <c r="I23" s="199">
        <f t="shared" si="11"/>
        <v>15.479590933958166</v>
      </c>
      <c r="J23" s="199">
        <f t="shared" si="11"/>
        <v>38.394532189392507</v>
      </c>
      <c r="K23" s="199">
        <f t="shared" si="11"/>
        <v>152.74224287743877</v>
      </c>
      <c r="L23" s="199">
        <f t="shared" si="11"/>
        <v>12.553039766087597</v>
      </c>
      <c r="M23" s="199">
        <f t="shared" si="11"/>
        <v>15.943431039834076</v>
      </c>
      <c r="N23" s="199">
        <f t="shared" si="11"/>
        <v>12.341925281043984</v>
      </c>
      <c r="O23" s="199">
        <f t="shared" si="11"/>
        <v>2.1605893220960986</v>
      </c>
      <c r="P23" s="199">
        <f t="shared" si="11"/>
        <v>50.915926707505093</v>
      </c>
      <c r="Q23" s="199">
        <f t="shared" si="11"/>
        <v>12.619521584331908</v>
      </c>
      <c r="R23" s="199">
        <f t="shared" ref="R23" si="12">SUM(R5:R22)</f>
        <v>12.961009888313349</v>
      </c>
      <c r="S23" s="199">
        <f t="shared" ref="S23" si="13">SUM(S5:S22)</f>
        <v>15.129876390658792</v>
      </c>
      <c r="T23" s="199">
        <f t="shared" ref="T23" si="14">SUM(T5:T22)</f>
        <v>10.816662180207093</v>
      </c>
      <c r="U23" s="199">
        <f t="shared" ref="U23" si="15">SUM(U5:U22)</f>
        <v>12.916785480149116</v>
      </c>
      <c r="V23" s="199">
        <f t="shared" ref="V23" si="16">SUM(V5:V22)</f>
        <v>10.676588872446452</v>
      </c>
      <c r="W23" s="199">
        <f t="shared" ref="W23" si="17">SUM(W5:W22)</f>
        <v>15.19172516864057</v>
      </c>
      <c r="X23" s="199">
        <f t="shared" ref="X23" si="18">SUM(X5:X22)</f>
        <v>16.987728742793834</v>
      </c>
      <c r="Y23" s="199">
        <f t="shared" ref="Y23" si="19">SUM(Y5:Y22)</f>
        <v>16.424706769661753</v>
      </c>
      <c r="Z23" s="199">
        <f t="shared" ref="Z23" si="20">SUM(Z5:Z22)</f>
        <v>5.5387608670893291</v>
      </c>
      <c r="AA23" s="199">
        <f t="shared" ref="AA23" si="21">SUM(AA5:AA22)</f>
        <v>4.0457743044076304</v>
      </c>
      <c r="AB23" s="199">
        <f t="shared" ref="AB23" si="22">SUM(AB5:AB22)</f>
        <v>12.503502214185293</v>
      </c>
      <c r="AC23" s="199">
        <f t="shared" ref="AC23" si="23">SUM(AC5:AC22)</f>
        <v>119.09524110681438</v>
      </c>
      <c r="AD23" s="199">
        <f t="shared" ref="AD23" si="24">SUM(AD5:AD22)</f>
        <v>3</v>
      </c>
      <c r="AE23" s="199">
        <f t="shared" ref="AE23" si="25">SUM(AE5:AE22)</f>
        <v>447192092</v>
      </c>
      <c r="AF23" s="196">
        <f>SUM(AF5:AF22)</f>
        <v>44840399.000000007</v>
      </c>
      <c r="AG23" s="197">
        <f>SUM(AG5:AG22)</f>
        <v>44840399</v>
      </c>
      <c r="AH23" s="196">
        <f>SUM(AH5:AH22)</f>
        <v>44840399</v>
      </c>
      <c r="AI23" s="198">
        <f>SUM(AI5:AI22)</f>
        <v>1</v>
      </c>
    </row>
    <row r="28" spans="1:35" x14ac:dyDescent="0.25">
      <c r="AE28" s="1"/>
      <c r="AF28" s="37"/>
      <c r="AG28" s="37"/>
      <c r="AI28" s="37"/>
    </row>
    <row r="29" spans="1:35" x14ac:dyDescent="0.25">
      <c r="AE29" s="1"/>
      <c r="AF29" s="37"/>
      <c r="AG29" s="37"/>
      <c r="AI29" s="37"/>
    </row>
    <row r="30" spans="1:35" x14ac:dyDescent="0.25">
      <c r="AE30" s="1"/>
      <c r="AF30" s="37"/>
      <c r="AG30" s="37"/>
      <c r="AI30" s="37"/>
    </row>
    <row r="31" spans="1:35" x14ac:dyDescent="0.25">
      <c r="AE31" s="1"/>
      <c r="AF31" s="37"/>
      <c r="AG31" s="37"/>
      <c r="AI31" s="37"/>
    </row>
    <row r="32" spans="1:35" x14ac:dyDescent="0.25">
      <c r="AE32" s="1"/>
      <c r="AF32" s="37"/>
      <c r="AG32" s="37"/>
      <c r="AI32" s="37"/>
    </row>
    <row r="33" spans="31:35" x14ac:dyDescent="0.25">
      <c r="AE33" s="1"/>
      <c r="AF33" s="37"/>
      <c r="AG33" s="37"/>
      <c r="AI33" s="37"/>
    </row>
    <row r="34" spans="31:35" x14ac:dyDescent="0.25">
      <c r="AE34" s="1"/>
      <c r="AF34" s="37"/>
      <c r="AG34" s="37"/>
      <c r="AI34" s="37"/>
    </row>
    <row r="35" spans="31:35" x14ac:dyDescent="0.25">
      <c r="AE35" s="1"/>
      <c r="AF35" s="37"/>
      <c r="AG35" s="37"/>
      <c r="AI35" s="37"/>
    </row>
    <row r="36" spans="31:35" x14ac:dyDescent="0.25">
      <c r="AE36" s="1"/>
      <c r="AF36" s="37"/>
      <c r="AG36" s="37"/>
      <c r="AI36" s="37"/>
    </row>
    <row r="37" spans="31:35" x14ac:dyDescent="0.25">
      <c r="AE37" s="1"/>
      <c r="AF37" s="37"/>
      <c r="AG37" s="37"/>
      <c r="AI37" s="37"/>
    </row>
    <row r="38" spans="31:35" x14ac:dyDescent="0.25">
      <c r="AE38" s="1"/>
      <c r="AF38" s="37"/>
      <c r="AG38" s="37"/>
      <c r="AI38" s="37"/>
    </row>
    <row r="39" spans="31:35" x14ac:dyDescent="0.25">
      <c r="AE39" s="1"/>
      <c r="AF39" s="37"/>
      <c r="AG39" s="37"/>
      <c r="AI39" s="37"/>
    </row>
    <row r="40" spans="31:35" x14ac:dyDescent="0.25">
      <c r="AE40" s="1"/>
      <c r="AF40" s="37"/>
      <c r="AG40" s="37"/>
      <c r="AI40" s="37"/>
    </row>
    <row r="41" spans="31:35" x14ac:dyDescent="0.25">
      <c r="AE41" s="1"/>
      <c r="AF41" s="37"/>
      <c r="AG41" s="37"/>
      <c r="AI41" s="37"/>
    </row>
    <row r="42" spans="31:35" x14ac:dyDescent="0.25">
      <c r="AE42" s="1"/>
      <c r="AF42" s="37"/>
      <c r="AG42" s="37"/>
      <c r="AI42" s="37"/>
    </row>
    <row r="43" spans="31:35" x14ac:dyDescent="0.25">
      <c r="AE43" s="1"/>
      <c r="AF43" s="37"/>
      <c r="AG43" s="37"/>
      <c r="AI43" s="37"/>
    </row>
    <row r="44" spans="31:35" x14ac:dyDescent="0.25">
      <c r="AE44" s="1"/>
      <c r="AF44" s="37"/>
      <c r="AG44" s="37"/>
      <c r="AI44" s="37"/>
    </row>
    <row r="45" spans="31:35" x14ac:dyDescent="0.25">
      <c r="AE45" s="1"/>
      <c r="AF45" s="37"/>
      <c r="AG45" s="37"/>
      <c r="AI45" s="37"/>
    </row>
    <row r="46" spans="31:35" x14ac:dyDescent="0.25">
      <c r="AE46" s="1"/>
      <c r="AF46" s="37"/>
      <c r="AG46" s="37"/>
      <c r="AI46" s="37"/>
    </row>
    <row r="47" spans="31:35" x14ac:dyDescent="0.25">
      <c r="AE47" s="1"/>
      <c r="AF47" s="37"/>
      <c r="AG47" s="37"/>
      <c r="AI47" s="37"/>
    </row>
    <row r="48" spans="31:35" x14ac:dyDescent="0.25">
      <c r="AE48" s="1"/>
      <c r="AF48" s="37"/>
      <c r="AG48" s="37"/>
      <c r="AI48" s="37"/>
    </row>
    <row r="49" spans="23:35" x14ac:dyDescent="0.25">
      <c r="AE49" s="1"/>
      <c r="AF49" s="37"/>
      <c r="AG49" s="37"/>
      <c r="AI49" s="37"/>
    </row>
    <row r="50" spans="23:35" x14ac:dyDescent="0.25">
      <c r="AE50" s="1"/>
      <c r="AF50" s="37"/>
      <c r="AG50" s="37"/>
      <c r="AI50" s="37"/>
    </row>
    <row r="51" spans="23:35" x14ac:dyDescent="0.25">
      <c r="AE51" s="1"/>
      <c r="AF51" s="37"/>
      <c r="AG51" s="37"/>
      <c r="AI51" s="37"/>
    </row>
    <row r="52" spans="23:35" x14ac:dyDescent="0.25">
      <c r="AE52" s="1"/>
      <c r="AF52" s="37"/>
      <c r="AG52" s="37"/>
      <c r="AI52" s="37"/>
    </row>
    <row r="53" spans="23:35" x14ac:dyDescent="0.25">
      <c r="AE53" s="1"/>
      <c r="AF53" s="37"/>
      <c r="AG53" s="37"/>
      <c r="AI53" s="37"/>
    </row>
    <row r="54" spans="23:35" x14ac:dyDescent="0.25">
      <c r="AE54" s="1"/>
      <c r="AF54" s="37"/>
      <c r="AG54" s="37"/>
      <c r="AI54" s="37"/>
    </row>
    <row r="55" spans="23:35" x14ac:dyDescent="0.25">
      <c r="AG55" s="37"/>
      <c r="AI55" s="37"/>
    </row>
    <row r="60" spans="23:35" x14ac:dyDescent="0.25">
      <c r="W60" s="38"/>
      <c r="X60" s="38"/>
      <c r="Y60" s="38"/>
      <c r="Z60" s="38"/>
      <c r="AA60" s="38"/>
      <c r="AB60" s="38"/>
      <c r="AC60" s="38"/>
      <c r="AD60" s="38"/>
    </row>
    <row r="61" spans="23:35" x14ac:dyDescent="0.25">
      <c r="W61" s="38"/>
      <c r="X61" s="38"/>
      <c r="Y61" s="38"/>
      <c r="Z61" s="38"/>
      <c r="AA61" s="38"/>
      <c r="AB61" s="38"/>
      <c r="AC61" s="38"/>
      <c r="AD61" s="38"/>
    </row>
    <row r="62" spans="23:35" x14ac:dyDescent="0.25">
      <c r="W62" s="38"/>
      <c r="X62" s="38"/>
      <c r="Y62" s="38"/>
      <c r="Z62" s="38"/>
      <c r="AA62" s="38"/>
      <c r="AB62" s="38"/>
      <c r="AC62" s="38"/>
      <c r="AD62" s="38"/>
    </row>
    <row r="63" spans="23:35" x14ac:dyDescent="0.25">
      <c r="W63" s="38"/>
      <c r="X63" s="38"/>
      <c r="Y63" s="38"/>
      <c r="Z63" s="38"/>
      <c r="AA63" s="38"/>
      <c r="AB63" s="38"/>
      <c r="AC63" s="38"/>
      <c r="AD63" s="38"/>
    </row>
    <row r="64" spans="23:35" x14ac:dyDescent="0.25">
      <c r="W64" s="38"/>
      <c r="X64" s="38"/>
      <c r="Y64" s="38"/>
      <c r="Z64" s="38"/>
      <c r="AA64" s="38"/>
      <c r="AB64" s="38"/>
      <c r="AC64" s="38"/>
      <c r="AD64" s="38"/>
    </row>
    <row r="65" spans="23:30" x14ac:dyDescent="0.25">
      <c r="W65" s="38"/>
      <c r="X65" s="38"/>
      <c r="Y65" s="38"/>
      <c r="Z65" s="38"/>
      <c r="AA65" s="38"/>
      <c r="AB65" s="38"/>
      <c r="AC65" s="38"/>
      <c r="AD65" s="38"/>
    </row>
    <row r="66" spans="23:30" x14ac:dyDescent="0.25">
      <c r="W66" s="38"/>
      <c r="X66" s="38"/>
      <c r="Y66" s="38"/>
      <c r="Z66" s="38"/>
      <c r="AA66" s="38"/>
      <c r="AB66" s="38"/>
      <c r="AC66" s="38"/>
      <c r="AD66" s="38"/>
    </row>
    <row r="67" spans="23:30" x14ac:dyDescent="0.25">
      <c r="W67" s="38"/>
      <c r="X67" s="38"/>
      <c r="Y67" s="38"/>
      <c r="Z67" s="38"/>
      <c r="AA67" s="38"/>
      <c r="AB67" s="38"/>
      <c r="AC67" s="38"/>
      <c r="AD67" s="38"/>
    </row>
    <row r="68" spans="23:30" x14ac:dyDescent="0.25">
      <c r="W68" s="38"/>
      <c r="X68" s="38"/>
      <c r="Y68" s="38"/>
      <c r="Z68" s="38"/>
      <c r="AA68" s="38"/>
      <c r="AB68" s="38"/>
      <c r="AC68" s="38"/>
      <c r="AD68" s="38"/>
    </row>
    <row r="69" spans="23:30" x14ac:dyDescent="0.25">
      <c r="W69" s="38"/>
      <c r="X69" s="38"/>
      <c r="Y69" s="38"/>
      <c r="Z69" s="38"/>
      <c r="AA69" s="38"/>
      <c r="AB69" s="38"/>
      <c r="AC69" s="38"/>
      <c r="AD69" s="38"/>
    </row>
    <row r="70" spans="23:30" x14ac:dyDescent="0.25">
      <c r="W70" s="38"/>
      <c r="X70" s="38"/>
      <c r="Y70" s="38"/>
      <c r="Z70" s="38"/>
      <c r="AA70" s="38"/>
      <c r="AB70" s="38"/>
      <c r="AC70" s="38"/>
      <c r="AD70" s="38"/>
    </row>
    <row r="71" spans="23:30" x14ac:dyDescent="0.25">
      <c r="W71" s="38"/>
      <c r="X71" s="38"/>
      <c r="Y71" s="38"/>
      <c r="Z71" s="38"/>
      <c r="AA71" s="38"/>
      <c r="AB71" s="38"/>
      <c r="AC71" s="38"/>
      <c r="AD71" s="38"/>
    </row>
    <row r="72" spans="23:30" x14ac:dyDescent="0.25">
      <c r="W72" s="38"/>
      <c r="X72" s="38"/>
      <c r="Y72" s="38"/>
      <c r="Z72" s="38"/>
      <c r="AA72" s="38"/>
      <c r="AB72" s="38"/>
      <c r="AC72" s="38"/>
      <c r="AD72" s="38"/>
    </row>
    <row r="73" spans="23:30" x14ac:dyDescent="0.25">
      <c r="W73" s="38"/>
      <c r="X73" s="38"/>
      <c r="Y73" s="38"/>
      <c r="Z73" s="38"/>
      <c r="AA73" s="38"/>
      <c r="AB73" s="38"/>
      <c r="AC73" s="38"/>
      <c r="AD73" s="38"/>
    </row>
    <row r="74" spans="23:30" x14ac:dyDescent="0.25">
      <c r="W74" s="38"/>
      <c r="X74" s="38"/>
      <c r="Y74" s="38"/>
      <c r="Z74" s="38"/>
      <c r="AA74" s="38"/>
      <c r="AB74" s="38"/>
      <c r="AC74" s="38"/>
      <c r="AD74" s="38"/>
    </row>
    <row r="75" spans="23:30" x14ac:dyDescent="0.25">
      <c r="W75" s="38"/>
      <c r="X75" s="38"/>
      <c r="Y75" s="38"/>
      <c r="Z75" s="38"/>
      <c r="AA75" s="38"/>
      <c r="AB75" s="38"/>
      <c r="AC75" s="38"/>
      <c r="AD75" s="38"/>
    </row>
    <row r="76" spans="23:30" x14ac:dyDescent="0.25">
      <c r="W76" s="38"/>
      <c r="X76" s="38"/>
      <c r="Y76" s="38"/>
      <c r="Z76" s="38"/>
      <c r="AA76" s="38"/>
      <c r="AB76" s="38"/>
      <c r="AC76" s="38"/>
      <c r="AD76" s="38"/>
    </row>
    <row r="77" spans="23:30" x14ac:dyDescent="0.25">
      <c r="W77" s="38"/>
      <c r="X77" s="38"/>
      <c r="Y77" s="38"/>
      <c r="Z77" s="38"/>
      <c r="AA77" s="38"/>
      <c r="AB77" s="38"/>
      <c r="AC77" s="38"/>
      <c r="AD77" s="38"/>
    </row>
    <row r="78" spans="23:30" x14ac:dyDescent="0.25">
      <c r="W78" s="38"/>
      <c r="X78" s="38"/>
      <c r="Y78" s="38"/>
      <c r="Z78" s="38"/>
      <c r="AA78" s="38"/>
      <c r="AB78" s="38"/>
      <c r="AC78" s="38"/>
      <c r="AD78" s="38"/>
    </row>
    <row r="79" spans="23:30" x14ac:dyDescent="0.25">
      <c r="W79" s="38"/>
      <c r="X79" s="38"/>
      <c r="Y79" s="38"/>
      <c r="Z79" s="38"/>
      <c r="AA79" s="38"/>
      <c r="AB79" s="38"/>
      <c r="AC79" s="38"/>
      <c r="AD79" s="38"/>
    </row>
    <row r="80" spans="23:30" x14ac:dyDescent="0.25">
      <c r="W80" s="38"/>
      <c r="X80" s="38"/>
      <c r="Y80" s="38"/>
      <c r="Z80" s="38"/>
      <c r="AA80" s="38"/>
      <c r="AB80" s="38"/>
      <c r="AC80" s="38"/>
      <c r="AD80" s="38"/>
    </row>
    <row r="81" spans="17:30" x14ac:dyDescent="0.25">
      <c r="W81" s="38"/>
      <c r="X81" s="38"/>
      <c r="Y81" s="38"/>
      <c r="Z81" s="38"/>
      <c r="AA81" s="38"/>
      <c r="AB81" s="38"/>
      <c r="AC81" s="38"/>
      <c r="AD81" s="38"/>
    </row>
    <row r="83" spans="17:30" x14ac:dyDescent="0.25">
      <c r="Q83" s="38"/>
    </row>
    <row r="84" spans="17:30" x14ac:dyDescent="0.25">
      <c r="Q84" s="38"/>
    </row>
    <row r="85" spans="17:30" x14ac:dyDescent="0.25">
      <c r="Q85" s="38"/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  <ignoredErrors>
    <ignoredError sqref="M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267B-E24A-48A5-8256-D265A303D326}">
  <sheetPr>
    <tabColor theme="4" tint="0.59999389629810485"/>
  </sheetPr>
  <dimension ref="A2:G50"/>
  <sheetViews>
    <sheetView topLeftCell="A13" zoomScale="90" zoomScaleNormal="90" workbookViewId="0">
      <selection activeCell="A46" sqref="A46"/>
    </sheetView>
  </sheetViews>
  <sheetFormatPr baseColWidth="10" defaultRowHeight="15" x14ac:dyDescent="0.25"/>
  <cols>
    <col min="1" max="1" width="44.7109375" bestFit="1" customWidth="1"/>
    <col min="2" max="2" width="4.7109375" bestFit="1" customWidth="1"/>
    <col min="3" max="3" width="27.42578125" bestFit="1" customWidth="1"/>
    <col min="4" max="4" width="7.7109375" bestFit="1" customWidth="1"/>
    <col min="6" max="6" width="12.5703125" customWidth="1"/>
  </cols>
  <sheetData>
    <row r="2" spans="1:7" ht="35.25" customHeight="1" x14ac:dyDescent="0.25">
      <c r="A2" s="50" t="s">
        <v>225</v>
      </c>
      <c r="B2" s="50" t="s">
        <v>1</v>
      </c>
      <c r="C2" s="50" t="s">
        <v>238</v>
      </c>
      <c r="D2" s="50" t="s">
        <v>226</v>
      </c>
      <c r="E2" s="50" t="s">
        <v>227</v>
      </c>
      <c r="F2" s="50" t="s">
        <v>235</v>
      </c>
      <c r="G2" s="50" t="s">
        <v>236</v>
      </c>
    </row>
    <row r="3" spans="1:7" x14ac:dyDescent="0.25">
      <c r="A3" s="318" t="s">
        <v>12</v>
      </c>
      <c r="B3" s="165" t="s">
        <v>2</v>
      </c>
      <c r="C3" s="41" t="s">
        <v>87</v>
      </c>
      <c r="D3" s="167">
        <v>1</v>
      </c>
      <c r="E3" s="167">
        <f>COUNTA(#REF!)</f>
        <v>1</v>
      </c>
      <c r="F3" s="168">
        <v>45017</v>
      </c>
      <c r="G3" s="169">
        <f>200000*3/12</f>
        <v>50000</v>
      </c>
    </row>
    <row r="4" spans="1:7" x14ac:dyDescent="0.25">
      <c r="A4" s="319"/>
      <c r="B4" s="165" t="s">
        <v>2</v>
      </c>
      <c r="C4" s="41" t="s">
        <v>89</v>
      </c>
      <c r="D4" s="167">
        <v>1</v>
      </c>
      <c r="E4" s="167">
        <v>1</v>
      </c>
      <c r="F4" s="168">
        <v>45017</v>
      </c>
      <c r="G4" s="169">
        <f>200000*3/12</f>
        <v>50000</v>
      </c>
    </row>
    <row r="5" spans="1:7" x14ac:dyDescent="0.25">
      <c r="A5" s="318" t="s">
        <v>13</v>
      </c>
      <c r="B5" s="165" t="s">
        <v>3</v>
      </c>
      <c r="C5" s="141" t="s">
        <v>207</v>
      </c>
      <c r="D5" s="167">
        <f>COUNTA(#REF!)</f>
        <v>1</v>
      </c>
      <c r="E5" s="167">
        <v>1</v>
      </c>
      <c r="F5" s="139"/>
      <c r="G5" s="169">
        <f t="shared" ref="G5:G10" si="0">200000*3/12</f>
        <v>50000</v>
      </c>
    </row>
    <row r="6" spans="1:7" x14ac:dyDescent="0.25">
      <c r="A6" s="319"/>
      <c r="B6" s="165" t="s">
        <v>3</v>
      </c>
      <c r="C6" s="141" t="s">
        <v>202</v>
      </c>
      <c r="D6" s="167">
        <v>0</v>
      </c>
      <c r="E6" s="167">
        <v>1</v>
      </c>
      <c r="F6" s="139"/>
      <c r="G6" s="169">
        <f t="shared" si="0"/>
        <v>50000</v>
      </c>
    </row>
    <row r="7" spans="1:7" x14ac:dyDescent="0.25">
      <c r="A7" s="41" t="s">
        <v>19</v>
      </c>
      <c r="B7" s="41" t="s">
        <v>9</v>
      </c>
      <c r="C7" s="141" t="s">
        <v>194</v>
      </c>
      <c r="D7" s="143">
        <f>COUNTA(#REF!)</f>
        <v>1</v>
      </c>
      <c r="E7" s="167">
        <f t="shared" ref="E7:E16" si="1">COUNTA(C7)</f>
        <v>1</v>
      </c>
      <c r="F7" s="139"/>
      <c r="G7" s="169">
        <f t="shared" si="0"/>
        <v>50000</v>
      </c>
    </row>
    <row r="8" spans="1:7" x14ac:dyDescent="0.25">
      <c r="A8" s="41" t="s">
        <v>16</v>
      </c>
      <c r="B8" s="41" t="s">
        <v>6</v>
      </c>
      <c r="C8" s="141" t="s">
        <v>199</v>
      </c>
      <c r="D8" s="143">
        <f>COUNTA(#REF!)</f>
        <v>1</v>
      </c>
      <c r="E8" s="167">
        <f t="shared" si="1"/>
        <v>1</v>
      </c>
      <c r="F8" s="139"/>
      <c r="G8" s="169">
        <f t="shared" si="0"/>
        <v>50000</v>
      </c>
    </row>
    <row r="9" spans="1:7" x14ac:dyDescent="0.25">
      <c r="A9" s="41" t="s">
        <v>15</v>
      </c>
      <c r="B9" s="41" t="s">
        <v>5</v>
      </c>
      <c r="C9" s="141" t="s">
        <v>206</v>
      </c>
      <c r="D9" s="143">
        <f>COUNTA(#REF!)</f>
        <v>1</v>
      </c>
      <c r="E9" s="167">
        <f t="shared" si="1"/>
        <v>1</v>
      </c>
      <c r="F9" s="139"/>
      <c r="G9" s="169">
        <f t="shared" si="0"/>
        <v>50000</v>
      </c>
    </row>
    <row r="10" spans="1:7" x14ac:dyDescent="0.25">
      <c r="A10" s="41" t="s">
        <v>20</v>
      </c>
      <c r="B10" s="41" t="s">
        <v>10</v>
      </c>
      <c r="C10" s="141" t="s">
        <v>195</v>
      </c>
      <c r="D10" s="143">
        <f>COUNTA(#REF!)</f>
        <v>1</v>
      </c>
      <c r="E10" s="167">
        <f t="shared" si="1"/>
        <v>1</v>
      </c>
      <c r="F10" s="139"/>
      <c r="G10" s="169">
        <f t="shared" si="0"/>
        <v>50000</v>
      </c>
    </row>
    <row r="11" spans="1:7" x14ac:dyDescent="0.25">
      <c r="A11" s="41" t="s">
        <v>14</v>
      </c>
      <c r="B11" s="41" t="s">
        <v>4</v>
      </c>
      <c r="C11" s="141"/>
      <c r="D11" s="143">
        <f>COUNTA(#REF!)</f>
        <v>1</v>
      </c>
      <c r="E11" s="167">
        <f t="shared" si="1"/>
        <v>0</v>
      </c>
      <c r="F11" s="139"/>
      <c r="G11" s="169">
        <v>0</v>
      </c>
    </row>
    <row r="12" spans="1:7" x14ac:dyDescent="0.25">
      <c r="A12" s="41" t="s">
        <v>18</v>
      </c>
      <c r="B12" s="41" t="s">
        <v>8</v>
      </c>
      <c r="C12" s="141" t="s">
        <v>205</v>
      </c>
      <c r="D12" s="143">
        <f>COUNTA(#REF!)</f>
        <v>1</v>
      </c>
      <c r="E12" s="167">
        <f t="shared" si="1"/>
        <v>1</v>
      </c>
      <c r="F12" s="139"/>
      <c r="G12" s="169">
        <v>50000</v>
      </c>
    </row>
    <row r="13" spans="1:7" x14ac:dyDescent="0.25">
      <c r="A13" s="41" t="s">
        <v>17</v>
      </c>
      <c r="B13" s="41" t="s">
        <v>7</v>
      </c>
      <c r="C13" s="141" t="s">
        <v>198</v>
      </c>
      <c r="D13" s="143">
        <f>COUNTA(#REF!)</f>
        <v>1</v>
      </c>
      <c r="E13" s="167">
        <f t="shared" si="1"/>
        <v>1</v>
      </c>
      <c r="F13" s="139"/>
      <c r="G13" s="169">
        <v>50000</v>
      </c>
    </row>
    <row r="14" spans="1:7" x14ac:dyDescent="0.25">
      <c r="A14" s="41" t="s">
        <v>34</v>
      </c>
      <c r="B14" s="41" t="s">
        <v>27</v>
      </c>
      <c r="C14" s="140" t="s">
        <v>204</v>
      </c>
      <c r="D14" s="143">
        <f>COUNTA(#REF!)</f>
        <v>1</v>
      </c>
      <c r="E14" s="167">
        <f t="shared" si="1"/>
        <v>1</v>
      </c>
      <c r="F14" s="139"/>
      <c r="G14" s="169">
        <v>50000</v>
      </c>
    </row>
    <row r="15" spans="1:7" x14ac:dyDescent="0.25">
      <c r="A15" s="41" t="s">
        <v>30</v>
      </c>
      <c r="B15" s="41" t="s">
        <v>23</v>
      </c>
      <c r="C15" s="141" t="s">
        <v>203</v>
      </c>
      <c r="D15" s="143">
        <f>COUNTA(#REF!)</f>
        <v>1</v>
      </c>
      <c r="E15" s="167">
        <f t="shared" si="1"/>
        <v>1</v>
      </c>
      <c r="F15" s="139"/>
      <c r="G15" s="169">
        <v>50000</v>
      </c>
    </row>
    <row r="16" spans="1:7" x14ac:dyDescent="0.25">
      <c r="A16" s="41" t="s">
        <v>31</v>
      </c>
      <c r="B16" s="41" t="s">
        <v>24</v>
      </c>
      <c r="C16" s="141" t="s">
        <v>196</v>
      </c>
      <c r="D16" s="143">
        <f>COUNTA(#REF!)</f>
        <v>1</v>
      </c>
      <c r="E16" s="167">
        <f t="shared" si="1"/>
        <v>1</v>
      </c>
      <c r="F16" s="139"/>
      <c r="G16" s="169">
        <v>50000</v>
      </c>
    </row>
    <row r="17" spans="1:7" x14ac:dyDescent="0.25">
      <c r="A17" s="318" t="s">
        <v>32</v>
      </c>
      <c r="B17" s="165" t="s">
        <v>25</v>
      </c>
      <c r="C17" s="51" t="s">
        <v>200</v>
      </c>
      <c r="D17" s="167">
        <f>COUNTA(#REF!)</f>
        <v>1</v>
      </c>
      <c r="E17" s="167">
        <v>1</v>
      </c>
      <c r="F17" s="139"/>
      <c r="G17" s="169">
        <v>50000</v>
      </c>
    </row>
    <row r="18" spans="1:7" x14ac:dyDescent="0.25">
      <c r="A18" s="319"/>
      <c r="B18" s="165" t="s">
        <v>25</v>
      </c>
      <c r="C18" s="51" t="s">
        <v>197</v>
      </c>
      <c r="D18" s="167">
        <v>0</v>
      </c>
      <c r="E18" s="167">
        <v>1</v>
      </c>
      <c r="F18" s="139"/>
      <c r="G18" s="169">
        <v>50000</v>
      </c>
    </row>
    <row r="19" spans="1:7" x14ac:dyDescent="0.25">
      <c r="A19" s="41" t="s">
        <v>33</v>
      </c>
      <c r="B19" s="41" t="s">
        <v>26</v>
      </c>
      <c r="C19" s="51" t="s">
        <v>201</v>
      </c>
      <c r="D19" s="143">
        <f>COUNTA(#REF!)</f>
        <v>1</v>
      </c>
      <c r="E19" s="167">
        <f>COUNTA(C19)</f>
        <v>1</v>
      </c>
      <c r="F19" s="139"/>
      <c r="G19" s="169">
        <v>50000</v>
      </c>
    </row>
    <row r="20" spans="1:7" x14ac:dyDescent="0.25">
      <c r="A20" s="41" t="s">
        <v>35</v>
      </c>
      <c r="B20" s="41" t="s">
        <v>28</v>
      </c>
      <c r="C20" s="139"/>
      <c r="D20" s="143">
        <f>COUNTA(C20)</f>
        <v>0</v>
      </c>
      <c r="E20" s="167">
        <f>COUNTA(#REF!)</f>
        <v>1</v>
      </c>
      <c r="F20" s="139"/>
      <c r="G20" s="169">
        <v>0</v>
      </c>
    </row>
    <row r="21" spans="1:7" x14ac:dyDescent="0.25">
      <c r="A21" s="41" t="s">
        <v>36</v>
      </c>
      <c r="B21" s="41" t="s">
        <v>29</v>
      </c>
      <c r="C21" s="139"/>
      <c r="D21" s="143">
        <f>COUNTA(C21)</f>
        <v>0</v>
      </c>
      <c r="E21" s="167">
        <f>COUNTA(#REF!)</f>
        <v>1</v>
      </c>
      <c r="F21" s="139"/>
      <c r="G21" s="169">
        <v>0</v>
      </c>
    </row>
    <row r="22" spans="1:7" x14ac:dyDescent="0.25">
      <c r="A22" s="41" t="s">
        <v>87</v>
      </c>
      <c r="B22" s="41" t="s">
        <v>88</v>
      </c>
      <c r="C22" s="139"/>
      <c r="D22" s="143">
        <f>COUNTA(C22)</f>
        <v>0</v>
      </c>
      <c r="E22" s="167">
        <f>COUNTA(#REF!)</f>
        <v>1</v>
      </c>
      <c r="F22" s="139"/>
      <c r="G22" s="169">
        <v>0</v>
      </c>
    </row>
    <row r="23" spans="1:7" x14ac:dyDescent="0.25">
      <c r="A23" s="41" t="s">
        <v>89</v>
      </c>
      <c r="B23" s="41" t="s">
        <v>90</v>
      </c>
      <c r="C23" s="139"/>
      <c r="D23" s="143">
        <f>COUNTA(C23)</f>
        <v>0</v>
      </c>
      <c r="E23" s="167">
        <f>COUNTA(#REF!)</f>
        <v>1</v>
      </c>
      <c r="F23" s="139"/>
      <c r="G23" s="169">
        <v>0</v>
      </c>
    </row>
    <row r="24" spans="1:7" x14ac:dyDescent="0.25">
      <c r="C24" s="142">
        <f>COUNTA(C3:C23)</f>
        <v>16</v>
      </c>
      <c r="D24" s="50">
        <f>SUM(D3:D23)</f>
        <v>15</v>
      </c>
      <c r="E24" s="50">
        <f>SUM(E3:E23)</f>
        <v>20</v>
      </c>
      <c r="F24" s="50"/>
      <c r="G24" s="170">
        <f>SUM(G3:G23)</f>
        <v>800000</v>
      </c>
    </row>
    <row r="26" spans="1:7" x14ac:dyDescent="0.25">
      <c r="A26" s="3" t="s">
        <v>208</v>
      </c>
    </row>
    <row r="30" spans="1:7" x14ac:dyDescent="0.25">
      <c r="C30" s="171" t="s">
        <v>239</v>
      </c>
    </row>
    <row r="31" spans="1:7" x14ac:dyDescent="0.25">
      <c r="C31" s="171" t="s">
        <v>1</v>
      </c>
      <c r="D31" t="s">
        <v>237</v>
      </c>
    </row>
    <row r="32" spans="1:7" x14ac:dyDescent="0.25">
      <c r="C32" t="s">
        <v>2</v>
      </c>
      <c r="D32">
        <v>100000</v>
      </c>
    </row>
    <row r="33" spans="3:4" x14ac:dyDescent="0.25">
      <c r="C33" t="s">
        <v>9</v>
      </c>
      <c r="D33">
        <v>50000</v>
      </c>
    </row>
    <row r="34" spans="3:4" x14ac:dyDescent="0.25">
      <c r="C34" t="s">
        <v>24</v>
      </c>
      <c r="D34">
        <v>50000</v>
      </c>
    </row>
    <row r="35" spans="3:4" x14ac:dyDescent="0.25">
      <c r="C35" t="s">
        <v>6</v>
      </c>
      <c r="D35">
        <v>50000</v>
      </c>
    </row>
    <row r="36" spans="3:4" x14ac:dyDescent="0.25">
      <c r="C36" t="s">
        <v>26</v>
      </c>
      <c r="D36">
        <v>50000</v>
      </c>
    </row>
    <row r="37" spans="3:4" x14ac:dyDescent="0.25">
      <c r="C37" t="s">
        <v>5</v>
      </c>
      <c r="D37">
        <v>50000</v>
      </c>
    </row>
    <row r="38" spans="3:4" x14ac:dyDescent="0.25">
      <c r="C38" t="s">
        <v>23</v>
      </c>
      <c r="D38">
        <v>50000</v>
      </c>
    </row>
    <row r="39" spans="3:4" x14ac:dyDescent="0.25">
      <c r="C39" t="s">
        <v>8</v>
      </c>
      <c r="D39">
        <v>50000</v>
      </c>
    </row>
    <row r="40" spans="3:4" x14ac:dyDescent="0.25">
      <c r="C40" t="s">
        <v>25</v>
      </c>
      <c r="D40">
        <v>100000</v>
      </c>
    </row>
    <row r="41" spans="3:4" x14ac:dyDescent="0.25">
      <c r="C41" t="s">
        <v>7</v>
      </c>
      <c r="D41">
        <v>50000</v>
      </c>
    </row>
    <row r="42" spans="3:4" x14ac:dyDescent="0.25">
      <c r="C42" t="s">
        <v>28</v>
      </c>
      <c r="D42">
        <v>0</v>
      </c>
    </row>
    <row r="43" spans="3:4" x14ac:dyDescent="0.25">
      <c r="C43" t="s">
        <v>27</v>
      </c>
      <c r="D43">
        <v>50000</v>
      </c>
    </row>
    <row r="44" spans="3:4" x14ac:dyDescent="0.25">
      <c r="C44" t="s">
        <v>88</v>
      </c>
      <c r="D44">
        <v>0</v>
      </c>
    </row>
    <row r="45" spans="3:4" x14ac:dyDescent="0.25">
      <c r="C45" t="s">
        <v>90</v>
      </c>
      <c r="D45">
        <v>0</v>
      </c>
    </row>
    <row r="46" spans="3:4" x14ac:dyDescent="0.25">
      <c r="C46" t="s">
        <v>3</v>
      </c>
      <c r="D46">
        <v>100000</v>
      </c>
    </row>
    <row r="47" spans="3:4" x14ac:dyDescent="0.25">
      <c r="C47" t="s">
        <v>10</v>
      </c>
      <c r="D47">
        <v>50000</v>
      </c>
    </row>
    <row r="48" spans="3:4" x14ac:dyDescent="0.25">
      <c r="C48" t="s">
        <v>29</v>
      </c>
      <c r="D48">
        <v>0</v>
      </c>
    </row>
    <row r="49" spans="3:4" x14ac:dyDescent="0.25">
      <c r="C49" t="s">
        <v>4</v>
      </c>
      <c r="D49">
        <v>0</v>
      </c>
    </row>
    <row r="50" spans="3:4" x14ac:dyDescent="0.25">
      <c r="C50" t="s">
        <v>0</v>
      </c>
      <c r="D50">
        <v>800000</v>
      </c>
    </row>
  </sheetData>
  <mergeCells count="3">
    <mergeCell ref="A3:A4"/>
    <mergeCell ref="A5:A6"/>
    <mergeCell ref="A17:A18"/>
  </mergeCells>
  <pageMargins left="0.7" right="0.7" top="0.75" bottom="0.75" header="0.3" footer="0.3"/>
  <pageSetup scale="84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E24"/>
  <sheetViews>
    <sheetView workbookViewId="0">
      <selection activeCell="E1" sqref="E1"/>
    </sheetView>
  </sheetViews>
  <sheetFormatPr baseColWidth="10" defaultRowHeight="15" x14ac:dyDescent="0.25"/>
  <cols>
    <col min="1" max="1" width="44.7109375" bestFit="1" customWidth="1"/>
    <col min="2" max="2" width="13.140625" bestFit="1" customWidth="1"/>
    <col min="3" max="3" width="12.140625" bestFit="1" customWidth="1"/>
    <col min="5" max="5" width="14.42578125" bestFit="1" customWidth="1"/>
  </cols>
  <sheetData>
    <row r="1" spans="1:5" x14ac:dyDescent="0.25">
      <c r="B1" s="200">
        <v>1</v>
      </c>
      <c r="C1" s="200">
        <v>2</v>
      </c>
      <c r="D1" s="200">
        <v>3</v>
      </c>
      <c r="E1" s="200">
        <v>4</v>
      </c>
    </row>
    <row r="2" spans="1:5" ht="25.5" x14ac:dyDescent="0.25">
      <c r="A2" s="49" t="s">
        <v>11</v>
      </c>
      <c r="B2" s="50" t="s">
        <v>1</v>
      </c>
      <c r="C2" s="50" t="s">
        <v>240</v>
      </c>
      <c r="D2" s="50" t="s">
        <v>99</v>
      </c>
      <c r="E2" s="50" t="s">
        <v>100</v>
      </c>
    </row>
    <row r="3" spans="1:5" x14ac:dyDescent="0.25">
      <c r="A3" s="41" t="s">
        <v>12</v>
      </c>
      <c r="B3" s="41" t="s">
        <v>2</v>
      </c>
      <c r="C3" s="172">
        <v>2822</v>
      </c>
      <c r="D3" s="47">
        <f>C3/$C$21</f>
        <v>0.29605539236256817</v>
      </c>
      <c r="E3" s="48">
        <f>$B$24*D3</f>
        <v>957866.78183137497</v>
      </c>
    </row>
    <row r="4" spans="1:5" x14ac:dyDescent="0.25">
      <c r="A4" s="41" t="s">
        <v>13</v>
      </c>
      <c r="B4" s="41" t="s">
        <v>3</v>
      </c>
      <c r="C4" s="172">
        <v>1172</v>
      </c>
      <c r="D4" s="47">
        <f t="shared" ref="D4:D20" si="0">C4/$C$21</f>
        <v>0.12295425933697021</v>
      </c>
      <c r="E4" s="48">
        <f t="shared" ref="E4:E20" si="1">$B$24*D4</f>
        <v>397810.01711777877</v>
      </c>
    </row>
    <row r="5" spans="1:5" x14ac:dyDescent="0.25">
      <c r="A5" s="41" t="s">
        <v>19</v>
      </c>
      <c r="B5" s="41" t="s">
        <v>9</v>
      </c>
      <c r="C5" s="172">
        <v>380</v>
      </c>
      <c r="D5" s="47">
        <f t="shared" si="0"/>
        <v>3.9865715484683172E-2</v>
      </c>
      <c r="E5" s="48">
        <f t="shared" si="1"/>
        <v>128982.77005525249</v>
      </c>
    </row>
    <row r="6" spans="1:5" x14ac:dyDescent="0.25">
      <c r="A6" s="41" t="s">
        <v>16</v>
      </c>
      <c r="B6" s="41" t="s">
        <v>6</v>
      </c>
      <c r="C6" s="172">
        <v>887</v>
      </c>
      <c r="D6" s="47">
        <f t="shared" si="0"/>
        <v>9.3054972723457821E-2</v>
      </c>
      <c r="E6" s="48">
        <f t="shared" si="1"/>
        <v>301072.93957633933</v>
      </c>
    </row>
    <row r="7" spans="1:5" x14ac:dyDescent="0.25">
      <c r="A7" s="41" t="s">
        <v>15</v>
      </c>
      <c r="B7" s="41" t="s">
        <v>5</v>
      </c>
      <c r="C7" s="172">
        <v>725</v>
      </c>
      <c r="D7" s="47">
        <f t="shared" si="0"/>
        <v>7.6059588753671845E-2</v>
      </c>
      <c r="E7" s="48">
        <f t="shared" si="1"/>
        <v>246085.54813173172</v>
      </c>
    </row>
    <row r="8" spans="1:5" x14ac:dyDescent="0.25">
      <c r="A8" s="41" t="s">
        <v>20</v>
      </c>
      <c r="B8" s="41" t="s">
        <v>10</v>
      </c>
      <c r="C8" s="172">
        <v>555</v>
      </c>
      <c r="D8" s="47">
        <f t="shared" si="0"/>
        <v>5.8224926563155685E-2</v>
      </c>
      <c r="E8" s="48">
        <f t="shared" si="1"/>
        <v>188382.72994911877</v>
      </c>
    </row>
    <row r="9" spans="1:5" x14ac:dyDescent="0.25">
      <c r="A9" s="41" t="s">
        <v>14</v>
      </c>
      <c r="B9" s="41" t="s">
        <v>4</v>
      </c>
      <c r="C9" s="172">
        <v>693</v>
      </c>
      <c r="D9" s="47">
        <f t="shared" si="0"/>
        <v>7.2702475870751154E-2</v>
      </c>
      <c r="E9" s="48">
        <f t="shared" si="1"/>
        <v>235223.84117971046</v>
      </c>
    </row>
    <row r="10" spans="1:5" x14ac:dyDescent="0.25">
      <c r="A10" s="41" t="s">
        <v>18</v>
      </c>
      <c r="B10" s="41" t="s">
        <v>8</v>
      </c>
      <c r="C10" s="172">
        <v>447</v>
      </c>
      <c r="D10" s="47">
        <f t="shared" si="0"/>
        <v>4.689467058329836E-2</v>
      </c>
      <c r="E10" s="48">
        <f t="shared" si="1"/>
        <v>151724.468986047</v>
      </c>
    </row>
    <row r="11" spans="1:5" x14ac:dyDescent="0.25">
      <c r="A11" s="41" t="s">
        <v>17</v>
      </c>
      <c r="B11" s="41" t="s">
        <v>7</v>
      </c>
      <c r="C11" s="172">
        <v>257</v>
      </c>
      <c r="D11" s="47">
        <f t="shared" si="0"/>
        <v>2.6961812840956778E-2</v>
      </c>
      <c r="E11" s="48">
        <f t="shared" si="1"/>
        <v>87233.083958420772</v>
      </c>
    </row>
    <row r="12" spans="1:5" x14ac:dyDescent="0.25">
      <c r="A12" s="41" t="s">
        <v>34</v>
      </c>
      <c r="B12" s="41" t="s">
        <v>27</v>
      </c>
      <c r="C12" s="172">
        <v>162</v>
      </c>
      <c r="D12" s="47">
        <f t="shared" si="0"/>
        <v>1.6995383969785983E-2</v>
      </c>
      <c r="E12" s="48">
        <f t="shared" si="1"/>
        <v>54987.391444607638</v>
      </c>
    </row>
    <row r="13" spans="1:5" x14ac:dyDescent="0.25">
      <c r="A13" s="41" t="s">
        <v>30</v>
      </c>
      <c r="B13" s="41" t="s">
        <v>23</v>
      </c>
      <c r="C13" s="172">
        <v>184</v>
      </c>
      <c r="D13" s="47">
        <f t="shared" si="0"/>
        <v>1.9303399076793955E-2</v>
      </c>
      <c r="E13" s="48">
        <f t="shared" si="1"/>
        <v>62454.814974122251</v>
      </c>
    </row>
    <row r="14" spans="1:5" x14ac:dyDescent="0.25">
      <c r="A14" s="41" t="s">
        <v>31</v>
      </c>
      <c r="B14" s="41" t="s">
        <v>24</v>
      </c>
      <c r="C14" s="172">
        <v>234</v>
      </c>
      <c r="D14" s="47">
        <f t="shared" si="0"/>
        <v>2.4548887956357533E-2</v>
      </c>
      <c r="E14" s="48">
        <f t="shared" si="1"/>
        <v>79426.23208665548</v>
      </c>
    </row>
    <row r="15" spans="1:5" x14ac:dyDescent="0.25">
      <c r="A15" s="41" t="s">
        <v>32</v>
      </c>
      <c r="B15" s="41" t="s">
        <v>25</v>
      </c>
      <c r="C15" s="172">
        <v>288</v>
      </c>
      <c r="D15" s="47">
        <f t="shared" si="0"/>
        <v>3.0214015946286196E-2</v>
      </c>
      <c r="E15" s="48">
        <f t="shared" si="1"/>
        <v>97755.362568191369</v>
      </c>
    </row>
    <row r="16" spans="1:5" x14ac:dyDescent="0.25">
      <c r="A16" s="41" t="s">
        <v>33</v>
      </c>
      <c r="B16" s="41" t="s">
        <v>26</v>
      </c>
      <c r="C16" s="172">
        <v>180</v>
      </c>
      <c r="D16" s="47">
        <f t="shared" si="0"/>
        <v>1.8883759966428871E-2</v>
      </c>
      <c r="E16" s="48">
        <f t="shared" si="1"/>
        <v>61097.101605119598</v>
      </c>
    </row>
    <row r="17" spans="1:5" x14ac:dyDescent="0.25">
      <c r="A17" s="41" t="s">
        <v>35</v>
      </c>
      <c r="B17" s="41" t="s">
        <v>28</v>
      </c>
      <c r="C17" s="172">
        <v>105</v>
      </c>
      <c r="D17" s="47">
        <f t="shared" si="0"/>
        <v>1.1015526647083508E-2</v>
      </c>
      <c r="E17" s="48">
        <f t="shared" si="1"/>
        <v>35639.975936319766</v>
      </c>
    </row>
    <row r="18" spans="1:5" x14ac:dyDescent="0.25">
      <c r="A18" s="41" t="s">
        <v>36</v>
      </c>
      <c r="B18" s="41" t="s">
        <v>29</v>
      </c>
      <c r="C18" s="172">
        <v>223</v>
      </c>
      <c r="D18" s="47">
        <f t="shared" si="0"/>
        <v>2.3394880402853546E-2</v>
      </c>
      <c r="E18" s="48">
        <f t="shared" si="1"/>
        <v>75692.520321898177</v>
      </c>
    </row>
    <row r="19" spans="1:5" x14ac:dyDescent="0.25">
      <c r="A19" s="41" t="s">
        <v>87</v>
      </c>
      <c r="B19" s="41" t="s">
        <v>88</v>
      </c>
      <c r="C19" s="172">
        <v>172</v>
      </c>
      <c r="D19" s="47">
        <f t="shared" si="0"/>
        <v>1.8044481745698698E-2</v>
      </c>
      <c r="E19" s="48">
        <f t="shared" si="1"/>
        <v>58381.674867114285</v>
      </c>
    </row>
    <row r="20" spans="1:5" x14ac:dyDescent="0.25">
      <c r="A20" s="41" t="s">
        <v>89</v>
      </c>
      <c r="B20" s="41" t="s">
        <v>90</v>
      </c>
      <c r="C20" s="172">
        <v>46</v>
      </c>
      <c r="D20" s="47">
        <f t="shared" si="0"/>
        <v>4.8258497691984889E-3</v>
      </c>
      <c r="E20" s="48">
        <f t="shared" si="1"/>
        <v>15613.703743530563</v>
      </c>
    </row>
    <row r="21" spans="1:5" x14ac:dyDescent="0.25">
      <c r="C21" s="40">
        <f>SUM(C3:C20)</f>
        <v>9532</v>
      </c>
      <c r="D21" s="56">
        <f>SUM(D3:D20)</f>
        <v>0.99999999999999989</v>
      </c>
      <c r="E21" s="57">
        <f>SUM(E3:E20)</f>
        <v>3235430.958333333</v>
      </c>
    </row>
    <row r="24" spans="1:5" x14ac:dyDescent="0.25">
      <c r="A24" t="s">
        <v>101</v>
      </c>
      <c r="B24" s="6">
        <f>'Montos AIUE 2023 '!B40/6</f>
        <v>3235430.9583333335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K24"/>
  <sheetViews>
    <sheetView zoomScale="90" zoomScaleNormal="90" workbookViewId="0">
      <selection activeCell="K1" sqref="K1"/>
    </sheetView>
  </sheetViews>
  <sheetFormatPr baseColWidth="10" defaultRowHeight="15" x14ac:dyDescent="0.25"/>
  <cols>
    <col min="1" max="1" width="44.7109375" bestFit="1" customWidth="1"/>
    <col min="3" max="4" width="12.42578125" customWidth="1"/>
    <col min="5" max="5" width="11.85546875" customWidth="1"/>
    <col min="6" max="6" width="13.28515625" customWidth="1"/>
    <col min="7" max="7" width="11.85546875" customWidth="1"/>
    <col min="8" max="8" width="12.28515625" customWidth="1"/>
  </cols>
  <sheetData>
    <row r="1" spans="1:11" x14ac:dyDescent="0.25">
      <c r="B1" s="200">
        <v>1</v>
      </c>
      <c r="C1" s="200">
        <v>2</v>
      </c>
      <c r="D1" s="200">
        <v>3</v>
      </c>
      <c r="E1" s="200">
        <v>4</v>
      </c>
      <c r="F1" s="200">
        <v>5</v>
      </c>
      <c r="G1" s="200">
        <v>6</v>
      </c>
      <c r="H1" s="200">
        <v>7</v>
      </c>
      <c r="I1" s="200">
        <v>8</v>
      </c>
      <c r="J1" s="200">
        <v>9</v>
      </c>
      <c r="K1" s="200">
        <v>10</v>
      </c>
    </row>
    <row r="2" spans="1:11" ht="64.5" customHeight="1" x14ac:dyDescent="0.25">
      <c r="A2" s="54" t="s">
        <v>11</v>
      </c>
      <c r="B2" s="55" t="s">
        <v>1</v>
      </c>
      <c r="C2" s="50" t="s">
        <v>261</v>
      </c>
      <c r="D2" s="50" t="s">
        <v>262</v>
      </c>
      <c r="E2" s="50" t="s">
        <v>263</v>
      </c>
      <c r="F2" s="50" t="s">
        <v>111</v>
      </c>
      <c r="G2" s="50" t="s">
        <v>112</v>
      </c>
      <c r="H2" s="50" t="s">
        <v>113</v>
      </c>
      <c r="I2" s="50" t="s">
        <v>114</v>
      </c>
      <c r="J2" s="50" t="s">
        <v>116</v>
      </c>
      <c r="K2" s="50" t="s">
        <v>115</v>
      </c>
    </row>
    <row r="3" spans="1:11" x14ac:dyDescent="0.25">
      <c r="A3" s="41" t="s">
        <v>12</v>
      </c>
      <c r="B3" s="41" t="s">
        <v>2</v>
      </c>
      <c r="C3" s="51">
        <v>1</v>
      </c>
      <c r="D3" s="51">
        <v>1</v>
      </c>
      <c r="E3" s="51">
        <v>7</v>
      </c>
      <c r="F3" s="51">
        <f>C3*100</f>
        <v>100</v>
      </c>
      <c r="G3" s="51">
        <f>D3*100</f>
        <v>100</v>
      </c>
      <c r="H3" s="51">
        <f>E3/7*100</f>
        <v>100</v>
      </c>
      <c r="I3" s="51">
        <f>F3+G3+H3</f>
        <v>300</v>
      </c>
      <c r="J3" s="52">
        <f>I3/$I$21</f>
        <v>9.8130841121495296E-2</v>
      </c>
      <c r="K3" s="53">
        <f>J3*$B$24</f>
        <v>317495.56133177562</v>
      </c>
    </row>
    <row r="4" spans="1:11" x14ac:dyDescent="0.25">
      <c r="A4" s="41" t="s">
        <v>13</v>
      </c>
      <c r="B4" s="41" t="s">
        <v>3</v>
      </c>
      <c r="C4" s="51">
        <v>1</v>
      </c>
      <c r="D4" s="51">
        <v>1</v>
      </c>
      <c r="E4" s="51">
        <v>7</v>
      </c>
      <c r="F4" s="51">
        <f t="shared" ref="F4:F20" si="0">C4*100</f>
        <v>100</v>
      </c>
      <c r="G4" s="51">
        <f t="shared" ref="G4:G20" si="1">D4*100</f>
        <v>100</v>
      </c>
      <c r="H4" s="51">
        <f t="shared" ref="H4:H20" si="2">E4/7*100</f>
        <v>100</v>
      </c>
      <c r="I4" s="51">
        <f t="shared" ref="I4:I20" si="3">F4+G4+H4</f>
        <v>300</v>
      </c>
      <c r="J4" s="52">
        <f t="shared" ref="J4:J20" si="4">I4/$I$21</f>
        <v>9.8130841121495296E-2</v>
      </c>
      <c r="K4" s="53">
        <f t="shared" ref="K4:K20" si="5">J4*$B$24</f>
        <v>317495.56133177562</v>
      </c>
    </row>
    <row r="5" spans="1:11" x14ac:dyDescent="0.25">
      <c r="A5" s="41" t="s">
        <v>19</v>
      </c>
      <c r="B5" s="41" t="s">
        <v>9</v>
      </c>
      <c r="C5" s="51">
        <v>1</v>
      </c>
      <c r="D5" s="51">
        <v>1</v>
      </c>
      <c r="E5" s="51">
        <v>5</v>
      </c>
      <c r="F5" s="51">
        <f t="shared" si="0"/>
        <v>100</v>
      </c>
      <c r="G5" s="51">
        <f t="shared" si="1"/>
        <v>100</v>
      </c>
      <c r="H5" s="51">
        <f t="shared" si="2"/>
        <v>71.428571428571431</v>
      </c>
      <c r="I5" s="51">
        <f t="shared" si="3"/>
        <v>271.42857142857144</v>
      </c>
      <c r="J5" s="52">
        <f t="shared" si="4"/>
        <v>8.8785046728971931E-2</v>
      </c>
      <c r="K5" s="53">
        <f t="shared" si="5"/>
        <v>287257.88882398745</v>
      </c>
    </row>
    <row r="6" spans="1:11" x14ac:dyDescent="0.25">
      <c r="A6" s="41" t="s">
        <v>16</v>
      </c>
      <c r="B6" s="41" t="s">
        <v>6</v>
      </c>
      <c r="C6" s="51">
        <v>1</v>
      </c>
      <c r="D6" s="51">
        <v>1</v>
      </c>
      <c r="E6" s="51">
        <v>6</v>
      </c>
      <c r="F6" s="51">
        <f t="shared" si="0"/>
        <v>100</v>
      </c>
      <c r="G6" s="51">
        <f t="shared" si="1"/>
        <v>100</v>
      </c>
      <c r="H6" s="51">
        <f t="shared" si="2"/>
        <v>85.714285714285708</v>
      </c>
      <c r="I6" s="51">
        <f t="shared" si="3"/>
        <v>285.71428571428572</v>
      </c>
      <c r="J6" s="52">
        <f t="shared" si="4"/>
        <v>9.3457943925233614E-2</v>
      </c>
      <c r="K6" s="53">
        <f t="shared" si="5"/>
        <v>302376.72507788154</v>
      </c>
    </row>
    <row r="7" spans="1:11" x14ac:dyDescent="0.25">
      <c r="A7" s="41" t="s">
        <v>15</v>
      </c>
      <c r="B7" s="41" t="s">
        <v>5</v>
      </c>
      <c r="C7" s="51">
        <v>1</v>
      </c>
      <c r="D7" s="51">
        <v>1</v>
      </c>
      <c r="E7" s="51">
        <v>6</v>
      </c>
      <c r="F7" s="51">
        <f t="shared" si="0"/>
        <v>100</v>
      </c>
      <c r="G7" s="51">
        <f t="shared" si="1"/>
        <v>100</v>
      </c>
      <c r="H7" s="51">
        <f t="shared" si="2"/>
        <v>85.714285714285708</v>
      </c>
      <c r="I7" s="51">
        <f t="shared" si="3"/>
        <v>285.71428571428572</v>
      </c>
      <c r="J7" s="52">
        <f t="shared" si="4"/>
        <v>9.3457943925233614E-2</v>
      </c>
      <c r="K7" s="53">
        <f t="shared" si="5"/>
        <v>302376.72507788154</v>
      </c>
    </row>
    <row r="8" spans="1:11" x14ac:dyDescent="0.25">
      <c r="A8" s="41" t="s">
        <v>20</v>
      </c>
      <c r="B8" s="41" t="s">
        <v>10</v>
      </c>
      <c r="C8" s="51">
        <v>1</v>
      </c>
      <c r="D8" s="51">
        <v>0</v>
      </c>
      <c r="E8" s="51">
        <v>5</v>
      </c>
      <c r="F8" s="51">
        <f t="shared" si="0"/>
        <v>100</v>
      </c>
      <c r="G8" s="51">
        <f t="shared" si="1"/>
        <v>0</v>
      </c>
      <c r="H8" s="51">
        <f t="shared" si="2"/>
        <v>71.428571428571431</v>
      </c>
      <c r="I8" s="51">
        <f t="shared" si="3"/>
        <v>171.42857142857144</v>
      </c>
      <c r="J8" s="52">
        <f t="shared" si="4"/>
        <v>5.6074766355140172E-2</v>
      </c>
      <c r="K8" s="53">
        <f t="shared" si="5"/>
        <v>181426.03504672894</v>
      </c>
    </row>
    <row r="9" spans="1:11" x14ac:dyDescent="0.25">
      <c r="A9" s="41" t="s">
        <v>14</v>
      </c>
      <c r="B9" s="41" t="s">
        <v>4</v>
      </c>
      <c r="C9" s="51">
        <v>1</v>
      </c>
      <c r="D9" s="51">
        <v>1</v>
      </c>
      <c r="E9" s="51">
        <v>5</v>
      </c>
      <c r="F9" s="51">
        <f t="shared" si="0"/>
        <v>100</v>
      </c>
      <c r="G9" s="51">
        <f t="shared" si="1"/>
        <v>100</v>
      </c>
      <c r="H9" s="51">
        <f t="shared" si="2"/>
        <v>71.428571428571431</v>
      </c>
      <c r="I9" s="51">
        <f t="shared" si="3"/>
        <v>271.42857142857144</v>
      </c>
      <c r="J9" s="52">
        <f t="shared" si="4"/>
        <v>8.8785046728971931E-2</v>
      </c>
      <c r="K9" s="53">
        <f t="shared" si="5"/>
        <v>287257.88882398745</v>
      </c>
    </row>
    <row r="10" spans="1:11" x14ac:dyDescent="0.25">
      <c r="A10" s="41" t="s">
        <v>18</v>
      </c>
      <c r="B10" s="41" t="s">
        <v>8</v>
      </c>
      <c r="C10" s="51">
        <v>1</v>
      </c>
      <c r="D10" s="51">
        <v>1</v>
      </c>
      <c r="E10" s="51">
        <v>5</v>
      </c>
      <c r="F10" s="51">
        <f t="shared" si="0"/>
        <v>100</v>
      </c>
      <c r="G10" s="51">
        <f t="shared" si="1"/>
        <v>100</v>
      </c>
      <c r="H10" s="51">
        <f t="shared" si="2"/>
        <v>71.428571428571431</v>
      </c>
      <c r="I10" s="51">
        <f t="shared" si="3"/>
        <v>271.42857142857144</v>
      </c>
      <c r="J10" s="52">
        <f t="shared" si="4"/>
        <v>8.8785046728971931E-2</v>
      </c>
      <c r="K10" s="53">
        <f t="shared" si="5"/>
        <v>287257.88882398745</v>
      </c>
    </row>
    <row r="11" spans="1:11" x14ac:dyDescent="0.25">
      <c r="A11" s="41" t="s">
        <v>17</v>
      </c>
      <c r="B11" s="41" t="s">
        <v>7</v>
      </c>
      <c r="C11" s="51">
        <v>1</v>
      </c>
      <c r="D11" s="51">
        <v>0</v>
      </c>
      <c r="E11" s="51">
        <v>5</v>
      </c>
      <c r="F11" s="51">
        <f t="shared" si="0"/>
        <v>100</v>
      </c>
      <c r="G11" s="51">
        <f t="shared" si="1"/>
        <v>0</v>
      </c>
      <c r="H11" s="51">
        <f t="shared" si="2"/>
        <v>71.428571428571431</v>
      </c>
      <c r="I11" s="51">
        <f t="shared" si="3"/>
        <v>171.42857142857144</v>
      </c>
      <c r="J11" s="52">
        <f t="shared" si="4"/>
        <v>5.6074766355140172E-2</v>
      </c>
      <c r="K11" s="53">
        <f t="shared" si="5"/>
        <v>181426.03504672894</v>
      </c>
    </row>
    <row r="12" spans="1:11" x14ac:dyDescent="0.25">
      <c r="A12" s="41" t="s">
        <v>109</v>
      </c>
      <c r="B12" s="41" t="s">
        <v>27</v>
      </c>
      <c r="C12" s="51">
        <v>0</v>
      </c>
      <c r="D12" s="51">
        <v>0</v>
      </c>
      <c r="E12" s="51">
        <v>5</v>
      </c>
      <c r="F12" s="51">
        <f t="shared" si="0"/>
        <v>0</v>
      </c>
      <c r="G12" s="51">
        <f t="shared" si="1"/>
        <v>0</v>
      </c>
      <c r="H12" s="51">
        <f t="shared" si="2"/>
        <v>71.428571428571431</v>
      </c>
      <c r="I12" s="51">
        <f t="shared" si="3"/>
        <v>71.428571428571431</v>
      </c>
      <c r="J12" s="52">
        <f t="shared" si="4"/>
        <v>2.3364485981308403E-2</v>
      </c>
      <c r="K12" s="53">
        <f t="shared" si="5"/>
        <v>75594.181269470384</v>
      </c>
    </row>
    <row r="13" spans="1:11" x14ac:dyDescent="0.25">
      <c r="A13" s="41" t="s">
        <v>30</v>
      </c>
      <c r="B13" s="41" t="s">
        <v>23</v>
      </c>
      <c r="C13" s="51">
        <v>0</v>
      </c>
      <c r="D13" s="51">
        <v>0</v>
      </c>
      <c r="E13" s="51">
        <v>5</v>
      </c>
      <c r="F13" s="51">
        <f t="shared" si="0"/>
        <v>0</v>
      </c>
      <c r="G13" s="51">
        <f t="shared" si="1"/>
        <v>0</v>
      </c>
      <c r="H13" s="51">
        <f t="shared" si="2"/>
        <v>71.428571428571431</v>
      </c>
      <c r="I13" s="51">
        <f t="shared" si="3"/>
        <v>71.428571428571431</v>
      </c>
      <c r="J13" s="52">
        <f t="shared" si="4"/>
        <v>2.3364485981308403E-2</v>
      </c>
      <c r="K13" s="53">
        <f t="shared" si="5"/>
        <v>75594.181269470384</v>
      </c>
    </row>
    <row r="14" spans="1:11" x14ac:dyDescent="0.25">
      <c r="A14" s="41" t="s">
        <v>31</v>
      </c>
      <c r="B14" s="41" t="s">
        <v>24</v>
      </c>
      <c r="C14" s="51">
        <v>1</v>
      </c>
      <c r="D14" s="51">
        <v>0</v>
      </c>
      <c r="E14" s="51">
        <v>4</v>
      </c>
      <c r="F14" s="51">
        <f t="shared" si="0"/>
        <v>100</v>
      </c>
      <c r="G14" s="51">
        <f t="shared" si="1"/>
        <v>0</v>
      </c>
      <c r="H14" s="51">
        <f t="shared" si="2"/>
        <v>57.142857142857139</v>
      </c>
      <c r="I14" s="51">
        <f t="shared" si="3"/>
        <v>157.14285714285714</v>
      </c>
      <c r="J14" s="52">
        <f t="shared" si="4"/>
        <v>5.1401869158878483E-2</v>
      </c>
      <c r="K14" s="53">
        <f t="shared" si="5"/>
        <v>166307.19879283482</v>
      </c>
    </row>
    <row r="15" spans="1:11" x14ac:dyDescent="0.25">
      <c r="A15" s="41" t="s">
        <v>32</v>
      </c>
      <c r="B15" s="41" t="s">
        <v>25</v>
      </c>
      <c r="C15" s="51">
        <v>1</v>
      </c>
      <c r="D15" s="51">
        <v>0</v>
      </c>
      <c r="E15" s="51">
        <v>5</v>
      </c>
      <c r="F15" s="51">
        <f t="shared" si="0"/>
        <v>100</v>
      </c>
      <c r="G15" s="51">
        <f t="shared" si="1"/>
        <v>0</v>
      </c>
      <c r="H15" s="51">
        <f t="shared" si="2"/>
        <v>71.428571428571431</v>
      </c>
      <c r="I15" s="51">
        <f t="shared" si="3"/>
        <v>171.42857142857144</v>
      </c>
      <c r="J15" s="52">
        <f t="shared" si="4"/>
        <v>5.6074766355140172E-2</v>
      </c>
      <c r="K15" s="53">
        <f t="shared" si="5"/>
        <v>181426.03504672894</v>
      </c>
    </row>
    <row r="16" spans="1:11" x14ac:dyDescent="0.25">
      <c r="A16" s="41" t="s">
        <v>33</v>
      </c>
      <c r="B16" s="41" t="s">
        <v>26</v>
      </c>
      <c r="C16" s="51">
        <v>1</v>
      </c>
      <c r="D16" s="51">
        <v>0</v>
      </c>
      <c r="E16" s="51">
        <v>4</v>
      </c>
      <c r="F16" s="51">
        <f t="shared" si="0"/>
        <v>100</v>
      </c>
      <c r="G16" s="51">
        <f t="shared" si="1"/>
        <v>0</v>
      </c>
      <c r="H16" s="51">
        <f t="shared" si="2"/>
        <v>57.142857142857139</v>
      </c>
      <c r="I16" s="51">
        <f t="shared" si="3"/>
        <v>157.14285714285714</v>
      </c>
      <c r="J16" s="52">
        <f t="shared" si="4"/>
        <v>5.1401869158878483E-2</v>
      </c>
      <c r="K16" s="53">
        <f t="shared" si="5"/>
        <v>166307.19879283482</v>
      </c>
    </row>
    <row r="17" spans="1:11" x14ac:dyDescent="0.25">
      <c r="A17" s="41" t="s">
        <v>110</v>
      </c>
      <c r="B17" s="41" t="s">
        <v>28</v>
      </c>
      <c r="C17" s="51">
        <v>0</v>
      </c>
      <c r="D17" s="51">
        <v>0</v>
      </c>
      <c r="E17" s="51">
        <v>3</v>
      </c>
      <c r="F17" s="51">
        <f t="shared" si="0"/>
        <v>0</v>
      </c>
      <c r="G17" s="51">
        <f t="shared" si="1"/>
        <v>0</v>
      </c>
      <c r="H17" s="51">
        <f t="shared" si="2"/>
        <v>42.857142857142854</v>
      </c>
      <c r="I17" s="51">
        <f t="shared" si="3"/>
        <v>42.857142857142854</v>
      </c>
      <c r="J17" s="52">
        <f t="shared" si="4"/>
        <v>1.4018691588785041E-2</v>
      </c>
      <c r="K17" s="53">
        <f t="shared" si="5"/>
        <v>45356.508761682227</v>
      </c>
    </row>
    <row r="18" spans="1:11" x14ac:dyDescent="0.25">
      <c r="A18" s="41" t="s">
        <v>36</v>
      </c>
      <c r="B18" s="41" t="s">
        <v>29</v>
      </c>
      <c r="C18" s="51">
        <v>0</v>
      </c>
      <c r="D18" s="51">
        <v>0</v>
      </c>
      <c r="E18" s="51">
        <v>4</v>
      </c>
      <c r="F18" s="51">
        <f t="shared" si="0"/>
        <v>0</v>
      </c>
      <c r="G18" s="51">
        <f t="shared" si="1"/>
        <v>0</v>
      </c>
      <c r="H18" s="51">
        <f t="shared" si="2"/>
        <v>57.142857142857139</v>
      </c>
      <c r="I18" s="51">
        <f t="shared" si="3"/>
        <v>57.142857142857139</v>
      </c>
      <c r="J18" s="52">
        <f t="shared" si="4"/>
        <v>1.8691588785046721E-2</v>
      </c>
      <c r="K18" s="53">
        <f t="shared" si="5"/>
        <v>60475.345015576298</v>
      </c>
    </row>
    <row r="19" spans="1:11" x14ac:dyDescent="0.25">
      <c r="A19" s="41" t="s">
        <v>87</v>
      </c>
      <c r="B19" s="41" t="s">
        <v>88</v>
      </c>
      <c r="C19" s="51">
        <v>0</v>
      </c>
      <c r="D19" s="51">
        <v>0</v>
      </c>
      <c r="E19" s="51">
        <v>0</v>
      </c>
      <c r="F19" s="51">
        <f t="shared" si="0"/>
        <v>0</v>
      </c>
      <c r="G19" s="51">
        <f t="shared" si="1"/>
        <v>0</v>
      </c>
      <c r="H19" s="51">
        <f t="shared" si="2"/>
        <v>0</v>
      </c>
      <c r="I19" s="51">
        <f t="shared" si="3"/>
        <v>0</v>
      </c>
      <c r="J19" s="52">
        <f t="shared" si="4"/>
        <v>0</v>
      </c>
      <c r="K19" s="53">
        <f t="shared" si="5"/>
        <v>0</v>
      </c>
    </row>
    <row r="20" spans="1:11" x14ac:dyDescent="0.25">
      <c r="A20" s="41" t="s">
        <v>89</v>
      </c>
      <c r="B20" s="41" t="s">
        <v>90</v>
      </c>
      <c r="C20" s="51">
        <v>0</v>
      </c>
      <c r="D20" s="51">
        <v>0</v>
      </c>
      <c r="E20" s="51">
        <v>0</v>
      </c>
      <c r="F20" s="51">
        <f t="shared" si="0"/>
        <v>0</v>
      </c>
      <c r="G20" s="51">
        <f t="shared" si="1"/>
        <v>0</v>
      </c>
      <c r="H20" s="51">
        <f t="shared" si="2"/>
        <v>0</v>
      </c>
      <c r="I20" s="51">
        <f t="shared" si="3"/>
        <v>0</v>
      </c>
      <c r="J20" s="52">
        <f t="shared" si="4"/>
        <v>0</v>
      </c>
      <c r="K20" s="53">
        <f t="shared" si="5"/>
        <v>0</v>
      </c>
    </row>
    <row r="21" spans="1:11" x14ac:dyDescent="0.25">
      <c r="C21" s="58">
        <f t="shared" ref="C21:K21" si="6">SUM(C3:C20)</f>
        <v>12</v>
      </c>
      <c r="D21" s="58">
        <f t="shared" si="6"/>
        <v>7</v>
      </c>
      <c r="E21" s="58">
        <f t="shared" si="6"/>
        <v>81</v>
      </c>
      <c r="F21" s="58">
        <f t="shared" si="6"/>
        <v>1200</v>
      </c>
      <c r="G21" s="58">
        <f t="shared" si="6"/>
        <v>700</v>
      </c>
      <c r="H21" s="58">
        <f t="shared" si="6"/>
        <v>1157.1428571428573</v>
      </c>
      <c r="I21" s="58">
        <f t="shared" si="6"/>
        <v>3057.1428571428582</v>
      </c>
      <c r="J21" s="58">
        <f t="shared" si="6"/>
        <v>0.99999999999999944</v>
      </c>
      <c r="K21" s="58">
        <f t="shared" si="6"/>
        <v>3235430.9583333321</v>
      </c>
    </row>
    <row r="22" spans="1:11" x14ac:dyDescent="0.25">
      <c r="C22" t="s">
        <v>147</v>
      </c>
      <c r="D22" t="s">
        <v>147</v>
      </c>
      <c r="E22" t="s">
        <v>147</v>
      </c>
      <c r="F22" t="s">
        <v>148</v>
      </c>
      <c r="G22" t="s">
        <v>149</v>
      </c>
      <c r="H22" t="s">
        <v>150</v>
      </c>
      <c r="I22" t="s">
        <v>151</v>
      </c>
      <c r="J22" t="s">
        <v>153</v>
      </c>
      <c r="K22" t="s">
        <v>154</v>
      </c>
    </row>
    <row r="23" spans="1:11" x14ac:dyDescent="0.25">
      <c r="I23" t="s">
        <v>152</v>
      </c>
    </row>
    <row r="24" spans="1:11" x14ac:dyDescent="0.25">
      <c r="A24" t="s">
        <v>123</v>
      </c>
      <c r="B24" s="6">
        <f>'Montos AIUE 2023 '!B40/6</f>
        <v>3235430.9583333335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559A-3A8B-4F61-8795-8F172962E6FA}">
  <sheetPr>
    <tabColor theme="7" tint="0.79998168889431442"/>
  </sheetPr>
  <dimension ref="A1:E24"/>
  <sheetViews>
    <sheetView zoomScale="90" zoomScaleNormal="90" workbookViewId="0">
      <selection activeCell="E1" sqref="E1"/>
    </sheetView>
  </sheetViews>
  <sheetFormatPr baseColWidth="10" defaultRowHeight="15" x14ac:dyDescent="0.25"/>
  <cols>
    <col min="1" max="1" width="50" bestFit="1" customWidth="1"/>
    <col min="5" max="5" width="12.140625" bestFit="1" customWidth="1"/>
    <col min="8" max="8" width="11.85546875" bestFit="1" customWidth="1"/>
  </cols>
  <sheetData>
    <row r="1" spans="1:5" x14ac:dyDescent="0.25">
      <c r="B1" s="200">
        <v>1</v>
      </c>
      <c r="C1" s="200">
        <v>2</v>
      </c>
      <c r="D1" s="200">
        <v>3</v>
      </c>
      <c r="E1" s="200">
        <v>4</v>
      </c>
    </row>
    <row r="2" spans="1:5" ht="25.5" x14ac:dyDescent="0.25">
      <c r="A2" s="49" t="s">
        <v>11</v>
      </c>
      <c r="B2" s="50" t="s">
        <v>1</v>
      </c>
      <c r="C2" s="50" t="s">
        <v>241</v>
      </c>
      <c r="D2" s="50" t="s">
        <v>116</v>
      </c>
      <c r="E2" s="50" t="s">
        <v>115</v>
      </c>
    </row>
    <row r="3" spans="1:5" x14ac:dyDescent="0.25">
      <c r="A3" s="41" t="s">
        <v>12</v>
      </c>
      <c r="B3" s="41" t="s">
        <v>2</v>
      </c>
      <c r="C3" s="131">
        <v>1157</v>
      </c>
      <c r="D3" s="52">
        <f>C3/$C$21</f>
        <v>0.2900476309852093</v>
      </c>
      <c r="E3" s="59">
        <f>D3*$B$24</f>
        <v>938429.0846807888</v>
      </c>
    </row>
    <row r="4" spans="1:5" x14ac:dyDescent="0.25">
      <c r="A4" s="41" t="s">
        <v>13</v>
      </c>
      <c r="B4" s="41" t="s">
        <v>3</v>
      </c>
      <c r="C4" s="131">
        <v>413</v>
      </c>
      <c r="D4" s="52">
        <f t="shared" ref="D4:D20" si="0">C4/$C$21</f>
        <v>0.10353472048132364</v>
      </c>
      <c r="E4" s="59">
        <f t="shared" ref="E4:E20" si="1">D4*$B$24</f>
        <v>334979.43990766275</v>
      </c>
    </row>
    <row r="5" spans="1:5" x14ac:dyDescent="0.25">
      <c r="A5" s="41" t="s">
        <v>19</v>
      </c>
      <c r="B5" s="41" t="s">
        <v>9</v>
      </c>
      <c r="C5" s="131">
        <v>153</v>
      </c>
      <c r="D5" s="52">
        <f t="shared" si="0"/>
        <v>3.8355477563299073E-2</v>
      </c>
      <c r="E5" s="59">
        <f t="shared" si="1"/>
        <v>124096.49952995739</v>
      </c>
    </row>
    <row r="6" spans="1:5" x14ac:dyDescent="0.25">
      <c r="A6" s="41" t="s">
        <v>16</v>
      </c>
      <c r="B6" s="41" t="s">
        <v>6</v>
      </c>
      <c r="C6" s="131">
        <v>263</v>
      </c>
      <c r="D6" s="52">
        <f t="shared" si="0"/>
        <v>6.5931311105540236E-2</v>
      </c>
      <c r="E6" s="59">
        <f t="shared" si="1"/>
        <v>213316.20507437119</v>
      </c>
    </row>
    <row r="7" spans="1:5" x14ac:dyDescent="0.25">
      <c r="A7" s="41" t="s">
        <v>15</v>
      </c>
      <c r="B7" s="41" t="s">
        <v>5</v>
      </c>
      <c r="C7" s="131">
        <v>271</v>
      </c>
      <c r="D7" s="52">
        <f t="shared" si="0"/>
        <v>6.7936826272248688E-2</v>
      </c>
      <c r="E7" s="59">
        <f t="shared" si="1"/>
        <v>219804.91093214677</v>
      </c>
    </row>
    <row r="8" spans="1:5" x14ac:dyDescent="0.25">
      <c r="A8" s="41" t="s">
        <v>117</v>
      </c>
      <c r="B8" s="41" t="s">
        <v>10</v>
      </c>
      <c r="C8" s="131">
        <v>176</v>
      </c>
      <c r="D8" s="52">
        <f t="shared" si="0"/>
        <v>4.412133366758586E-2</v>
      </c>
      <c r="E8" s="59">
        <f t="shared" si="1"/>
        <v>142751.5288710621</v>
      </c>
    </row>
    <row r="9" spans="1:5" x14ac:dyDescent="0.25">
      <c r="A9" s="41" t="s">
        <v>118</v>
      </c>
      <c r="B9" s="41" t="s">
        <v>4</v>
      </c>
      <c r="C9" s="131">
        <v>292</v>
      </c>
      <c r="D9" s="52">
        <f t="shared" si="0"/>
        <v>7.3201303584858365E-2</v>
      </c>
      <c r="E9" s="59">
        <f t="shared" si="1"/>
        <v>236837.76380880759</v>
      </c>
    </row>
    <row r="10" spans="1:5" x14ac:dyDescent="0.25">
      <c r="A10" s="41" t="s">
        <v>119</v>
      </c>
      <c r="B10" s="41" t="s">
        <v>8</v>
      </c>
      <c r="C10" s="131">
        <v>286</v>
      </c>
      <c r="D10" s="52">
        <f t="shared" si="0"/>
        <v>7.1697167209827023E-2</v>
      </c>
      <c r="E10" s="59">
        <f t="shared" si="1"/>
        <v>231971.23441547589</v>
      </c>
    </row>
    <row r="11" spans="1:5" x14ac:dyDescent="0.25">
      <c r="A11" s="41" t="s">
        <v>17</v>
      </c>
      <c r="B11" s="41" t="s">
        <v>7</v>
      </c>
      <c r="C11" s="131">
        <v>111</v>
      </c>
      <c r="D11" s="52">
        <f t="shared" si="0"/>
        <v>2.7826522938079721E-2</v>
      </c>
      <c r="E11" s="59">
        <f t="shared" si="1"/>
        <v>90030.793776635765</v>
      </c>
    </row>
    <row r="12" spans="1:5" x14ac:dyDescent="0.25">
      <c r="A12" s="41" t="s">
        <v>120</v>
      </c>
      <c r="B12" s="41" t="s">
        <v>27</v>
      </c>
      <c r="C12" s="131">
        <v>132</v>
      </c>
      <c r="D12" s="52">
        <f t="shared" si="0"/>
        <v>3.3091000250689395E-2</v>
      </c>
      <c r="E12" s="59">
        <f t="shared" si="1"/>
        <v>107063.64665329657</v>
      </c>
    </row>
    <row r="13" spans="1:5" x14ac:dyDescent="0.25">
      <c r="A13" s="41" t="s">
        <v>30</v>
      </c>
      <c r="B13" s="41" t="s">
        <v>23</v>
      </c>
      <c r="C13" s="131">
        <v>95</v>
      </c>
      <c r="D13" s="52">
        <f t="shared" si="0"/>
        <v>2.3815492604662824E-2</v>
      </c>
      <c r="E13" s="59">
        <f t="shared" si="1"/>
        <v>77053.38206108466</v>
      </c>
    </row>
    <row r="14" spans="1:5" x14ac:dyDescent="0.25">
      <c r="A14" s="41" t="s">
        <v>31</v>
      </c>
      <c r="B14" s="41" t="s">
        <v>24</v>
      </c>
      <c r="C14" s="131">
        <v>101</v>
      </c>
      <c r="D14" s="52">
        <f t="shared" si="0"/>
        <v>2.5319628979694159E-2</v>
      </c>
      <c r="E14" s="59">
        <f t="shared" si="1"/>
        <v>81919.911454416317</v>
      </c>
    </row>
    <row r="15" spans="1:5" x14ac:dyDescent="0.25">
      <c r="A15" s="41" t="s">
        <v>32</v>
      </c>
      <c r="B15" s="41" t="s">
        <v>25</v>
      </c>
      <c r="C15" s="131">
        <v>147</v>
      </c>
      <c r="D15" s="52">
        <f t="shared" si="0"/>
        <v>3.6851341188267737E-2</v>
      </c>
      <c r="E15" s="59">
        <f t="shared" si="1"/>
        <v>119229.97013662574</v>
      </c>
    </row>
    <row r="16" spans="1:5" x14ac:dyDescent="0.25">
      <c r="A16" s="41" t="s">
        <v>33</v>
      </c>
      <c r="B16" s="41" t="s">
        <v>26</v>
      </c>
      <c r="C16" s="131">
        <v>85</v>
      </c>
      <c r="D16" s="52">
        <f t="shared" si="0"/>
        <v>2.1308598646277262E-2</v>
      </c>
      <c r="E16" s="59">
        <f t="shared" si="1"/>
        <v>68942.499738865212</v>
      </c>
    </row>
    <row r="17" spans="1:5" x14ac:dyDescent="0.25">
      <c r="A17" s="41" t="s">
        <v>121</v>
      </c>
      <c r="B17" s="41" t="s">
        <v>28</v>
      </c>
      <c r="C17" s="131">
        <v>85</v>
      </c>
      <c r="D17" s="52">
        <f t="shared" si="0"/>
        <v>2.1308598646277262E-2</v>
      </c>
      <c r="E17" s="59">
        <f t="shared" si="1"/>
        <v>68942.499738865212</v>
      </c>
    </row>
    <row r="18" spans="1:5" x14ac:dyDescent="0.25">
      <c r="A18" s="41" t="s">
        <v>122</v>
      </c>
      <c r="B18" s="41" t="s">
        <v>29</v>
      </c>
      <c r="C18" s="131">
        <v>100</v>
      </c>
      <c r="D18" s="52">
        <f t="shared" si="0"/>
        <v>2.5068939583855605E-2</v>
      </c>
      <c r="E18" s="59">
        <f t="shared" si="1"/>
        <v>81108.823222194376</v>
      </c>
    </row>
    <row r="19" spans="1:5" x14ac:dyDescent="0.25">
      <c r="A19" s="41" t="s">
        <v>126</v>
      </c>
      <c r="B19" s="41" t="s">
        <v>88</v>
      </c>
      <c r="C19" s="131">
        <v>93</v>
      </c>
      <c r="D19" s="52">
        <f t="shared" si="0"/>
        <v>2.3314113812985711E-2</v>
      </c>
      <c r="E19" s="59">
        <f t="shared" si="1"/>
        <v>75431.205596640764</v>
      </c>
    </row>
    <row r="20" spans="1:5" x14ac:dyDescent="0.25">
      <c r="A20" s="41" t="s">
        <v>127</v>
      </c>
      <c r="B20" s="41" t="s">
        <v>90</v>
      </c>
      <c r="C20" s="131">
        <v>29</v>
      </c>
      <c r="D20" s="52">
        <f t="shared" si="0"/>
        <v>7.2699924793181245E-3</v>
      </c>
      <c r="E20" s="59">
        <f t="shared" si="1"/>
        <v>23521.558734436367</v>
      </c>
    </row>
    <row r="21" spans="1:5" x14ac:dyDescent="0.25">
      <c r="C21" s="58">
        <f>SUM(C3:C20)</f>
        <v>3989</v>
      </c>
      <c r="D21" s="201">
        <f>SUM(D3:D20)</f>
        <v>1</v>
      </c>
      <c r="E21" s="202">
        <f>SUM(E3:E20)</f>
        <v>3235430.9583333321</v>
      </c>
    </row>
    <row r="22" spans="1:5" x14ac:dyDescent="0.25">
      <c r="C22" t="s">
        <v>155</v>
      </c>
      <c r="D22" t="s">
        <v>157</v>
      </c>
      <c r="E22" t="s">
        <v>158</v>
      </c>
    </row>
    <row r="23" spans="1:5" x14ac:dyDescent="0.25">
      <c r="C23" t="s">
        <v>156</v>
      </c>
    </row>
    <row r="24" spans="1:5" x14ac:dyDescent="0.25">
      <c r="A24" t="s">
        <v>124</v>
      </c>
      <c r="B24" s="6">
        <f>'Montos AIUE 2023 '!B40/6</f>
        <v>3235430.9583333335</v>
      </c>
    </row>
  </sheetData>
  <autoFilter ref="A2:C20" xr:uid="{8ABAA2A2-4EA5-4CA7-A3F1-190DB176F36F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B12F-9721-4CA1-B8BD-0B9F5ECF5FC5}">
  <sheetPr>
    <tabColor theme="7" tint="0.79998168889431442"/>
  </sheetPr>
  <dimension ref="A1:G24"/>
  <sheetViews>
    <sheetView zoomScale="90" zoomScaleNormal="90" workbookViewId="0">
      <selection activeCell="G1" sqref="G1"/>
    </sheetView>
  </sheetViews>
  <sheetFormatPr baseColWidth="10" defaultRowHeight="15" x14ac:dyDescent="0.25"/>
  <cols>
    <col min="1" max="1" width="50" bestFit="1" customWidth="1"/>
    <col min="3" max="3" width="12" customWidth="1"/>
    <col min="7" max="7" width="13.140625" bestFit="1" customWidth="1"/>
  </cols>
  <sheetData>
    <row r="1" spans="1:7" x14ac:dyDescent="0.25">
      <c r="B1" s="200">
        <v>1</v>
      </c>
      <c r="C1" s="200">
        <v>2</v>
      </c>
      <c r="D1" s="200">
        <v>3</v>
      </c>
      <c r="E1" s="200">
        <v>4</v>
      </c>
      <c r="F1" s="200">
        <v>5</v>
      </c>
      <c r="G1" s="200">
        <v>6</v>
      </c>
    </row>
    <row r="2" spans="1:7" ht="76.5" x14ac:dyDescent="0.25">
      <c r="A2" s="49" t="s">
        <v>11</v>
      </c>
      <c r="B2" s="50" t="s">
        <v>1</v>
      </c>
      <c r="C2" s="50" t="s">
        <v>265</v>
      </c>
      <c r="D2" s="50" t="s">
        <v>189</v>
      </c>
      <c r="E2" s="50" t="s">
        <v>125</v>
      </c>
      <c r="F2" s="50" t="s">
        <v>116</v>
      </c>
      <c r="G2" s="50" t="s">
        <v>115</v>
      </c>
    </row>
    <row r="3" spans="1:7" x14ac:dyDescent="0.25">
      <c r="A3" s="41" t="s">
        <v>12</v>
      </c>
      <c r="B3" s="60" t="s">
        <v>2</v>
      </c>
      <c r="C3" s="60">
        <v>38</v>
      </c>
      <c r="D3" s="60">
        <v>3</v>
      </c>
      <c r="E3" s="51">
        <f>C3+D3</f>
        <v>41</v>
      </c>
      <c r="F3" s="52">
        <f>E3/$E$21</f>
        <v>0.37614678899082571</v>
      </c>
      <c r="G3" s="59">
        <f>F3*$B$24</f>
        <v>1216996.9659785933</v>
      </c>
    </row>
    <row r="4" spans="1:7" x14ac:dyDescent="0.25">
      <c r="A4" s="41" t="s">
        <v>13</v>
      </c>
      <c r="B4" s="60" t="s">
        <v>3</v>
      </c>
      <c r="C4" s="60">
        <v>12</v>
      </c>
      <c r="D4" s="60">
        <v>1</v>
      </c>
      <c r="E4" s="51">
        <f t="shared" ref="E4:E20" si="0">C4+D4</f>
        <v>13</v>
      </c>
      <c r="F4" s="52">
        <f t="shared" ref="F4:F20" si="1">E4/$E$21</f>
        <v>0.11926605504587157</v>
      </c>
      <c r="G4" s="59">
        <f t="shared" ref="G4:G20" si="2">F4*$B$24</f>
        <v>385877.08677370037</v>
      </c>
    </row>
    <row r="5" spans="1:7" x14ac:dyDescent="0.25">
      <c r="A5" s="41" t="s">
        <v>19</v>
      </c>
      <c r="B5" s="60" t="s">
        <v>9</v>
      </c>
      <c r="C5" s="60">
        <v>4</v>
      </c>
      <c r="D5" s="60">
        <v>0</v>
      </c>
      <c r="E5" s="51">
        <f t="shared" si="0"/>
        <v>4</v>
      </c>
      <c r="F5" s="52">
        <f t="shared" si="1"/>
        <v>3.669724770642202E-2</v>
      </c>
      <c r="G5" s="59">
        <f t="shared" si="2"/>
        <v>118731.41131498473</v>
      </c>
    </row>
    <row r="6" spans="1:7" x14ac:dyDescent="0.25">
      <c r="A6" s="41" t="s">
        <v>16</v>
      </c>
      <c r="B6" s="60" t="s">
        <v>6</v>
      </c>
      <c r="C6" s="60">
        <v>9</v>
      </c>
      <c r="D6" s="60">
        <v>0</v>
      </c>
      <c r="E6" s="51">
        <f t="shared" si="0"/>
        <v>9</v>
      </c>
      <c r="F6" s="52">
        <f t="shared" si="1"/>
        <v>8.2568807339449546E-2</v>
      </c>
      <c r="G6" s="59">
        <f t="shared" si="2"/>
        <v>267145.67545871565</v>
      </c>
    </row>
    <row r="7" spans="1:7" x14ac:dyDescent="0.25">
      <c r="A7" s="41" t="s">
        <v>15</v>
      </c>
      <c r="B7" s="60" t="s">
        <v>5</v>
      </c>
      <c r="C7" s="60">
        <v>11</v>
      </c>
      <c r="D7" s="60">
        <v>0</v>
      </c>
      <c r="E7" s="51">
        <f t="shared" si="0"/>
        <v>11</v>
      </c>
      <c r="F7" s="52">
        <f t="shared" si="1"/>
        <v>0.10091743119266056</v>
      </c>
      <c r="G7" s="59">
        <f t="shared" si="2"/>
        <v>326511.38111620798</v>
      </c>
    </row>
    <row r="8" spans="1:7" x14ac:dyDescent="0.25">
      <c r="A8" s="41" t="s">
        <v>117</v>
      </c>
      <c r="B8" s="60" t="s">
        <v>10</v>
      </c>
      <c r="C8" s="60">
        <v>4</v>
      </c>
      <c r="D8" s="60">
        <v>1</v>
      </c>
      <c r="E8" s="51">
        <f t="shared" si="0"/>
        <v>5</v>
      </c>
      <c r="F8" s="52">
        <f t="shared" si="1"/>
        <v>4.5871559633027525E-2</v>
      </c>
      <c r="G8" s="59">
        <f t="shared" si="2"/>
        <v>148414.26414373089</v>
      </c>
    </row>
    <row r="9" spans="1:7" x14ac:dyDescent="0.25">
      <c r="A9" s="41" t="s">
        <v>118</v>
      </c>
      <c r="B9" s="60" t="s">
        <v>4</v>
      </c>
      <c r="C9" s="60">
        <v>8</v>
      </c>
      <c r="D9" s="60">
        <v>1</v>
      </c>
      <c r="E9" s="51">
        <f t="shared" si="0"/>
        <v>9</v>
      </c>
      <c r="F9" s="52">
        <f t="shared" si="1"/>
        <v>8.2568807339449546E-2</v>
      </c>
      <c r="G9" s="59">
        <f t="shared" si="2"/>
        <v>267145.67545871565</v>
      </c>
    </row>
    <row r="10" spans="1:7" x14ac:dyDescent="0.25">
      <c r="A10" s="41" t="s">
        <v>119</v>
      </c>
      <c r="B10" s="60" t="s">
        <v>8</v>
      </c>
      <c r="C10" s="60">
        <v>3</v>
      </c>
      <c r="D10" s="60">
        <v>0</v>
      </c>
      <c r="E10" s="51">
        <f t="shared" si="0"/>
        <v>3</v>
      </c>
      <c r="F10" s="52">
        <f t="shared" si="1"/>
        <v>2.7522935779816515E-2</v>
      </c>
      <c r="G10" s="59">
        <f t="shared" si="2"/>
        <v>89048.558486238544</v>
      </c>
    </row>
    <row r="11" spans="1:7" x14ac:dyDescent="0.25">
      <c r="A11" s="41" t="s">
        <v>17</v>
      </c>
      <c r="B11" s="60" t="s">
        <v>7</v>
      </c>
      <c r="C11" s="60">
        <v>4</v>
      </c>
      <c r="D11" s="60">
        <v>1</v>
      </c>
      <c r="E11" s="51">
        <f t="shared" si="0"/>
        <v>5</v>
      </c>
      <c r="F11" s="52">
        <f t="shared" si="1"/>
        <v>4.5871559633027525E-2</v>
      </c>
      <c r="G11" s="59">
        <f t="shared" si="2"/>
        <v>148414.26414373089</v>
      </c>
    </row>
    <row r="12" spans="1:7" x14ac:dyDescent="0.25">
      <c r="A12" s="41" t="s">
        <v>120</v>
      </c>
      <c r="B12" s="60" t="s">
        <v>27</v>
      </c>
      <c r="C12" s="60">
        <v>1</v>
      </c>
      <c r="D12" s="60">
        <v>0</v>
      </c>
      <c r="E12" s="51">
        <f t="shared" si="0"/>
        <v>1</v>
      </c>
      <c r="F12" s="52">
        <f t="shared" si="1"/>
        <v>9.1743119266055051E-3</v>
      </c>
      <c r="G12" s="59">
        <f t="shared" si="2"/>
        <v>29682.852828746181</v>
      </c>
    </row>
    <row r="13" spans="1:7" x14ac:dyDescent="0.25">
      <c r="A13" s="41" t="s">
        <v>30</v>
      </c>
      <c r="B13" s="60" t="s">
        <v>23</v>
      </c>
      <c r="C13" s="60">
        <v>1</v>
      </c>
      <c r="D13" s="60">
        <v>0</v>
      </c>
      <c r="E13" s="51">
        <f t="shared" si="0"/>
        <v>1</v>
      </c>
      <c r="F13" s="52">
        <f t="shared" si="1"/>
        <v>9.1743119266055051E-3</v>
      </c>
      <c r="G13" s="59">
        <f t="shared" si="2"/>
        <v>29682.852828746181</v>
      </c>
    </row>
    <row r="14" spans="1:7" x14ac:dyDescent="0.25">
      <c r="A14" s="41" t="s">
        <v>31</v>
      </c>
      <c r="B14" s="60" t="s">
        <v>24</v>
      </c>
      <c r="C14" s="60">
        <v>1</v>
      </c>
      <c r="D14" s="60">
        <v>0</v>
      </c>
      <c r="E14" s="51">
        <f t="shared" si="0"/>
        <v>1</v>
      </c>
      <c r="F14" s="52">
        <f t="shared" si="1"/>
        <v>9.1743119266055051E-3</v>
      </c>
      <c r="G14" s="59">
        <f t="shared" si="2"/>
        <v>29682.852828746181</v>
      </c>
    </row>
    <row r="15" spans="1:7" x14ac:dyDescent="0.25">
      <c r="A15" s="41" t="s">
        <v>32</v>
      </c>
      <c r="B15" s="60" t="s">
        <v>25</v>
      </c>
      <c r="C15" s="60">
        <v>3</v>
      </c>
      <c r="D15" s="60">
        <v>0</v>
      </c>
      <c r="E15" s="51">
        <f t="shared" si="0"/>
        <v>3</v>
      </c>
      <c r="F15" s="52">
        <f t="shared" si="1"/>
        <v>2.7522935779816515E-2</v>
      </c>
      <c r="G15" s="59">
        <f t="shared" si="2"/>
        <v>89048.558486238544</v>
      </c>
    </row>
    <row r="16" spans="1:7" x14ac:dyDescent="0.25">
      <c r="A16" s="41" t="s">
        <v>33</v>
      </c>
      <c r="B16" s="60" t="s">
        <v>26</v>
      </c>
      <c r="C16" s="60">
        <v>1</v>
      </c>
      <c r="D16" s="60">
        <v>0</v>
      </c>
      <c r="E16" s="51">
        <f t="shared" si="0"/>
        <v>1</v>
      </c>
      <c r="F16" s="52">
        <f t="shared" si="1"/>
        <v>9.1743119266055051E-3</v>
      </c>
      <c r="G16" s="59">
        <f t="shared" si="2"/>
        <v>29682.852828746181</v>
      </c>
    </row>
    <row r="17" spans="1:7" x14ac:dyDescent="0.25">
      <c r="A17" s="41" t="s">
        <v>121</v>
      </c>
      <c r="B17" s="60" t="s">
        <v>28</v>
      </c>
      <c r="C17" s="60">
        <v>1</v>
      </c>
      <c r="D17" s="60">
        <v>0</v>
      </c>
      <c r="E17" s="51">
        <f t="shared" si="0"/>
        <v>1</v>
      </c>
      <c r="F17" s="52">
        <f t="shared" si="1"/>
        <v>9.1743119266055051E-3</v>
      </c>
      <c r="G17" s="59">
        <f t="shared" si="2"/>
        <v>29682.852828746181</v>
      </c>
    </row>
    <row r="18" spans="1:7" x14ac:dyDescent="0.25">
      <c r="A18" s="41" t="s">
        <v>122</v>
      </c>
      <c r="B18" s="60" t="s">
        <v>29</v>
      </c>
      <c r="C18" s="60">
        <v>1</v>
      </c>
      <c r="D18" s="60">
        <v>0</v>
      </c>
      <c r="E18" s="51">
        <f t="shared" si="0"/>
        <v>1</v>
      </c>
      <c r="F18" s="52">
        <f t="shared" si="1"/>
        <v>9.1743119266055051E-3</v>
      </c>
      <c r="G18" s="59">
        <f t="shared" si="2"/>
        <v>29682.852828746181</v>
      </c>
    </row>
    <row r="19" spans="1:7" x14ac:dyDescent="0.25">
      <c r="A19" s="41" t="s">
        <v>87</v>
      </c>
      <c r="B19" s="60" t="s">
        <v>88</v>
      </c>
      <c r="C19" s="60">
        <v>0</v>
      </c>
      <c r="D19" s="60">
        <v>0</v>
      </c>
      <c r="E19" s="51">
        <f t="shared" si="0"/>
        <v>0</v>
      </c>
      <c r="F19" s="52">
        <f t="shared" si="1"/>
        <v>0</v>
      </c>
      <c r="G19" s="59">
        <f t="shared" si="2"/>
        <v>0</v>
      </c>
    </row>
    <row r="20" spans="1:7" x14ac:dyDescent="0.25">
      <c r="A20" s="41" t="s">
        <v>89</v>
      </c>
      <c r="B20" s="60" t="s">
        <v>90</v>
      </c>
      <c r="C20" s="60">
        <v>0</v>
      </c>
      <c r="D20" s="60">
        <v>0</v>
      </c>
      <c r="E20" s="51">
        <f t="shared" si="0"/>
        <v>0</v>
      </c>
      <c r="F20" s="52">
        <f t="shared" si="1"/>
        <v>0</v>
      </c>
      <c r="G20" s="59">
        <f t="shared" si="2"/>
        <v>0</v>
      </c>
    </row>
    <row r="21" spans="1:7" x14ac:dyDescent="0.25">
      <c r="C21" s="203">
        <f>SUM(C3:C20)</f>
        <v>102</v>
      </c>
      <c r="D21" s="203">
        <f>SUM(D3:D20)</f>
        <v>7</v>
      </c>
      <c r="E21" s="203">
        <f>SUM(E3:E20)</f>
        <v>109</v>
      </c>
      <c r="F21" s="204">
        <f>SUM(F3:F20)</f>
        <v>0.99999999999999978</v>
      </c>
      <c r="G21" s="202">
        <f>SUM(G3:G20)</f>
        <v>3235430.9583333344</v>
      </c>
    </row>
    <row r="22" spans="1:7" x14ac:dyDescent="0.25">
      <c r="C22" t="s">
        <v>159</v>
      </c>
      <c r="D22" t="s">
        <v>159</v>
      </c>
      <c r="E22" t="s">
        <v>160</v>
      </c>
      <c r="F22" t="s">
        <v>161</v>
      </c>
      <c r="G22" t="s">
        <v>162</v>
      </c>
    </row>
    <row r="24" spans="1:7" x14ac:dyDescent="0.25">
      <c r="A24" t="s">
        <v>124</v>
      </c>
      <c r="B24" s="6">
        <f>'Montos AIUE 2023 '!B40/6</f>
        <v>3235430.9583333335</v>
      </c>
      <c r="C24" s="6"/>
      <c r="D24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EE5E-24A6-4BFE-AB11-397F663DB8B0}">
  <sheetPr>
    <tabColor theme="7" tint="0.79998168889431442"/>
  </sheetPr>
  <dimension ref="A1:E24"/>
  <sheetViews>
    <sheetView zoomScale="90" zoomScaleNormal="90" workbookViewId="0">
      <selection activeCell="E1" sqref="E1"/>
    </sheetView>
  </sheetViews>
  <sheetFormatPr baseColWidth="10" defaultRowHeight="15" x14ac:dyDescent="0.25"/>
  <cols>
    <col min="1" max="1" width="50" bestFit="1" customWidth="1"/>
    <col min="3" max="3" width="11" customWidth="1"/>
    <col min="5" max="5" width="12" bestFit="1" customWidth="1"/>
    <col min="9" max="9" width="11.85546875" bestFit="1" customWidth="1"/>
  </cols>
  <sheetData>
    <row r="1" spans="1:5" x14ac:dyDescent="0.25">
      <c r="B1" s="200">
        <v>1</v>
      </c>
      <c r="C1" s="200">
        <v>2</v>
      </c>
      <c r="D1" s="200">
        <v>3</v>
      </c>
      <c r="E1" s="200">
        <v>4</v>
      </c>
    </row>
    <row r="2" spans="1:5" ht="25.5" x14ac:dyDescent="0.25">
      <c r="A2" s="49" t="s">
        <v>11</v>
      </c>
      <c r="B2" s="50" t="s">
        <v>1</v>
      </c>
      <c r="C2" s="50" t="s">
        <v>259</v>
      </c>
      <c r="D2" s="50" t="s">
        <v>116</v>
      </c>
      <c r="E2" s="50" t="s">
        <v>115</v>
      </c>
    </row>
    <row r="3" spans="1:5" x14ac:dyDescent="0.25">
      <c r="A3" s="41" t="s">
        <v>12</v>
      </c>
      <c r="B3" s="60" t="s">
        <v>2</v>
      </c>
      <c r="C3" s="131">
        <v>1576</v>
      </c>
      <c r="D3" s="52">
        <f>C3/$C$21</f>
        <v>0.22190932131793861</v>
      </c>
      <c r="E3" s="59">
        <f>D3*$B$24</f>
        <v>717972.28813479771</v>
      </c>
    </row>
    <row r="4" spans="1:5" x14ac:dyDescent="0.25">
      <c r="A4" s="41" t="s">
        <v>13</v>
      </c>
      <c r="B4" s="60" t="s">
        <v>3</v>
      </c>
      <c r="C4" s="131">
        <v>626</v>
      </c>
      <c r="D4" s="52">
        <f t="shared" ref="D4:D20" si="0">C4/$C$21</f>
        <v>8.8144184736693887E-2</v>
      </c>
      <c r="E4" s="59">
        <f t="shared" ref="E4:E20" si="1">D4*$B$24</f>
        <v>285184.42409415188</v>
      </c>
    </row>
    <row r="5" spans="1:5" x14ac:dyDescent="0.25">
      <c r="A5" s="41" t="s">
        <v>19</v>
      </c>
      <c r="B5" s="60" t="s">
        <v>9</v>
      </c>
      <c r="C5" s="131">
        <v>369</v>
      </c>
      <c r="D5" s="52">
        <f t="shared" si="0"/>
        <v>5.1957195156294003E-2</v>
      </c>
      <c r="E5" s="59">
        <f t="shared" si="1"/>
        <v>168103.91771684034</v>
      </c>
    </row>
    <row r="6" spans="1:5" x14ac:dyDescent="0.25">
      <c r="A6" s="41" t="s">
        <v>16</v>
      </c>
      <c r="B6" s="60" t="s">
        <v>6</v>
      </c>
      <c r="C6" s="131">
        <v>380</v>
      </c>
      <c r="D6" s="52">
        <f t="shared" si="0"/>
        <v>5.3506054632497885E-2</v>
      </c>
      <c r="E6" s="59">
        <f t="shared" si="1"/>
        <v>173115.14561625832</v>
      </c>
    </row>
    <row r="7" spans="1:5" x14ac:dyDescent="0.25">
      <c r="A7" s="41" t="s">
        <v>15</v>
      </c>
      <c r="B7" s="60" t="s">
        <v>5</v>
      </c>
      <c r="C7" s="131">
        <v>486</v>
      </c>
      <c r="D7" s="52">
        <f t="shared" si="0"/>
        <v>6.8431427766826244E-2</v>
      </c>
      <c r="E7" s="59">
        <f t="shared" si="1"/>
        <v>221405.15991974092</v>
      </c>
    </row>
    <row r="8" spans="1:5" x14ac:dyDescent="0.25">
      <c r="A8" s="41" t="s">
        <v>117</v>
      </c>
      <c r="B8" s="60" t="s">
        <v>10</v>
      </c>
      <c r="C8" s="131">
        <v>328</v>
      </c>
      <c r="D8" s="52">
        <f t="shared" si="0"/>
        <v>4.6184173472261336E-2</v>
      </c>
      <c r="E8" s="59">
        <f t="shared" si="1"/>
        <v>149425.7046371914</v>
      </c>
    </row>
    <row r="9" spans="1:5" x14ac:dyDescent="0.25">
      <c r="A9" s="41" t="s">
        <v>118</v>
      </c>
      <c r="B9" s="60" t="s">
        <v>4</v>
      </c>
      <c r="C9" s="131">
        <v>555</v>
      </c>
      <c r="D9" s="52">
        <f t="shared" si="0"/>
        <v>7.8147000844832448E-2</v>
      </c>
      <c r="E9" s="59">
        <f t="shared" si="1"/>
        <v>252839.22583427207</v>
      </c>
    </row>
    <row r="10" spans="1:5" x14ac:dyDescent="0.25">
      <c r="A10" s="41" t="s">
        <v>119</v>
      </c>
      <c r="B10" s="60" t="s">
        <v>8</v>
      </c>
      <c r="C10" s="131">
        <v>463</v>
      </c>
      <c r="D10" s="52">
        <f t="shared" si="0"/>
        <v>6.5192903407490843E-2</v>
      </c>
      <c r="E10" s="59">
        <f t="shared" si="1"/>
        <v>210927.13794823055</v>
      </c>
    </row>
    <row r="11" spans="1:5" x14ac:dyDescent="0.25">
      <c r="A11" s="41" t="s">
        <v>17</v>
      </c>
      <c r="B11" s="60" t="s">
        <v>7</v>
      </c>
      <c r="C11" s="131">
        <v>202</v>
      </c>
      <c r="D11" s="52">
        <f t="shared" si="0"/>
        <v>2.8442692199380455E-2</v>
      </c>
      <c r="E11" s="59">
        <f t="shared" si="1"/>
        <v>92024.36688022154</v>
      </c>
    </row>
    <row r="12" spans="1:5" x14ac:dyDescent="0.25">
      <c r="A12" s="41" t="s">
        <v>120</v>
      </c>
      <c r="B12" s="60" t="s">
        <v>27</v>
      </c>
      <c r="C12" s="131">
        <v>304</v>
      </c>
      <c r="D12" s="52">
        <f t="shared" si="0"/>
        <v>4.2804843705998311E-2</v>
      </c>
      <c r="E12" s="59">
        <f t="shared" si="1"/>
        <v>138492.11649300667</v>
      </c>
    </row>
    <row r="13" spans="1:5" x14ac:dyDescent="0.25">
      <c r="A13" s="41" t="s">
        <v>30</v>
      </c>
      <c r="B13" s="60" t="s">
        <v>23</v>
      </c>
      <c r="C13" s="131">
        <v>266</v>
      </c>
      <c r="D13" s="52">
        <f t="shared" si="0"/>
        <v>3.7454238242748523E-2</v>
      </c>
      <c r="E13" s="59">
        <f t="shared" si="1"/>
        <v>121180.60193138085</v>
      </c>
    </row>
    <row r="14" spans="1:5" x14ac:dyDescent="0.25">
      <c r="A14" s="41" t="s">
        <v>31</v>
      </c>
      <c r="B14" s="60" t="s">
        <v>24</v>
      </c>
      <c r="C14" s="131">
        <v>351</v>
      </c>
      <c r="D14" s="52">
        <f t="shared" si="0"/>
        <v>4.9422697831596731E-2</v>
      </c>
      <c r="E14" s="59">
        <f t="shared" si="1"/>
        <v>159903.72660870178</v>
      </c>
    </row>
    <row r="15" spans="1:5" x14ac:dyDescent="0.25">
      <c r="A15" s="41" t="s">
        <v>32</v>
      </c>
      <c r="B15" s="60" t="s">
        <v>25</v>
      </c>
      <c r="C15" s="131">
        <v>385</v>
      </c>
      <c r="D15" s="52">
        <f t="shared" si="0"/>
        <v>5.421008166713602E-2</v>
      </c>
      <c r="E15" s="59">
        <f t="shared" si="1"/>
        <v>175392.97647963016</v>
      </c>
    </row>
    <row r="16" spans="1:5" x14ac:dyDescent="0.25">
      <c r="A16" s="41" t="s">
        <v>33</v>
      </c>
      <c r="B16" s="60" t="s">
        <v>26</v>
      </c>
      <c r="C16" s="131">
        <v>214</v>
      </c>
      <c r="D16" s="52">
        <f t="shared" si="0"/>
        <v>3.0132357082511968E-2</v>
      </c>
      <c r="E16" s="59">
        <f t="shared" si="1"/>
        <v>97491.160952313905</v>
      </c>
    </row>
    <row r="17" spans="1:5" x14ac:dyDescent="0.25">
      <c r="A17" s="41" t="s">
        <v>121</v>
      </c>
      <c r="B17" s="60" t="s">
        <v>28</v>
      </c>
      <c r="C17" s="131">
        <v>200</v>
      </c>
      <c r="D17" s="52">
        <f t="shared" si="0"/>
        <v>2.8161081385525203E-2</v>
      </c>
      <c r="E17" s="59">
        <f t="shared" si="1"/>
        <v>91113.234534872812</v>
      </c>
    </row>
    <row r="18" spans="1:5" x14ac:dyDescent="0.25">
      <c r="A18" s="41" t="s">
        <v>122</v>
      </c>
      <c r="B18" s="60" t="s">
        <v>29</v>
      </c>
      <c r="C18" s="131">
        <v>210</v>
      </c>
      <c r="D18" s="52">
        <f t="shared" si="0"/>
        <v>2.9569135454801464E-2</v>
      </c>
      <c r="E18" s="59">
        <f t="shared" si="1"/>
        <v>95668.89626161645</v>
      </c>
    </row>
    <row r="19" spans="1:5" x14ac:dyDescent="0.25">
      <c r="A19" s="41" t="s">
        <v>126</v>
      </c>
      <c r="B19" s="60" t="s">
        <v>88</v>
      </c>
      <c r="C19" s="131">
        <v>129</v>
      </c>
      <c r="D19" s="52">
        <f t="shared" si="0"/>
        <v>1.8163897493663757E-2</v>
      </c>
      <c r="E19" s="59">
        <f t="shared" si="1"/>
        <v>58768.036274992963</v>
      </c>
    </row>
    <row r="20" spans="1:5" x14ac:dyDescent="0.25">
      <c r="A20" s="41" t="s">
        <v>127</v>
      </c>
      <c r="B20" s="60" t="s">
        <v>90</v>
      </c>
      <c r="C20" s="131">
        <v>58</v>
      </c>
      <c r="D20" s="52">
        <f t="shared" si="0"/>
        <v>8.1667136018023084E-3</v>
      </c>
      <c r="E20" s="59">
        <f t="shared" si="1"/>
        <v>26422.838015113113</v>
      </c>
    </row>
    <row r="21" spans="1:5" x14ac:dyDescent="0.25">
      <c r="C21" s="58">
        <f>SUM(C3:C20)</f>
        <v>7102</v>
      </c>
      <c r="D21" s="204">
        <f>SUM(D3:D20)</f>
        <v>1</v>
      </c>
      <c r="E21" s="58">
        <f>SUM(E3:E20)</f>
        <v>3235430.9583333335</v>
      </c>
    </row>
    <row r="22" spans="1:5" x14ac:dyDescent="0.25">
      <c r="C22" t="s">
        <v>163</v>
      </c>
      <c r="D22" t="s">
        <v>165</v>
      </c>
      <c r="E22" t="s">
        <v>166</v>
      </c>
    </row>
    <row r="23" spans="1:5" x14ac:dyDescent="0.25">
      <c r="C23" t="s">
        <v>164</v>
      </c>
    </row>
    <row r="24" spans="1:5" x14ac:dyDescent="0.25">
      <c r="A24" t="s">
        <v>124</v>
      </c>
      <c r="B24" s="6">
        <f>'Montos AIUE 2023 '!B40/6</f>
        <v>3235430.9583333335</v>
      </c>
    </row>
  </sheetData>
  <autoFilter ref="A2:C20" xr:uid="{F104A81B-AC08-48F4-A852-4A21590014B4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C5B1-E8B6-4875-B61D-F7AD45B4FE41}">
  <sheetPr>
    <tabColor theme="7" tint="0.79998168889431442"/>
  </sheetPr>
  <dimension ref="A1:E24"/>
  <sheetViews>
    <sheetView zoomScale="90" zoomScaleNormal="90" workbookViewId="0">
      <selection activeCell="E1" sqref="E1"/>
    </sheetView>
  </sheetViews>
  <sheetFormatPr baseColWidth="10" defaultRowHeight="15" x14ac:dyDescent="0.25"/>
  <cols>
    <col min="1" max="1" width="50" bestFit="1" customWidth="1"/>
  </cols>
  <sheetData>
    <row r="1" spans="1:5" x14ac:dyDescent="0.25">
      <c r="B1" s="200">
        <v>1</v>
      </c>
      <c r="C1" s="200">
        <v>2</v>
      </c>
      <c r="D1" s="200">
        <v>3</v>
      </c>
      <c r="E1" s="200">
        <v>4</v>
      </c>
    </row>
    <row r="2" spans="1:5" ht="51" x14ac:dyDescent="0.25">
      <c r="A2" s="49" t="s">
        <v>11</v>
      </c>
      <c r="B2" s="50" t="s">
        <v>1</v>
      </c>
      <c r="C2" s="50" t="s">
        <v>260</v>
      </c>
      <c r="D2" s="50" t="s">
        <v>116</v>
      </c>
      <c r="E2" s="50" t="s">
        <v>115</v>
      </c>
    </row>
    <row r="3" spans="1:5" x14ac:dyDescent="0.25">
      <c r="A3" s="41" t="s">
        <v>12</v>
      </c>
      <c r="B3" s="60" t="s">
        <v>2</v>
      </c>
      <c r="C3" s="131">
        <v>31599</v>
      </c>
      <c r="D3" s="52">
        <f>C3/$C$21</f>
        <v>0.17778415420450325</v>
      </c>
      <c r="E3" s="53">
        <f>D3*$B$24</f>
        <v>575208.35641435708</v>
      </c>
    </row>
    <row r="4" spans="1:5" x14ac:dyDescent="0.25">
      <c r="A4" s="41" t="s">
        <v>13</v>
      </c>
      <c r="B4" s="60" t="s">
        <v>3</v>
      </c>
      <c r="C4" s="131">
        <v>21373</v>
      </c>
      <c r="D4" s="52">
        <f t="shared" ref="D4:D20" si="0">C4/$C$21</f>
        <v>0.12025003094442381</v>
      </c>
      <c r="E4" s="53">
        <f t="shared" ref="E4:E20" si="1">D4*$B$24</f>
        <v>389060.67285813013</v>
      </c>
    </row>
    <row r="5" spans="1:5" x14ac:dyDescent="0.25">
      <c r="A5" s="41" t="s">
        <v>19</v>
      </c>
      <c r="B5" s="60" t="s">
        <v>9</v>
      </c>
      <c r="C5" s="131">
        <v>7663</v>
      </c>
      <c r="D5" s="52">
        <f t="shared" si="0"/>
        <v>4.311402176236933E-2</v>
      </c>
      <c r="E5" s="53">
        <f t="shared" si="1"/>
        <v>139492.4407482268</v>
      </c>
    </row>
    <row r="6" spans="1:5" x14ac:dyDescent="0.25">
      <c r="A6" s="41" t="s">
        <v>16</v>
      </c>
      <c r="B6" s="60" t="s">
        <v>6</v>
      </c>
      <c r="C6" s="131">
        <v>11164</v>
      </c>
      <c r="D6" s="52">
        <f t="shared" si="0"/>
        <v>6.2811554085226567E-2</v>
      </c>
      <c r="E6" s="53">
        <f t="shared" si="1"/>
        <v>203222.44662837061</v>
      </c>
    </row>
    <row r="7" spans="1:5" x14ac:dyDescent="0.25">
      <c r="A7" s="41" t="s">
        <v>15</v>
      </c>
      <c r="B7" s="60" t="s">
        <v>5</v>
      </c>
      <c r="C7" s="131">
        <v>10654</v>
      </c>
      <c r="D7" s="52">
        <f t="shared" si="0"/>
        <v>5.9942162058760649E-2</v>
      </c>
      <c r="E7" s="53">
        <f t="shared" si="1"/>
        <v>193938.72683434794</v>
      </c>
    </row>
    <row r="8" spans="1:5" x14ac:dyDescent="0.25">
      <c r="A8" s="41" t="s">
        <v>117</v>
      </c>
      <c r="B8" s="60" t="s">
        <v>10</v>
      </c>
      <c r="C8" s="131">
        <v>9922</v>
      </c>
      <c r="D8" s="52">
        <f t="shared" si="0"/>
        <v>5.582374056195074E-2</v>
      </c>
      <c r="E8" s="53">
        <f t="shared" si="1"/>
        <v>180613.85842410367</v>
      </c>
    </row>
    <row r="9" spans="1:5" x14ac:dyDescent="0.25">
      <c r="A9" s="41" t="s">
        <v>118</v>
      </c>
      <c r="B9" s="60" t="s">
        <v>4</v>
      </c>
      <c r="C9" s="131">
        <v>15216</v>
      </c>
      <c r="D9" s="52">
        <f t="shared" si="0"/>
        <v>8.560915504844209E-2</v>
      </c>
      <c r="E9" s="53">
        <f t="shared" si="1"/>
        <v>276982.51056048792</v>
      </c>
    </row>
    <row r="10" spans="1:5" x14ac:dyDescent="0.25">
      <c r="A10" s="41" t="s">
        <v>119</v>
      </c>
      <c r="B10" s="60" t="s">
        <v>8</v>
      </c>
      <c r="C10" s="131">
        <v>11112</v>
      </c>
      <c r="D10" s="52">
        <f t="shared" si="0"/>
        <v>6.2518988623704558E-2</v>
      </c>
      <c r="E10" s="53">
        <f t="shared" si="1"/>
        <v>202275.87127682322</v>
      </c>
    </row>
    <row r="11" spans="1:5" x14ac:dyDescent="0.25">
      <c r="A11" s="41" t="s">
        <v>17</v>
      </c>
      <c r="B11" s="60" t="s">
        <v>7</v>
      </c>
      <c r="C11" s="131">
        <v>7576</v>
      </c>
      <c r="D11" s="52">
        <f t="shared" si="0"/>
        <v>4.2624537240207497E-2</v>
      </c>
      <c r="E11" s="53">
        <f t="shared" si="1"/>
        <v>137908.7473715994</v>
      </c>
    </row>
    <row r="12" spans="1:5" x14ac:dyDescent="0.25">
      <c r="A12" s="41" t="s">
        <v>120</v>
      </c>
      <c r="B12" s="60" t="s">
        <v>27</v>
      </c>
      <c r="C12" s="131">
        <v>6647</v>
      </c>
      <c r="D12" s="52">
        <f t="shared" si="0"/>
        <v>3.7397742744939177E-2</v>
      </c>
      <c r="E12" s="53">
        <f t="shared" si="1"/>
        <v>120997.81464876204</v>
      </c>
    </row>
    <row r="13" spans="1:5" x14ac:dyDescent="0.25">
      <c r="A13" s="41" t="s">
        <v>30</v>
      </c>
      <c r="B13" s="60" t="s">
        <v>23</v>
      </c>
      <c r="C13" s="131">
        <v>7812</v>
      </c>
      <c r="D13" s="52">
        <f t="shared" si="0"/>
        <v>4.3952334334807414E-2</v>
      </c>
      <c r="E13" s="53">
        <f t="shared" si="1"/>
        <v>142204.74319785304</v>
      </c>
    </row>
    <row r="14" spans="1:5" x14ac:dyDescent="0.25">
      <c r="A14" s="41" t="s">
        <v>31</v>
      </c>
      <c r="B14" s="60" t="s">
        <v>24</v>
      </c>
      <c r="C14" s="131">
        <v>6907</v>
      </c>
      <c r="D14" s="52">
        <f t="shared" si="0"/>
        <v>3.8860570052549261E-2</v>
      </c>
      <c r="E14" s="53">
        <f t="shared" si="1"/>
        <v>125730.6914064991</v>
      </c>
    </row>
    <row r="15" spans="1:5" x14ac:dyDescent="0.25">
      <c r="A15" s="41" t="s">
        <v>32</v>
      </c>
      <c r="B15" s="60" t="s">
        <v>25</v>
      </c>
      <c r="C15" s="131">
        <v>8547</v>
      </c>
      <c r="D15" s="52">
        <f t="shared" si="0"/>
        <v>4.8087634608243592E-2</v>
      </c>
      <c r="E15" s="53">
        <f t="shared" si="1"/>
        <v>155584.22172453275</v>
      </c>
    </row>
    <row r="16" spans="1:5" x14ac:dyDescent="0.25">
      <c r="A16" s="41" t="s">
        <v>33</v>
      </c>
      <c r="B16" s="60" t="s">
        <v>26</v>
      </c>
      <c r="C16" s="131">
        <v>3644</v>
      </c>
      <c r="D16" s="52">
        <f t="shared" si="0"/>
        <v>2.0502087342042782E-2</v>
      </c>
      <c r="E16" s="53">
        <f t="shared" si="1"/>
        <v>66333.088096899184</v>
      </c>
    </row>
    <row r="17" spans="1:5" x14ac:dyDescent="0.25">
      <c r="A17" s="41" t="s">
        <v>121</v>
      </c>
      <c r="B17" s="60" t="s">
        <v>28</v>
      </c>
      <c r="C17" s="131">
        <v>3926</v>
      </c>
      <c r="D17" s="52">
        <f t="shared" si="0"/>
        <v>2.2088692344912175E-2</v>
      </c>
      <c r="E17" s="53">
        <f t="shared" si="1"/>
        <v>71466.439041829362</v>
      </c>
    </row>
    <row r="18" spans="1:5" x14ac:dyDescent="0.25">
      <c r="A18" s="41" t="s">
        <v>122</v>
      </c>
      <c r="B18" s="60" t="s">
        <v>29</v>
      </c>
      <c r="C18" s="131">
        <v>8499</v>
      </c>
      <c r="D18" s="52">
        <f t="shared" si="0"/>
        <v>4.7817574182223273E-2</v>
      </c>
      <c r="E18" s="53">
        <f t="shared" si="1"/>
        <v>154710.45986156591</v>
      </c>
    </row>
    <row r="19" spans="1:5" x14ac:dyDescent="0.25">
      <c r="A19" s="41" t="s">
        <v>87</v>
      </c>
      <c r="B19" s="60" t="s">
        <v>88</v>
      </c>
      <c r="C19" s="131">
        <v>4873</v>
      </c>
      <c r="D19" s="52">
        <f t="shared" si="0"/>
        <v>2.7416759499938111E-2</v>
      </c>
      <c r="E19" s="53">
        <f t="shared" si="1"/>
        <v>88705.032463279291</v>
      </c>
    </row>
    <row r="20" spans="1:5" x14ac:dyDescent="0.25">
      <c r="A20" s="41" t="s">
        <v>89</v>
      </c>
      <c r="B20" s="60" t="s">
        <v>90</v>
      </c>
      <c r="C20" s="131">
        <v>604</v>
      </c>
      <c r="D20" s="52">
        <f t="shared" si="0"/>
        <v>3.3982603607557193E-3</v>
      </c>
      <c r="E20" s="53">
        <f t="shared" si="1"/>
        <v>10994.836775666057</v>
      </c>
    </row>
    <row r="21" spans="1:5" x14ac:dyDescent="0.25">
      <c r="C21" s="58">
        <f>SUM(C3:C20)</f>
        <v>177738</v>
      </c>
      <c r="D21" s="205">
        <f>SUM(D3:D20)</f>
        <v>1.0000000000000002</v>
      </c>
      <c r="E21" s="58">
        <f>SUM(E3:E20)</f>
        <v>3235430.9583333326</v>
      </c>
    </row>
    <row r="22" spans="1:5" x14ac:dyDescent="0.25">
      <c r="C22" t="s">
        <v>167</v>
      </c>
      <c r="D22" t="s">
        <v>169</v>
      </c>
      <c r="E22" t="s">
        <v>170</v>
      </c>
    </row>
    <row r="23" spans="1:5" x14ac:dyDescent="0.25">
      <c r="C23" t="s">
        <v>168</v>
      </c>
    </row>
    <row r="24" spans="1:5" x14ac:dyDescent="0.25">
      <c r="A24" t="s">
        <v>124</v>
      </c>
      <c r="B24" s="6">
        <f>'Montos AIUE 2023 '!B40/6</f>
        <v>3235430.9583333335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E0D4-EDA1-42E1-A3C8-93532D2EBB5C}">
  <sheetPr>
    <tabColor theme="2" tint="-9.9978637043366805E-2"/>
  </sheetPr>
  <dimension ref="A2:L28"/>
  <sheetViews>
    <sheetView topLeftCell="A2" workbookViewId="0">
      <selection activeCell="L3" sqref="L3"/>
    </sheetView>
  </sheetViews>
  <sheetFormatPr baseColWidth="10" defaultRowHeight="15" x14ac:dyDescent="0.25"/>
  <cols>
    <col min="1" max="1" width="26.85546875" bestFit="1" customWidth="1"/>
    <col min="2" max="2" width="12" customWidth="1"/>
    <col min="3" max="3" width="12" bestFit="1" customWidth="1"/>
    <col min="7" max="7" width="14.42578125" customWidth="1"/>
    <col min="9" max="9" width="11.7109375" bestFit="1" customWidth="1"/>
    <col min="12" max="12" width="15.5703125" customWidth="1"/>
  </cols>
  <sheetData>
    <row r="2" spans="1:12" x14ac:dyDescent="0.25">
      <c r="C2" s="17" t="s">
        <v>291</v>
      </c>
    </row>
    <row r="3" spans="1:12" x14ac:dyDescent="0.25">
      <c r="B3" s="200">
        <v>1</v>
      </c>
      <c r="C3" s="200">
        <v>2</v>
      </c>
      <c r="D3" s="200">
        <v>3</v>
      </c>
      <c r="E3" s="200">
        <v>4</v>
      </c>
      <c r="F3" s="200">
        <v>5</v>
      </c>
      <c r="G3" s="200">
        <v>6</v>
      </c>
      <c r="H3" s="200">
        <v>7</v>
      </c>
      <c r="I3" s="200">
        <v>8</v>
      </c>
      <c r="J3" s="200">
        <v>9</v>
      </c>
      <c r="K3" s="200">
        <v>10</v>
      </c>
      <c r="L3" s="200">
        <v>11</v>
      </c>
    </row>
    <row r="4" spans="1:12" ht="30" customHeight="1" x14ac:dyDescent="0.25">
      <c r="A4" s="320" t="s">
        <v>270</v>
      </c>
      <c r="B4" s="320" t="s">
        <v>209</v>
      </c>
      <c r="C4" s="320">
        <v>0.95</v>
      </c>
      <c r="D4" s="320"/>
      <c r="E4" s="320">
        <v>0.05</v>
      </c>
      <c r="F4" s="320"/>
      <c r="G4" s="320" t="s">
        <v>269</v>
      </c>
      <c r="H4" s="320"/>
      <c r="I4" s="321" t="s">
        <v>308</v>
      </c>
      <c r="J4" s="321" t="s">
        <v>312</v>
      </c>
      <c r="K4" s="321" t="s">
        <v>309</v>
      </c>
      <c r="L4" s="321" t="s">
        <v>310</v>
      </c>
    </row>
    <row r="5" spans="1:12" x14ac:dyDescent="0.25">
      <c r="A5" s="320"/>
      <c r="B5" s="320"/>
      <c r="C5" s="192" t="s">
        <v>271</v>
      </c>
      <c r="D5" s="192" t="s">
        <v>272</v>
      </c>
      <c r="E5" s="192" t="s">
        <v>271</v>
      </c>
      <c r="F5" s="192" t="s">
        <v>272</v>
      </c>
      <c r="G5" s="192" t="s">
        <v>271</v>
      </c>
      <c r="H5" s="192" t="s">
        <v>272</v>
      </c>
      <c r="I5" s="321"/>
      <c r="J5" s="321"/>
      <c r="K5" s="321"/>
      <c r="L5" s="321"/>
    </row>
    <row r="6" spans="1:12" x14ac:dyDescent="0.25">
      <c r="A6" s="139" t="s">
        <v>273</v>
      </c>
      <c r="B6" s="139" t="s">
        <v>2</v>
      </c>
      <c r="C6" s="169">
        <v>39672516</v>
      </c>
      <c r="D6" s="190">
        <f t="shared" ref="D6:D23" si="0">C6/$C$24</f>
        <v>0.26893523612344905</v>
      </c>
      <c r="E6" s="169">
        <v>1175054</v>
      </c>
      <c r="F6" s="190">
        <f t="shared" ref="F6:F23" si="1">E6/$E$24</f>
        <v>0.14825131417173273</v>
      </c>
      <c r="G6" s="191">
        <f t="shared" ref="G6:G24" si="2">C6+E6</f>
        <v>40847570</v>
      </c>
      <c r="H6" s="190">
        <f t="shared" ref="H6:H23" si="3">G6/$G$24</f>
        <v>0.26278152241743685</v>
      </c>
      <c r="I6" s="191">
        <f>$G$26-G6</f>
        <v>-36129713.5</v>
      </c>
      <c r="J6" s="139">
        <f>IF(I6&lt;0,0,I6)</f>
        <v>0</v>
      </c>
      <c r="K6" s="191">
        <f>J6/$J$24</f>
        <v>0</v>
      </c>
      <c r="L6" s="139">
        <f>K6*$B$28</f>
        <v>0</v>
      </c>
    </row>
    <row r="7" spans="1:12" x14ac:dyDescent="0.25">
      <c r="A7" s="139" t="s">
        <v>281</v>
      </c>
      <c r="B7" s="139" t="s">
        <v>5</v>
      </c>
      <c r="C7" s="169">
        <v>16795898</v>
      </c>
      <c r="D7" s="190">
        <f t="shared" si="0"/>
        <v>0.11385738163254798</v>
      </c>
      <c r="E7" s="169">
        <v>874687</v>
      </c>
      <c r="F7" s="190">
        <f t="shared" si="1"/>
        <v>0.11035535153187036</v>
      </c>
      <c r="G7" s="191">
        <f t="shared" si="2"/>
        <v>17670585</v>
      </c>
      <c r="H7" s="190">
        <f t="shared" si="3"/>
        <v>0.11367881194173175</v>
      </c>
      <c r="I7" s="191">
        <f t="shared" ref="I7:I23" si="4">$G$26-G7</f>
        <v>-12952728.5</v>
      </c>
      <c r="J7" s="139">
        <f t="shared" ref="J7:J23" si="5">IF(I7&lt;0,0,I7)</f>
        <v>0</v>
      </c>
      <c r="K7" s="191">
        <f t="shared" ref="K7:K23" si="6">J7/$J$24</f>
        <v>0</v>
      </c>
      <c r="L7" s="139">
        <f t="shared" ref="L7:L23" si="7">K7*$B$28</f>
        <v>0</v>
      </c>
    </row>
    <row r="8" spans="1:12" x14ac:dyDescent="0.25">
      <c r="A8" s="139" t="s">
        <v>279</v>
      </c>
      <c r="B8" s="139" t="s">
        <v>6</v>
      </c>
      <c r="C8" s="169">
        <v>15314725</v>
      </c>
      <c r="D8" s="190">
        <f t="shared" si="0"/>
        <v>0.10381668720079887</v>
      </c>
      <c r="E8" s="169">
        <v>1402334</v>
      </c>
      <c r="F8" s="190">
        <f t="shared" si="1"/>
        <v>0.17692621650383952</v>
      </c>
      <c r="G8" s="191">
        <f t="shared" si="2"/>
        <v>16717059</v>
      </c>
      <c r="H8" s="190">
        <f t="shared" si="3"/>
        <v>0.10754456665016095</v>
      </c>
      <c r="I8" s="191">
        <f t="shared" si="4"/>
        <v>-11999202.5</v>
      </c>
      <c r="J8" s="139">
        <f t="shared" si="5"/>
        <v>0</v>
      </c>
      <c r="K8" s="191">
        <f t="shared" si="6"/>
        <v>0</v>
      </c>
      <c r="L8" s="139">
        <f t="shared" si="7"/>
        <v>0</v>
      </c>
    </row>
    <row r="9" spans="1:12" x14ac:dyDescent="0.25">
      <c r="A9" s="139" t="s">
        <v>283</v>
      </c>
      <c r="B9" s="139" t="s">
        <v>10</v>
      </c>
      <c r="C9" s="169">
        <v>11764080</v>
      </c>
      <c r="D9" s="190">
        <f t="shared" si="0"/>
        <v>7.9747289851118702E-2</v>
      </c>
      <c r="E9" s="169">
        <v>1240191</v>
      </c>
      <c r="F9" s="190">
        <f t="shared" si="1"/>
        <v>0.1564693584924228</v>
      </c>
      <c r="G9" s="191">
        <f t="shared" si="2"/>
        <v>13004271</v>
      </c>
      <c r="H9" s="190">
        <f t="shared" si="3"/>
        <v>8.3659373894430539E-2</v>
      </c>
      <c r="I9" s="191">
        <f t="shared" si="4"/>
        <v>-8286414.5</v>
      </c>
      <c r="J9" s="139">
        <f t="shared" si="5"/>
        <v>0</v>
      </c>
      <c r="K9" s="191">
        <f t="shared" si="6"/>
        <v>0</v>
      </c>
      <c r="L9" s="139">
        <f t="shared" si="7"/>
        <v>0</v>
      </c>
    </row>
    <row r="10" spans="1:12" x14ac:dyDescent="0.25">
      <c r="A10" s="139" t="s">
        <v>274</v>
      </c>
      <c r="B10" s="139" t="s">
        <v>3</v>
      </c>
      <c r="C10" s="169">
        <v>12023261</v>
      </c>
      <c r="D10" s="190">
        <f t="shared" si="0"/>
        <v>8.1504246819356155E-2</v>
      </c>
      <c r="E10" s="169">
        <v>205669</v>
      </c>
      <c r="F10" s="190">
        <f t="shared" si="1"/>
        <v>2.5948338999217144E-2</v>
      </c>
      <c r="G10" s="191">
        <f t="shared" si="2"/>
        <v>12228930</v>
      </c>
      <c r="H10" s="190">
        <f t="shared" si="3"/>
        <v>7.867143242391815E-2</v>
      </c>
      <c r="I10" s="191">
        <f t="shared" si="4"/>
        <v>-7511073.5</v>
      </c>
      <c r="J10" s="139">
        <f t="shared" si="5"/>
        <v>0</v>
      </c>
      <c r="K10" s="191">
        <f t="shared" si="6"/>
        <v>0</v>
      </c>
      <c r="L10" s="139">
        <f t="shared" si="7"/>
        <v>0</v>
      </c>
    </row>
    <row r="11" spans="1:12" x14ac:dyDescent="0.25">
      <c r="A11" s="139" t="s">
        <v>278</v>
      </c>
      <c r="B11" s="139" t="s">
        <v>8</v>
      </c>
      <c r="C11" s="169">
        <v>8103232</v>
      </c>
      <c r="D11" s="190">
        <f t="shared" si="0"/>
        <v>5.4930839558627646E-2</v>
      </c>
      <c r="E11" s="169">
        <v>716296</v>
      </c>
      <c r="F11" s="190">
        <f t="shared" si="1"/>
        <v>9.0371866600135381E-2</v>
      </c>
      <c r="G11" s="191">
        <f t="shared" si="2"/>
        <v>8819528</v>
      </c>
      <c r="H11" s="190">
        <f t="shared" si="3"/>
        <v>5.673798942858075E-2</v>
      </c>
      <c r="I11" s="191">
        <f t="shared" si="4"/>
        <v>-4101671.5</v>
      </c>
      <c r="J11" s="139">
        <f t="shared" si="5"/>
        <v>0</v>
      </c>
      <c r="K11" s="191">
        <f t="shared" si="6"/>
        <v>0</v>
      </c>
      <c r="L11" s="139">
        <f t="shared" si="7"/>
        <v>0</v>
      </c>
    </row>
    <row r="12" spans="1:12" x14ac:dyDescent="0.25">
      <c r="A12" s="139" t="s">
        <v>277</v>
      </c>
      <c r="B12" s="139" t="s">
        <v>7</v>
      </c>
      <c r="C12" s="169">
        <v>4740852</v>
      </c>
      <c r="D12" s="190">
        <f t="shared" si="0"/>
        <v>3.2137668103689863E-2</v>
      </c>
      <c r="E12" s="169">
        <v>197855</v>
      </c>
      <c r="F12" s="190">
        <f t="shared" si="1"/>
        <v>2.4962481524634768E-2</v>
      </c>
      <c r="G12" s="191">
        <f t="shared" si="2"/>
        <v>4938707</v>
      </c>
      <c r="H12" s="190">
        <f t="shared" si="3"/>
        <v>3.1771802930594215E-2</v>
      </c>
      <c r="I12" s="191">
        <f t="shared" si="4"/>
        <v>-220850.5</v>
      </c>
      <c r="J12" s="139">
        <f t="shared" si="5"/>
        <v>0</v>
      </c>
      <c r="K12" s="191">
        <f t="shared" si="6"/>
        <v>0</v>
      </c>
      <c r="L12" s="139">
        <f t="shared" si="7"/>
        <v>0</v>
      </c>
    </row>
    <row r="13" spans="1:12" x14ac:dyDescent="0.25">
      <c r="A13" s="139" t="s">
        <v>287</v>
      </c>
      <c r="B13" s="139" t="s">
        <v>29</v>
      </c>
      <c r="C13" s="169">
        <v>4595518</v>
      </c>
      <c r="D13" s="190">
        <f t="shared" si="0"/>
        <v>3.1152466317980951E-2</v>
      </c>
      <c r="E13" s="169">
        <v>240794</v>
      </c>
      <c r="F13" s="190">
        <f t="shared" si="1"/>
        <v>3.0379903344585197E-2</v>
      </c>
      <c r="G13" s="191">
        <f t="shared" si="2"/>
        <v>4836312</v>
      </c>
      <c r="H13" s="190">
        <f t="shared" si="3"/>
        <v>3.1113073072540642E-2</v>
      </c>
      <c r="I13" s="191">
        <f t="shared" si="4"/>
        <v>-118455.5</v>
      </c>
      <c r="J13" s="139">
        <f t="shared" si="5"/>
        <v>0</v>
      </c>
      <c r="K13" s="191">
        <f t="shared" si="6"/>
        <v>0</v>
      </c>
      <c r="L13" s="139">
        <f t="shared" si="7"/>
        <v>0</v>
      </c>
    </row>
    <row r="14" spans="1:12" x14ac:dyDescent="0.25">
      <c r="A14" s="139" t="s">
        <v>276</v>
      </c>
      <c r="B14" s="139" t="s">
        <v>9</v>
      </c>
      <c r="C14" s="169">
        <v>4494234</v>
      </c>
      <c r="D14" s="190">
        <f t="shared" si="0"/>
        <v>3.0465874208331856E-2</v>
      </c>
      <c r="E14" s="169">
        <v>224446</v>
      </c>
      <c r="F14" s="190">
        <f t="shared" si="1"/>
        <v>2.8317349211686209E-2</v>
      </c>
      <c r="G14" s="191">
        <f t="shared" si="2"/>
        <v>4718680</v>
      </c>
      <c r="H14" s="190">
        <f t="shared" si="3"/>
        <v>3.035632019727761E-2</v>
      </c>
      <c r="I14" s="191">
        <f t="shared" si="4"/>
        <v>-823.5</v>
      </c>
      <c r="J14" s="139">
        <f t="shared" si="5"/>
        <v>0</v>
      </c>
      <c r="K14" s="191">
        <f t="shared" si="6"/>
        <v>0</v>
      </c>
      <c r="L14" s="139">
        <f t="shared" si="7"/>
        <v>0</v>
      </c>
    </row>
    <row r="15" spans="1:12" x14ac:dyDescent="0.25">
      <c r="A15" s="139" t="s">
        <v>289</v>
      </c>
      <c r="B15" s="139" t="s">
        <v>88</v>
      </c>
      <c r="C15" s="169">
        <v>4422390</v>
      </c>
      <c r="D15" s="190">
        <f t="shared" si="0"/>
        <v>2.9978852333942718E-2</v>
      </c>
      <c r="E15" s="169">
        <v>294643</v>
      </c>
      <c r="F15" s="190">
        <f t="shared" si="1"/>
        <v>3.717379112917521E-2</v>
      </c>
      <c r="G15" s="191">
        <f t="shared" si="2"/>
        <v>4717033</v>
      </c>
      <c r="H15" s="190">
        <f t="shared" si="3"/>
        <v>3.0345724679174048E-2</v>
      </c>
      <c r="I15" s="191">
        <f t="shared" si="4"/>
        <v>823.5</v>
      </c>
      <c r="J15" s="169">
        <f t="shared" si="5"/>
        <v>823.5</v>
      </c>
      <c r="K15" s="190">
        <f t="shared" si="6"/>
        <v>7.6255171936429945E-5</v>
      </c>
      <c r="L15" s="169">
        <f t="shared" si="7"/>
        <v>384.88061666520434</v>
      </c>
    </row>
    <row r="16" spans="1:12" x14ac:dyDescent="0.25">
      <c r="A16" s="139" t="s">
        <v>275</v>
      </c>
      <c r="B16" s="139" t="s">
        <v>4</v>
      </c>
      <c r="C16" s="169">
        <v>4464805</v>
      </c>
      <c r="D16" s="190">
        <f t="shared" si="0"/>
        <v>3.0266378540754913E-2</v>
      </c>
      <c r="E16" s="169">
        <v>214084</v>
      </c>
      <c r="F16" s="190">
        <f t="shared" si="1"/>
        <v>2.7010021959111011E-2</v>
      </c>
      <c r="G16" s="191">
        <f t="shared" si="2"/>
        <v>4678889</v>
      </c>
      <c r="H16" s="190">
        <f t="shared" si="3"/>
        <v>3.0100335825171454E-2</v>
      </c>
      <c r="I16" s="191">
        <f t="shared" si="4"/>
        <v>38967.5</v>
      </c>
      <c r="J16" s="169">
        <f t="shared" si="5"/>
        <v>38967.5</v>
      </c>
      <c r="K16" s="190">
        <f t="shared" si="6"/>
        <v>3.608346584617892E-3</v>
      </c>
      <c r="L16" s="169">
        <f t="shared" si="7"/>
        <v>18212.307747299757</v>
      </c>
    </row>
    <row r="17" spans="1:12" x14ac:dyDescent="0.25">
      <c r="A17" s="139" t="s">
        <v>285</v>
      </c>
      <c r="B17" s="139" t="s">
        <v>28</v>
      </c>
      <c r="C17" s="169">
        <v>4266112</v>
      </c>
      <c r="D17" s="190">
        <f t="shared" si="0"/>
        <v>2.8919462482517606E-2</v>
      </c>
      <c r="E17" s="169">
        <v>107118</v>
      </c>
      <c r="F17" s="190">
        <f t="shared" si="1"/>
        <v>1.3514599560060786E-2</v>
      </c>
      <c r="G17" s="191">
        <f t="shared" si="2"/>
        <v>4373230</v>
      </c>
      <c r="H17" s="190">
        <f t="shared" si="3"/>
        <v>2.8133963349144329E-2</v>
      </c>
      <c r="I17" s="191">
        <f t="shared" si="4"/>
        <v>344626.5</v>
      </c>
      <c r="J17" s="169">
        <f t="shared" si="5"/>
        <v>344626.5</v>
      </c>
      <c r="K17" s="190">
        <f t="shared" si="6"/>
        <v>3.1912025514693472E-2</v>
      </c>
      <c r="L17" s="169">
        <f t="shared" si="7"/>
        <v>161068.68225764547</v>
      </c>
    </row>
    <row r="18" spans="1:12" x14ac:dyDescent="0.25">
      <c r="A18" s="139" t="s">
        <v>286</v>
      </c>
      <c r="B18" s="139" t="s">
        <v>27</v>
      </c>
      <c r="C18" s="169">
        <v>3527486</v>
      </c>
      <c r="D18" s="190">
        <f t="shared" si="0"/>
        <v>2.391240526141979E-2</v>
      </c>
      <c r="E18" s="169">
        <v>174435</v>
      </c>
      <c r="F18" s="190">
        <f t="shared" si="1"/>
        <v>2.2007684742612849E-2</v>
      </c>
      <c r="G18" s="191">
        <f t="shared" si="2"/>
        <v>3701921</v>
      </c>
      <c r="H18" s="190">
        <f t="shared" si="3"/>
        <v>2.381528292256015E-2</v>
      </c>
      <c r="I18" s="191">
        <f t="shared" si="4"/>
        <v>1015935.5</v>
      </c>
      <c r="J18" s="169">
        <f t="shared" si="5"/>
        <v>1015935.5</v>
      </c>
      <c r="K18" s="190">
        <f t="shared" si="6"/>
        <v>9.4074482366512363E-2</v>
      </c>
      <c r="L18" s="169">
        <f t="shared" si="7"/>
        <v>474819.52851496387</v>
      </c>
    </row>
    <row r="19" spans="1:12" x14ac:dyDescent="0.25">
      <c r="A19" s="139" t="s">
        <v>290</v>
      </c>
      <c r="B19" s="139" t="s">
        <v>90</v>
      </c>
      <c r="C19" s="169">
        <v>3398920</v>
      </c>
      <c r="D19" s="190">
        <f t="shared" si="0"/>
        <v>2.304087174014155E-2</v>
      </c>
      <c r="E19" s="169">
        <v>195580</v>
      </c>
      <c r="F19" s="190">
        <f t="shared" si="1"/>
        <v>2.4675454937141177E-2</v>
      </c>
      <c r="G19" s="191">
        <f t="shared" si="2"/>
        <v>3594500</v>
      </c>
      <c r="H19" s="190">
        <f t="shared" si="3"/>
        <v>2.3124219686250048E-2</v>
      </c>
      <c r="I19" s="191">
        <f t="shared" si="4"/>
        <v>1123356.5</v>
      </c>
      <c r="J19" s="169">
        <f t="shared" si="5"/>
        <v>1123356.5</v>
      </c>
      <c r="K19" s="190">
        <f t="shared" si="6"/>
        <v>0.10402154590577556</v>
      </c>
      <c r="L19" s="169">
        <f t="shared" si="7"/>
        <v>525025.06673329161</v>
      </c>
    </row>
    <row r="20" spans="1:12" x14ac:dyDescent="0.25">
      <c r="A20" s="139" t="s">
        <v>284</v>
      </c>
      <c r="B20" s="139" t="s">
        <v>23</v>
      </c>
      <c r="C20" s="169">
        <v>2817495</v>
      </c>
      <c r="D20" s="190">
        <f t="shared" si="0"/>
        <v>1.9099461276961539E-2</v>
      </c>
      <c r="E20" s="169">
        <v>339948</v>
      </c>
      <c r="F20" s="190">
        <f t="shared" si="1"/>
        <v>4.2889720600118975E-2</v>
      </c>
      <c r="G20" s="191">
        <f t="shared" si="2"/>
        <v>3157443</v>
      </c>
      <c r="H20" s="190">
        <f t="shared" si="3"/>
        <v>2.0312534588624958E-2</v>
      </c>
      <c r="I20" s="191">
        <f t="shared" si="4"/>
        <v>1560413.5</v>
      </c>
      <c r="J20" s="169">
        <f t="shared" si="5"/>
        <v>1560413.5</v>
      </c>
      <c r="K20" s="190">
        <f t="shared" si="6"/>
        <v>0.14449253155364472</v>
      </c>
      <c r="L20" s="169">
        <f t="shared" si="7"/>
        <v>729293.15134512435</v>
      </c>
    </row>
    <row r="21" spans="1:12" x14ac:dyDescent="0.25">
      <c r="A21" s="139" t="s">
        <v>288</v>
      </c>
      <c r="B21" s="139" t="s">
        <v>25</v>
      </c>
      <c r="C21" s="169">
        <v>2777873</v>
      </c>
      <c r="D21" s="190">
        <f t="shared" si="0"/>
        <v>1.8830868482754001E-2</v>
      </c>
      <c r="E21" s="169">
        <v>184541</v>
      </c>
      <c r="F21" s="190">
        <f t="shared" si="1"/>
        <v>2.3282713618749208E-2</v>
      </c>
      <c r="G21" s="191">
        <f t="shared" si="2"/>
        <v>2962414</v>
      </c>
      <c r="H21" s="190">
        <f t="shared" si="3"/>
        <v>1.9057869561169217E-2</v>
      </c>
      <c r="I21" s="191">
        <f t="shared" si="4"/>
        <v>1755442.5</v>
      </c>
      <c r="J21" s="169">
        <f t="shared" si="5"/>
        <v>1755442.5</v>
      </c>
      <c r="K21" s="190">
        <f t="shared" si="6"/>
        <v>0.16255199716091856</v>
      </c>
      <c r="L21" s="169">
        <f t="shared" si="7"/>
        <v>820444.19176722295</v>
      </c>
    </row>
    <row r="22" spans="1:12" x14ac:dyDescent="0.25">
      <c r="A22" s="139" t="s">
        <v>280</v>
      </c>
      <c r="B22" s="139" t="s">
        <v>26</v>
      </c>
      <c r="C22" s="169">
        <v>2450604</v>
      </c>
      <c r="D22" s="190">
        <f t="shared" si="0"/>
        <v>1.6612351114435715E-2</v>
      </c>
      <c r="E22" s="169">
        <v>85341</v>
      </c>
      <c r="F22" s="190">
        <f t="shared" si="1"/>
        <v>1.0767092748699076E-2</v>
      </c>
      <c r="G22" s="191">
        <f t="shared" si="2"/>
        <v>2535945</v>
      </c>
      <c r="H22" s="190">
        <f t="shared" si="3"/>
        <v>1.6314299427527438E-2</v>
      </c>
      <c r="I22" s="191">
        <f t="shared" si="4"/>
        <v>2181911.5</v>
      </c>
      <c r="J22" s="169">
        <f t="shared" si="5"/>
        <v>2181911.5</v>
      </c>
      <c r="K22" s="190">
        <f t="shared" si="6"/>
        <v>0.20204254594119461</v>
      </c>
      <c r="L22" s="169">
        <f t="shared" si="7"/>
        <v>1019763.7445402562</v>
      </c>
    </row>
    <row r="23" spans="1:12" x14ac:dyDescent="0.25">
      <c r="A23" s="139" t="s">
        <v>282</v>
      </c>
      <c r="B23" s="139" t="s">
        <v>24</v>
      </c>
      <c r="C23" s="169">
        <v>1886987</v>
      </c>
      <c r="D23" s="190">
        <f t="shared" si="0"/>
        <v>1.2791658951171101E-2</v>
      </c>
      <c r="E23" s="169">
        <v>53079</v>
      </c>
      <c r="F23" s="190">
        <f t="shared" si="1"/>
        <v>6.6967403242075701E-3</v>
      </c>
      <c r="G23" s="191">
        <f t="shared" si="2"/>
        <v>1940066</v>
      </c>
      <c r="H23" s="190">
        <f t="shared" si="3"/>
        <v>1.2480877003706882E-2</v>
      </c>
      <c r="I23" s="191">
        <f t="shared" si="4"/>
        <v>2777790.5</v>
      </c>
      <c r="J23" s="169">
        <f t="shared" si="5"/>
        <v>2777790.5</v>
      </c>
      <c r="K23" s="190">
        <f t="shared" si="6"/>
        <v>0.25722026980070639</v>
      </c>
      <c r="L23" s="169">
        <f t="shared" si="7"/>
        <v>1298260.7414775304</v>
      </c>
    </row>
    <row r="24" spans="1:12" x14ac:dyDescent="0.25">
      <c r="C24" s="176">
        <f>SUM(C6:C23)</f>
        <v>147516988</v>
      </c>
      <c r="D24" s="177">
        <f>SUM(D6:D23)</f>
        <v>1</v>
      </c>
      <c r="E24" s="176">
        <f>SUM(E6:E23)</f>
        <v>7926095</v>
      </c>
      <c r="F24" s="177">
        <f>SUM(F6:F23)</f>
        <v>0.99999999999999978</v>
      </c>
      <c r="G24" s="178">
        <f t="shared" si="2"/>
        <v>155443083</v>
      </c>
      <c r="H24" s="177">
        <f>SUM(H6:H23)</f>
        <v>1</v>
      </c>
      <c r="J24" s="176">
        <f>SUM(J6:J23)</f>
        <v>10799267.5</v>
      </c>
      <c r="K24" s="177">
        <f>SUM(K6:K23)</f>
        <v>1</v>
      </c>
      <c r="L24" s="176">
        <f>SUM(L6:L23)</f>
        <v>5047272.2949999999</v>
      </c>
    </row>
    <row r="25" spans="1:12" x14ac:dyDescent="0.25">
      <c r="C25" s="178"/>
    </row>
    <row r="26" spans="1:12" x14ac:dyDescent="0.25">
      <c r="A26" s="1" t="s">
        <v>292</v>
      </c>
      <c r="C26" s="178">
        <f>MEDIAN(C6:C23)</f>
        <v>4479519.5</v>
      </c>
      <c r="D26">
        <v>0.16058065455550569</v>
      </c>
      <c r="E26" s="178">
        <f>MEDIAN(E6:E23)</f>
        <v>219265</v>
      </c>
      <c r="F26">
        <v>0.10784714915887825</v>
      </c>
      <c r="G26" s="178">
        <f>MEDIAN(G6:G23)</f>
        <v>4717856.5</v>
      </c>
      <c r="H26">
        <v>0.1570700241173548</v>
      </c>
    </row>
    <row r="27" spans="1:12" x14ac:dyDescent="0.25">
      <c r="A27" s="1"/>
    </row>
    <row r="28" spans="1:12" x14ac:dyDescent="0.25">
      <c r="A28" s="1" t="s">
        <v>293</v>
      </c>
      <c r="B28" s="178">
        <f>'Montos AIUE 2023 '!B42</f>
        <v>5047272.2949999999</v>
      </c>
    </row>
  </sheetData>
  <sortState xmlns:xlrd2="http://schemas.microsoft.com/office/spreadsheetml/2017/richdata2" ref="A6:I23">
    <sortCondition descending="1" ref="G6:G23"/>
  </sortState>
  <mergeCells count="9">
    <mergeCell ref="A4:A5"/>
    <mergeCell ref="I4:I5"/>
    <mergeCell ref="J4:J5"/>
    <mergeCell ref="K4:K5"/>
    <mergeCell ref="L4:L5"/>
    <mergeCell ref="C4:D4"/>
    <mergeCell ref="E4:F4"/>
    <mergeCell ref="G4:H4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Montos AIUE 2023 </vt:lpstr>
      <vt:lpstr>Categorías</vt:lpstr>
      <vt:lpstr>Valores</vt:lpstr>
      <vt:lpstr>Indicadores</vt:lpstr>
      <vt:lpstr>Tutoras</vt:lpstr>
      <vt:lpstr>Publicaciones</vt:lpstr>
      <vt:lpstr>Acreditación</vt:lpstr>
      <vt:lpstr>Doctorado JC </vt:lpstr>
      <vt:lpstr>Programas Doct. Acreditados </vt:lpstr>
      <vt:lpstr>Académicos JC </vt:lpstr>
      <vt:lpstr>Matrícula Regular Pre </vt:lpstr>
      <vt:lpstr>Compensación</vt:lpstr>
      <vt:lpstr>'Montos AIUE 2023 '!Área_de_impresión</vt:lpstr>
      <vt:lpstr>'Montos AIUE 2023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2023-09-08T12:25:58Z</cp:lastPrinted>
  <dcterms:created xsi:type="dcterms:W3CDTF">2016-05-30T15:19:10Z</dcterms:created>
  <dcterms:modified xsi:type="dcterms:W3CDTF">2023-09-08T12:29:40Z</dcterms:modified>
</cp:coreProperties>
</file>