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paola_nunez_mineduc_cl/Documents/Documentos/3.- Asignación de Recursos/Cálculo Recursos 2023/FI/"/>
    </mc:Choice>
  </mc:AlternateContent>
  <xr:revisionPtr revIDLastSave="1" documentId="8_{277D1D0E-6179-41FB-9BC0-D7E644E50593}" xr6:coauthVersionLast="47" xr6:coauthVersionMax="47" xr10:uidLastSave="{9E0769CA-A100-4B0D-A359-C8C443237E10}"/>
  <bookViews>
    <workbookView xWindow="-110" yWindow="-110" windowWidth="19420" windowHeight="10420" tabRatio="768" xr2:uid="{58240367-98E5-40ED-9E6A-5348AFFDA918}"/>
  </bookViews>
  <sheets>
    <sheet name="FI 2023" sheetId="15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6" l="1"/>
  <c r="D14" i="6"/>
  <c r="E15" i="16" l="1"/>
  <c r="D15" i="16" l="1"/>
  <c r="F15" i="16"/>
  <c r="G15" i="16"/>
  <c r="D15" i="7" l="1"/>
  <c r="E14" i="7" s="1"/>
  <c r="F6" i="6"/>
  <c r="F12" i="6" l="1"/>
  <c r="F13" i="6"/>
  <c r="F10" i="6"/>
  <c r="F9" i="6"/>
  <c r="F7" i="6"/>
  <c r="F5" i="6"/>
  <c r="F11" i="6"/>
  <c r="F8" i="6"/>
  <c r="F4" i="6"/>
  <c r="J14" i="16"/>
  <c r="H14" i="16"/>
  <c r="K14" i="16" l="1"/>
  <c r="L14" i="16" s="1"/>
  <c r="D14" i="9" l="1"/>
  <c r="V6" i="14"/>
  <c r="W6" i="14"/>
  <c r="V7" i="14"/>
  <c r="W7" i="14"/>
  <c r="V8" i="14"/>
  <c r="W8" i="14"/>
  <c r="V9" i="14"/>
  <c r="X9" i="14" s="1"/>
  <c r="W9" i="14"/>
  <c r="V12" i="14"/>
  <c r="W12" i="14"/>
  <c r="V10" i="14"/>
  <c r="W10" i="14"/>
  <c r="V11" i="14"/>
  <c r="W11" i="14"/>
  <c r="X11" i="14" s="1"/>
  <c r="V13" i="14"/>
  <c r="W13" i="14"/>
  <c r="X6" i="14" l="1"/>
  <c r="X13" i="14"/>
  <c r="X7" i="14"/>
  <c r="X10" i="14"/>
  <c r="X12" i="14"/>
  <c r="X8" i="14"/>
  <c r="S13" i="14" l="1"/>
  <c r="F13" i="9" s="1"/>
  <c r="Z11" i="14" l="1"/>
  <c r="Z12" i="14"/>
  <c r="Z8" i="14"/>
  <c r="Z6" i="14"/>
  <c r="Y11" i="14"/>
  <c r="Y12" i="14"/>
  <c r="Y8" i="14"/>
  <c r="Y6" i="14"/>
  <c r="Z13" i="14"/>
  <c r="Z10" i="14"/>
  <c r="Z9" i="14"/>
  <c r="Z7" i="14"/>
  <c r="Z5" i="14"/>
  <c r="Y13" i="14"/>
  <c r="Y10" i="14"/>
  <c r="Y9" i="14"/>
  <c r="Y7" i="14"/>
  <c r="Y5" i="14"/>
  <c r="Y4" i="14"/>
  <c r="AA13" i="14" l="1"/>
  <c r="S11" i="14"/>
  <c r="F11" i="9" s="1"/>
  <c r="N25" i="15"/>
  <c r="AC13" i="14" l="1"/>
  <c r="AD13" i="14" s="1"/>
  <c r="AA11" i="14"/>
  <c r="AC11" i="14" s="1"/>
  <c r="AD11" i="14" s="1"/>
  <c r="J11" i="3"/>
  <c r="H13" i="2" l="1"/>
  <c r="G13" i="2"/>
  <c r="I13" i="2"/>
  <c r="J13" i="2" l="1"/>
  <c r="F14" i="2"/>
  <c r="D14" i="2"/>
  <c r="E14" i="2"/>
  <c r="Q14" i="14" l="1"/>
  <c r="P14" i="14"/>
  <c r="V4" i="14" l="1"/>
  <c r="J14" i="14"/>
  <c r="K14" i="14"/>
  <c r="L14" i="14"/>
  <c r="M14" i="14"/>
  <c r="N14" i="14"/>
  <c r="O14" i="14"/>
  <c r="J6" i="16"/>
  <c r="J7" i="16"/>
  <c r="J8" i="16"/>
  <c r="J9" i="16"/>
  <c r="J10" i="16"/>
  <c r="J13" i="16"/>
  <c r="J11" i="16"/>
  <c r="J12" i="16"/>
  <c r="F14" i="3" l="1"/>
  <c r="H14" i="3"/>
  <c r="D14" i="3"/>
  <c r="G14" i="3"/>
  <c r="E14" i="3"/>
  <c r="I14" i="3" l="1"/>
  <c r="G8" i="2"/>
  <c r="G11" i="2"/>
  <c r="G5" i="2"/>
  <c r="G9" i="2"/>
  <c r="G4" i="2"/>
  <c r="G6" i="2"/>
  <c r="G12" i="2"/>
  <c r="G7" i="2"/>
  <c r="G10" i="2"/>
  <c r="G14" i="2" l="1"/>
  <c r="H15" i="14" l="1"/>
  <c r="I15" i="14"/>
  <c r="J15" i="14"/>
  <c r="K15" i="14"/>
  <c r="L15" i="14"/>
  <c r="M15" i="14"/>
  <c r="N15" i="14"/>
  <c r="O15" i="14"/>
  <c r="P15" i="14"/>
  <c r="Q15" i="14"/>
  <c r="N26" i="15" l="1"/>
  <c r="H13" i="16" l="1"/>
  <c r="K13" i="16" l="1"/>
  <c r="L13" i="16" s="1"/>
  <c r="S12" i="14" l="1"/>
  <c r="F12" i="9" s="1"/>
  <c r="AA12" i="14" l="1"/>
  <c r="AC12" i="14" s="1"/>
  <c r="AD12" i="14" s="1"/>
  <c r="J12" i="3" l="1"/>
  <c r="H12" i="2"/>
  <c r="I12" i="2"/>
  <c r="J12" i="2" l="1"/>
  <c r="K15" i="15" l="1"/>
  <c r="H12" i="16" l="1"/>
  <c r="H11" i="16"/>
  <c r="H10" i="16"/>
  <c r="H9" i="16"/>
  <c r="H8" i="16"/>
  <c r="H7" i="16"/>
  <c r="AG14" i="14"/>
  <c r="J16" i="14"/>
  <c r="I11" i="2"/>
  <c r="H11" i="2"/>
  <c r="I10" i="2"/>
  <c r="H10" i="2"/>
  <c r="J10" i="2" s="1"/>
  <c r="I9" i="2"/>
  <c r="H9" i="2"/>
  <c r="I8" i="2"/>
  <c r="H8" i="2"/>
  <c r="I7" i="2"/>
  <c r="H7" i="2"/>
  <c r="I6" i="2"/>
  <c r="H6" i="2"/>
  <c r="I5" i="2"/>
  <c r="H5" i="2"/>
  <c r="I4" i="2"/>
  <c r="H4" i="2"/>
  <c r="N27" i="15"/>
  <c r="N24" i="15"/>
  <c r="N23" i="15"/>
  <c r="N22" i="15"/>
  <c r="N21" i="15"/>
  <c r="N20" i="15"/>
  <c r="N19" i="15"/>
  <c r="N18" i="15"/>
  <c r="C13" i="15"/>
  <c r="H14" i="2" l="1"/>
  <c r="I14" i="2"/>
  <c r="F15" i="14"/>
  <c r="S8" i="14"/>
  <c r="F8" i="9" s="1"/>
  <c r="G15" i="14"/>
  <c r="F14" i="14"/>
  <c r="J5" i="2"/>
  <c r="J9" i="2"/>
  <c r="J6" i="2"/>
  <c r="J4" i="2"/>
  <c r="J8" i="2"/>
  <c r="F14" i="6"/>
  <c r="J7" i="2"/>
  <c r="J11" i="2"/>
  <c r="J8" i="3"/>
  <c r="O16" i="14"/>
  <c r="G14" i="14"/>
  <c r="K16" i="14"/>
  <c r="L16" i="14"/>
  <c r="I14" i="14"/>
  <c r="I16" i="14" s="1"/>
  <c r="D14" i="14"/>
  <c r="H14" i="14"/>
  <c r="H16" i="14" s="1"/>
  <c r="E14" i="14"/>
  <c r="M16" i="14"/>
  <c r="W4" i="14"/>
  <c r="W5" i="14"/>
  <c r="N16" i="14"/>
  <c r="S10" i="14"/>
  <c r="F10" i="9" s="1"/>
  <c r="G16" i="15"/>
  <c r="F16" i="15"/>
  <c r="J16" i="15"/>
  <c r="D16" i="15"/>
  <c r="H16" i="15"/>
  <c r="E16" i="15"/>
  <c r="I16" i="15"/>
  <c r="J5" i="3"/>
  <c r="J9" i="3"/>
  <c r="J6" i="3"/>
  <c r="J10" i="3"/>
  <c r="J7" i="3"/>
  <c r="J13" i="3"/>
  <c r="K7" i="16"/>
  <c r="L7" i="16" s="1"/>
  <c r="S4" i="14"/>
  <c r="S5" i="14"/>
  <c r="F5" i="9" s="1"/>
  <c r="V5" i="14"/>
  <c r="S6" i="14"/>
  <c r="F6" i="9" s="1"/>
  <c r="S7" i="14"/>
  <c r="F7" i="9" s="1"/>
  <c r="S9" i="14"/>
  <c r="F9" i="9" s="1"/>
  <c r="K8" i="16"/>
  <c r="L8" i="16" s="1"/>
  <c r="H5" i="16"/>
  <c r="J5" i="16"/>
  <c r="J15" i="16" s="1"/>
  <c r="H6" i="16"/>
  <c r="K9" i="16"/>
  <c r="L9" i="16" s="1"/>
  <c r="K10" i="16"/>
  <c r="L10" i="16" s="1"/>
  <c r="K11" i="16"/>
  <c r="L11" i="16" s="1"/>
  <c r="K12" i="16"/>
  <c r="L12" i="16" s="1"/>
  <c r="J4" i="3"/>
  <c r="E14" i="9" l="1"/>
  <c r="I27" i="15"/>
  <c r="H15" i="16"/>
  <c r="G11" i="6"/>
  <c r="G10" i="6"/>
  <c r="G12" i="6"/>
  <c r="G8" i="6"/>
  <c r="G9" i="6"/>
  <c r="G6" i="6"/>
  <c r="G7" i="6"/>
  <c r="G13" i="6"/>
  <c r="G5" i="6"/>
  <c r="J14" i="2"/>
  <c r="K13" i="2" s="1"/>
  <c r="D27" i="15" s="1"/>
  <c r="G16" i="14"/>
  <c r="F16" i="14"/>
  <c r="K5" i="16"/>
  <c r="E6" i="7"/>
  <c r="E11" i="7"/>
  <c r="X5" i="14"/>
  <c r="E9" i="7"/>
  <c r="E5" i="7"/>
  <c r="E13" i="7"/>
  <c r="E8" i="7"/>
  <c r="E12" i="7"/>
  <c r="E10" i="7"/>
  <c r="W14" i="14"/>
  <c r="K16" i="15"/>
  <c r="E7" i="7"/>
  <c r="S14" i="14"/>
  <c r="K6" i="16"/>
  <c r="L6" i="16" s="1"/>
  <c r="X4" i="14"/>
  <c r="V14" i="14"/>
  <c r="J14" i="3"/>
  <c r="K11" i="3" s="1"/>
  <c r="I20" i="15" l="1"/>
  <c r="I24" i="15"/>
  <c r="I26" i="15"/>
  <c r="E15" i="7"/>
  <c r="I21" i="15"/>
  <c r="I23" i="15"/>
  <c r="I25" i="15"/>
  <c r="I18" i="15"/>
  <c r="I19" i="15"/>
  <c r="I22" i="15"/>
  <c r="E25" i="15"/>
  <c r="K15" i="16"/>
  <c r="I14" i="16"/>
  <c r="P14" i="16" s="1"/>
  <c r="H26" i="15"/>
  <c r="X14" i="14"/>
  <c r="H24" i="15"/>
  <c r="H25" i="15"/>
  <c r="H23" i="15"/>
  <c r="I6" i="16"/>
  <c r="P6" i="16" s="1"/>
  <c r="I13" i="16"/>
  <c r="P13" i="16" s="1"/>
  <c r="G4" i="6"/>
  <c r="K4" i="3"/>
  <c r="K12" i="3"/>
  <c r="K4" i="2"/>
  <c r="K12" i="2"/>
  <c r="D26" i="15" s="1"/>
  <c r="F4" i="9"/>
  <c r="L5" i="16"/>
  <c r="L15" i="16" s="1"/>
  <c r="M14" i="16" s="1"/>
  <c r="Q14" i="16" s="1"/>
  <c r="I12" i="16"/>
  <c r="I7" i="16"/>
  <c r="I8" i="16"/>
  <c r="I11" i="16"/>
  <c r="I10" i="16"/>
  <c r="I9" i="16"/>
  <c r="I5" i="16"/>
  <c r="K6" i="2"/>
  <c r="D23" i="15" s="1"/>
  <c r="K7" i="2"/>
  <c r="D20" i="15" s="1"/>
  <c r="K8" i="2"/>
  <c r="D21" i="15" s="1"/>
  <c r="K11" i="2"/>
  <c r="D25" i="15" s="1"/>
  <c r="K10" i="2"/>
  <c r="D24" i="15" s="1"/>
  <c r="K9" i="2"/>
  <c r="D22" i="15" s="1"/>
  <c r="K5" i="2"/>
  <c r="D19" i="15" s="1"/>
  <c r="K10" i="3"/>
  <c r="K13" i="3"/>
  <c r="K6" i="3"/>
  <c r="K7" i="3"/>
  <c r="K9" i="3"/>
  <c r="K5" i="3"/>
  <c r="K8" i="3"/>
  <c r="R14" i="16" l="1"/>
  <c r="E20" i="15"/>
  <c r="E18" i="15"/>
  <c r="E21" i="15"/>
  <c r="E23" i="15"/>
  <c r="E19" i="15"/>
  <c r="E27" i="15"/>
  <c r="E22" i="15"/>
  <c r="E24" i="15"/>
  <c r="E26" i="15"/>
  <c r="I15" i="16"/>
  <c r="G14" i="6"/>
  <c r="F14" i="9"/>
  <c r="G4" i="9" s="1"/>
  <c r="K14" i="2"/>
  <c r="D18" i="15"/>
  <c r="H18" i="15"/>
  <c r="H22" i="15"/>
  <c r="H21" i="15"/>
  <c r="H20" i="15"/>
  <c r="H19" i="15"/>
  <c r="H27" i="15"/>
  <c r="I28" i="15"/>
  <c r="P9" i="16"/>
  <c r="P12" i="16"/>
  <c r="P11" i="16"/>
  <c r="P7" i="16"/>
  <c r="P10" i="16"/>
  <c r="P8" i="16"/>
  <c r="P5" i="16"/>
  <c r="K14" i="3"/>
  <c r="P15" i="16" l="1"/>
  <c r="G18" i="15"/>
  <c r="M13" i="16"/>
  <c r="Q13" i="16" s="1"/>
  <c r="R13" i="16" s="1"/>
  <c r="G13" i="9"/>
  <c r="G27" i="15" s="1"/>
  <c r="G12" i="9"/>
  <c r="G8" i="9"/>
  <c r="G5" i="9"/>
  <c r="G9" i="9"/>
  <c r="G11" i="9"/>
  <c r="G6" i="9"/>
  <c r="G10" i="9"/>
  <c r="G7" i="9"/>
  <c r="H28" i="15"/>
  <c r="E28" i="15"/>
  <c r="D28" i="15"/>
  <c r="M5" i="16"/>
  <c r="M7" i="16"/>
  <c r="M12" i="16"/>
  <c r="M11" i="16"/>
  <c r="M8" i="16"/>
  <c r="M9" i="16"/>
  <c r="M10" i="16"/>
  <c r="M6" i="16"/>
  <c r="J26" i="15" l="1"/>
  <c r="Q5" i="16"/>
  <c r="M15" i="16"/>
  <c r="G20" i="15"/>
  <c r="G22" i="15"/>
  <c r="G24" i="15"/>
  <c r="G19" i="15"/>
  <c r="G23" i="15"/>
  <c r="G21" i="15"/>
  <c r="G25" i="15"/>
  <c r="G26" i="15"/>
  <c r="G14" i="9"/>
  <c r="Q9" i="16"/>
  <c r="Q7" i="16"/>
  <c r="Q8" i="16"/>
  <c r="J18" i="15"/>
  <c r="Q6" i="16"/>
  <c r="R6" i="16" s="1"/>
  <c r="Q11" i="16"/>
  <c r="R11" i="16" s="1"/>
  <c r="Q10" i="16"/>
  <c r="Q12" i="16"/>
  <c r="J25" i="15" s="1"/>
  <c r="J21" i="15"/>
  <c r="J23" i="15"/>
  <c r="R5" i="16"/>
  <c r="Q15" i="16" l="1"/>
  <c r="R7" i="16"/>
  <c r="J19" i="15"/>
  <c r="J22" i="15"/>
  <c r="R12" i="16"/>
  <c r="J27" i="15"/>
  <c r="J20" i="15"/>
  <c r="J24" i="15"/>
  <c r="R8" i="16"/>
  <c r="R10" i="16"/>
  <c r="R9" i="16"/>
  <c r="G28" i="15"/>
  <c r="R15" i="16" l="1"/>
  <c r="J28" i="15"/>
  <c r="AA8" i="14" l="1"/>
  <c r="AC8" i="14" s="1"/>
  <c r="AD8" i="14" s="1"/>
  <c r="AA7" i="14"/>
  <c r="AC7" i="14" s="1"/>
  <c r="AD7" i="14" s="1"/>
  <c r="AA10" i="14"/>
  <c r="AC10" i="14" s="1"/>
  <c r="AD10" i="14" s="1"/>
  <c r="AA6" i="14"/>
  <c r="AC6" i="14" s="1"/>
  <c r="AD6" i="14" s="1"/>
  <c r="Q16" i="14"/>
  <c r="Z4" i="14"/>
  <c r="AA9" i="14"/>
  <c r="AC9" i="14" s="1"/>
  <c r="AD9" i="14" s="1"/>
  <c r="AA5" i="14"/>
  <c r="AC5" i="14" s="1"/>
  <c r="AD5" i="14" s="1"/>
  <c r="Y14" i="14"/>
  <c r="P16" i="14"/>
  <c r="AA4" i="14" l="1"/>
  <c r="Z14" i="14"/>
  <c r="AA14" i="14" l="1"/>
  <c r="AB13" i="14" s="1"/>
  <c r="AH13" i="14" s="1"/>
  <c r="AC4" i="14"/>
  <c r="AD4" i="14" s="1"/>
  <c r="AB12" i="14" l="1"/>
  <c r="AH12" i="14" s="1"/>
  <c r="AB11" i="14"/>
  <c r="AH11" i="14" s="1"/>
  <c r="AB5" i="14"/>
  <c r="AH5" i="14" s="1"/>
  <c r="AB7" i="14"/>
  <c r="AH7" i="14" s="1"/>
  <c r="AB8" i="14"/>
  <c r="AH8" i="14" s="1"/>
  <c r="AB6" i="14"/>
  <c r="AH6" i="14" s="1"/>
  <c r="AB9" i="14"/>
  <c r="AH9" i="14" s="1"/>
  <c r="AB10" i="14"/>
  <c r="AH10" i="14" s="1"/>
  <c r="AB4" i="14"/>
  <c r="AD14" i="14"/>
  <c r="AE11" i="14" l="1"/>
  <c r="AI11" i="14" s="1"/>
  <c r="AE13" i="14"/>
  <c r="AI13" i="14" s="1"/>
  <c r="AJ13" i="14" s="1"/>
  <c r="F27" i="15" s="1"/>
  <c r="AE12" i="14"/>
  <c r="AI12" i="14" s="1"/>
  <c r="AE5" i="14"/>
  <c r="AI5" i="14" s="1"/>
  <c r="AJ5" i="14" s="1"/>
  <c r="AE7" i="14"/>
  <c r="AI7" i="14" s="1"/>
  <c r="AE8" i="14"/>
  <c r="AI8" i="14" s="1"/>
  <c r="AJ8" i="14" s="1"/>
  <c r="AE6" i="14"/>
  <c r="AI6" i="14" s="1"/>
  <c r="AJ6" i="14" s="1"/>
  <c r="AE9" i="14"/>
  <c r="AI9" i="14" s="1"/>
  <c r="AJ9" i="14" s="1"/>
  <c r="AE10" i="14"/>
  <c r="AI10" i="14" s="1"/>
  <c r="AJ10" i="14" s="1"/>
  <c r="AJ11" i="14"/>
  <c r="AE4" i="14"/>
  <c r="AI4" i="14" s="1"/>
  <c r="AJ12" i="14"/>
  <c r="AH4" i="14"/>
  <c r="AB14" i="14"/>
  <c r="AJ7" i="14"/>
  <c r="F25" i="15" l="1"/>
  <c r="K25" i="15" s="1"/>
  <c r="F24" i="15"/>
  <c r="K24" i="15" s="1"/>
  <c r="L24" i="15" s="1"/>
  <c r="F20" i="15"/>
  <c r="K20" i="15" s="1"/>
  <c r="L20" i="15" s="1"/>
  <c r="F22" i="15"/>
  <c r="K22" i="15" s="1"/>
  <c r="L22" i="15" s="1"/>
  <c r="K27" i="15"/>
  <c r="L27" i="15" s="1"/>
  <c r="F21" i="15"/>
  <c r="K21" i="15" s="1"/>
  <c r="L21" i="15" s="1"/>
  <c r="F23" i="15"/>
  <c r="K23" i="15" s="1"/>
  <c r="L23" i="15" s="1"/>
  <c r="F19" i="15"/>
  <c r="K19" i="15" s="1"/>
  <c r="L19" i="15" s="1"/>
  <c r="F26" i="15"/>
  <c r="K26" i="15" s="1"/>
  <c r="L26" i="15" s="1"/>
  <c r="AI14" i="14"/>
  <c r="AE14" i="14"/>
  <c r="AH14" i="14"/>
  <c r="AJ4" i="14"/>
  <c r="L25" i="15" l="1"/>
  <c r="F18" i="15"/>
  <c r="AJ14" i="14"/>
  <c r="F28" i="15" l="1"/>
  <c r="K18" i="15"/>
  <c r="L18" i="15" s="1"/>
  <c r="K28" i="15" l="1"/>
  <c r="L28" i="15" l="1"/>
  <c r="M25" i="15" l="1"/>
  <c r="L29" i="15"/>
  <c r="M26" i="15"/>
  <c r="M18" i="15"/>
  <c r="M23" i="15"/>
  <c r="M19" i="15"/>
  <c r="M20" i="15"/>
  <c r="M27" i="15"/>
  <c r="M22" i="15"/>
  <c r="M24" i="15"/>
  <c r="M21" i="15"/>
  <c r="M28" i="15" l="1"/>
</calcChain>
</file>

<file path=xl/sharedStrings.xml><?xml version="1.0" encoding="utf-8"?>
<sst xmlns="http://schemas.openxmlformats.org/spreadsheetml/2006/main" count="424" uniqueCount="142">
  <si>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</si>
  <si>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</si>
  <si>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</si>
  <si>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</si>
  <si>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</si>
  <si>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</si>
  <si>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</si>
  <si>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</si>
  <si>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</si>
  <si>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</si>
  <si>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</si>
  <si>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</si>
  <si>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</si>
  <si>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</si>
  <si>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</si>
  <si>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</si>
  <si>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</si>
  <si>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</si>
  <si>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</si>
  <si>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</si>
  <si>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</si>
  <si>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</si>
  <si>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Total M$</t>
  </si>
  <si>
    <t>Total Final Redondeado M$</t>
  </si>
  <si>
    <t>IES</t>
  </si>
  <si>
    <t>N° áreas acreditadas</t>
  </si>
  <si>
    <t>Cod_IES</t>
  </si>
  <si>
    <t>Nº de Académicos JC* 2017 con grado de Doctor</t>
  </si>
  <si>
    <t>Nº total de Académicos JC* 2017</t>
  </si>
  <si>
    <t>Nº de Académicos JC* 2018 con grado de Doctor</t>
  </si>
  <si>
    <t>Nº total de Académicos JC* 2018</t>
  </si>
  <si>
    <t>Nº de Académicos JC* 2016 con grado de Doctor</t>
  </si>
  <si>
    <t>Nº total de Académicos JC* 2016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</si>
  <si>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</si>
  <si>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</si>
  <si>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</si>
  <si>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</si>
  <si>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</si>
  <si>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</si>
  <si>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Parte II</t>
  </si>
  <si>
    <t>Ponderado</t>
  </si>
  <si>
    <t>Parte I</t>
  </si>
  <si>
    <t>% Planta academica</t>
  </si>
  <si>
    <t>% Publicaciones</t>
  </si>
  <si>
    <t xml:space="preserve">% Años Doctorados Acreditados
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</si>
  <si>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</si>
  <si>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</si>
  <si>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</si>
  <si>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</si>
  <si>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</si>
  <si>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</si>
  <si>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</si>
  <si>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</si>
  <si>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</si>
  <si>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</si>
  <si>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</si>
  <si>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</si>
  <si>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 xml:space="preserve">num </t>
  </si>
  <si>
    <t>1p</t>
  </si>
  <si>
    <t>2p</t>
  </si>
  <si>
    <t>h)</t>
  </si>
  <si>
    <t>i)</t>
  </si>
  <si>
    <t>j)</t>
  </si>
  <si>
    <t>k)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</si>
  <si>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</si>
  <si>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</si>
  <si>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</si>
  <si>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</si>
  <si>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</si>
  <si>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</si>
  <si>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</si>
  <si>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</si>
  <si>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</si>
  <si>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</si>
  <si>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e) (suma  b c d )</t>
  </si>
  <si>
    <t>% Acreditación Institucional</t>
  </si>
  <si>
    <t>suma</t>
  </si>
  <si>
    <t xml:space="preserve"> Publicaciones por académico</t>
  </si>
  <si>
    <t>Acreditación Institucional</t>
  </si>
  <si>
    <t>M$</t>
  </si>
  <si>
    <t>Corriente</t>
  </si>
  <si>
    <t>Capital</t>
  </si>
  <si>
    <t>N° Doctorados Acreditados 6 años</t>
  </si>
  <si>
    <t>Nº total de Académicos JC* 2019</t>
  </si>
  <si>
    <t>Nº de Académicos JC* 2019 con grado de Doctor</t>
  </si>
  <si>
    <t>Publicaciones Scopus 2018</t>
  </si>
  <si>
    <t>U. BERNARDO O'HIGGINS</t>
  </si>
  <si>
    <t>UBO</t>
  </si>
  <si>
    <t>U. MAYOR</t>
  </si>
  <si>
    <t>UMA</t>
  </si>
  <si>
    <t>Nº total de Académicos JC* 2020</t>
  </si>
  <si>
    <t>Nº de Académicos JC* 2020 con grado de Doctor</t>
  </si>
  <si>
    <t>Publicaciones Scopus 2019</t>
  </si>
  <si>
    <t>Puntaje Ponderado Acreditación</t>
  </si>
  <si>
    <t>UST</t>
  </si>
  <si>
    <t>U. SANTO TOMÁS</t>
  </si>
  <si>
    <t>Acreditación en Investigación</t>
  </si>
  <si>
    <t>Años Acreditación</t>
  </si>
  <si>
    <t>Publicaciones Scopus  2018-2020</t>
  </si>
  <si>
    <t>Publicaciones Scopus 2020</t>
  </si>
  <si>
    <t>Académicos JC con Doctor
 2019-2021</t>
  </si>
  <si>
    <t>Académicos JC
 2019-2021</t>
  </si>
  <si>
    <t>Nº de Académicos JC* 2021 con grado de Doctor</t>
  </si>
  <si>
    <t>Nº total de Académicos JC* 2021</t>
  </si>
  <si>
    <t>U.CENTRAL</t>
  </si>
  <si>
    <t>UCE</t>
  </si>
  <si>
    <t>Acreditación al 31-12-2022</t>
  </si>
  <si>
    <t>N° Años Doctorados Acreditados 
2022</t>
  </si>
  <si>
    <t>Nº de Académicos JC* 2022 con grado de Doctor</t>
  </si>
  <si>
    <t>Nº total de Académicos JC* 2022</t>
  </si>
  <si>
    <t>Nº total de Académicos JC* 2017-2021</t>
  </si>
  <si>
    <t>% Planta Académica
 2019-2021 por IES</t>
  </si>
  <si>
    <t>Académicos JC con Doctor
 2020-2022</t>
  </si>
  <si>
    <t>Académicos JC
 2020-2022</t>
  </si>
  <si>
    <t>% Planta Académica
 2020-2022 por IES</t>
  </si>
  <si>
    <t>variación
% 2022
v/s
% 2021
%</t>
  </si>
  <si>
    <t>variación CORREGIDA (pasando a 0 si es  negativos)
% 2022
v/s
% 2021
%</t>
  </si>
  <si>
    <t>Publicaciones Scopus 2017-2021</t>
  </si>
  <si>
    <t>Promedio Publicaciones Scopus por AJC 2017-2021</t>
  </si>
  <si>
    <t>% Publicaciones Scopus por AJC 2017-2021</t>
  </si>
  <si>
    <t>Proyectos 2022</t>
  </si>
  <si>
    <t>% Proyectos 2022</t>
  </si>
  <si>
    <t>Académicos JC 2017-2021</t>
  </si>
  <si>
    <t>Citas SCOPUS 2017-2021</t>
  </si>
  <si>
    <t>Publicaciones SCOPUS 2017-2021</t>
  </si>
  <si>
    <t>Promedio SCOPUS citas por publicaciones 2017-2021</t>
  </si>
  <si>
    <t>% Citas Scopus 2017-2021</t>
  </si>
  <si>
    <t>Publicaciones Scopus 2021</t>
  </si>
  <si>
    <t>Publicaciones Scopus  2019-2021</t>
  </si>
  <si>
    <t>% Publicaciones
2019-2021
Parte I</t>
  </si>
  <si>
    <t>variación CORREGIDA (pasando a 0 si es  negativos)
tasa 2021
v/s
tasa 2020 
%</t>
  </si>
  <si>
    <t xml:space="preserve">Variación 
2019-2021
v/S
2018-2020
FRECUENCIAS
</t>
  </si>
  <si>
    <t>Montos FI 2023</t>
  </si>
  <si>
    <t>Total Presupuesto 2023</t>
  </si>
  <si>
    <t>Distribución de Recursos por Institución</t>
  </si>
  <si>
    <t>Ley de presupuestos año 2023</t>
  </si>
  <si>
    <t>Código DFI</t>
  </si>
  <si>
    <t>FI 2023 %</t>
  </si>
  <si>
    <t>Unidad de Análisis, DFI - SUBESUP</t>
  </si>
  <si>
    <t xml:space="preserve"> Marzo de 2023</t>
  </si>
  <si>
    <t>Miles de pesos</t>
  </si>
  <si>
    <t>Aporte para Fomento de Investigación (FI)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</si>
</sst>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%"/>
    <numFmt numFmtId="169" formatCode="_-* #,##0\ _€_-;\-* #,##0\ _€_-;_-* &quot;-&quot;??\ _€_-;_-@_-"/>
    <numFmt numFmtId="170" formatCode="_-* #,##0.0000_-;\-* #,##0.0000_-;_-* &quot;-&quot;??_-;_-@_-"/>
    <numFmt numFmtId="171" formatCode="0.0000000000000%"/>
    <numFmt numFmtId="172" formatCode="_ * #,##0.0_ ;_ * \-#,##0.0_ ;_ * &quot;-&quot;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1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25" fillId="0" borderId="0"/>
  </cellStyleXfs>
  <cellXfs count="175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9" fontId="0" fillId="0" borderId="0" xfId="0" applyNumberFormat="1"/>
    <xf numFmtId="0" fontId="2" fillId="0" borderId="2" xfId="0" applyFont="1" applyBorder="1"/>
    <xf numFmtId="0" fontId="7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5" fontId="9" fillId="0" borderId="1" xfId="1" applyNumberFormat="1" applyFont="1" applyBorder="1"/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165" fontId="10" fillId="0" borderId="0" xfId="1" applyNumberFormat="1" applyFont="1"/>
    <xf numFmtId="165" fontId="8" fillId="0" borderId="1" xfId="1" applyNumberFormat="1" applyFont="1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8" fillId="0" borderId="1" xfId="2" applyFont="1" applyBorder="1"/>
    <xf numFmtId="0" fontId="12" fillId="0" borderId="0" xfId="0" applyFont="1" applyAlignment="1">
      <alignment horizontal="center"/>
    </xf>
    <xf numFmtId="9" fontId="8" fillId="0" borderId="1" xfId="0" applyNumberFormat="1" applyFont="1" applyBorder="1"/>
    <xf numFmtId="0" fontId="11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169" fontId="4" fillId="0" borderId="8" xfId="0" applyNumberFormat="1" applyFont="1" applyBorder="1"/>
    <xf numFmtId="169" fontId="4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4" fillId="5" borderId="2" xfId="0" applyFont="1" applyFill="1" applyBorder="1"/>
    <xf numFmtId="165" fontId="9" fillId="0" borderId="8" xfId="1" applyNumberFormat="1" applyFont="1" applyBorder="1"/>
    <xf numFmtId="165" fontId="9" fillId="0" borderId="15" xfId="1" applyNumberFormat="1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/>
    <xf numFmtId="0" fontId="11" fillId="0" borderId="21" xfId="0" applyFont="1" applyBorder="1"/>
    <xf numFmtId="0" fontId="8" fillId="0" borderId="20" xfId="0" applyFont="1" applyBorder="1"/>
    <xf numFmtId="0" fontId="8" fillId="0" borderId="2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7" fillId="0" borderId="0" xfId="0" applyFont="1"/>
    <xf numFmtId="9" fontId="0" fillId="0" borderId="0" xfId="2" applyFont="1" applyFill="1"/>
    <xf numFmtId="0" fontId="18" fillId="0" borderId="0" xfId="0" applyFont="1"/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9" fontId="8" fillId="4" borderId="1" xfId="2" applyFont="1" applyFill="1" applyBorder="1"/>
    <xf numFmtId="9" fontId="8" fillId="4" borderId="1" xfId="0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9" fontId="10" fillId="4" borderId="1" xfId="2" applyFont="1" applyFill="1" applyBorder="1"/>
    <xf numFmtId="9" fontId="10" fillId="4" borderId="1" xfId="0" applyNumberFormat="1" applyFont="1" applyFill="1" applyBorder="1"/>
    <xf numFmtId="9" fontId="8" fillId="4" borderId="1" xfId="2" applyFont="1" applyFill="1" applyBorder="1" applyAlignment="1">
      <alignment horizontal="center"/>
    </xf>
    <xf numFmtId="9" fontId="16" fillId="4" borderId="1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20" fillId="0" borderId="0" xfId="0" applyFont="1"/>
    <xf numFmtId="9" fontId="2" fillId="0" borderId="0" xfId="0" applyNumberFormat="1" applyFont="1"/>
    <xf numFmtId="0" fontId="2" fillId="0" borderId="20" xfId="0" applyFont="1" applyBorder="1"/>
    <xf numFmtId="0" fontId="21" fillId="0" borderId="0" xfId="0" applyFont="1"/>
    <xf numFmtId="15" fontId="0" fillId="0" borderId="0" xfId="0" applyNumberFormat="1"/>
    <xf numFmtId="0" fontId="22" fillId="3" borderId="1" xfId="0" applyFont="1" applyFill="1" applyBorder="1" applyAlignment="1">
      <alignment horizontal="center" vertical="center" wrapText="1"/>
    </xf>
    <xf numFmtId="169" fontId="9" fillId="0" borderId="1" xfId="0" applyNumberFormat="1" applyFont="1" applyBorder="1"/>
    <xf numFmtId="0" fontId="9" fillId="5" borderId="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3" fontId="8" fillId="0" borderId="6" xfId="0" applyNumberFormat="1" applyFont="1" applyBorder="1"/>
    <xf numFmtId="3" fontId="8" fillId="0" borderId="1" xfId="0" applyNumberFormat="1" applyFont="1" applyBorder="1"/>
    <xf numFmtId="168" fontId="8" fillId="0" borderId="2" xfId="2" applyNumberFormat="1" applyFont="1" applyBorder="1"/>
    <xf numFmtId="9" fontId="9" fillId="0" borderId="26" xfId="2" applyFont="1" applyBorder="1"/>
    <xf numFmtId="0" fontId="14" fillId="0" borderId="0" xfId="0" applyFont="1"/>
    <xf numFmtId="0" fontId="23" fillId="0" borderId="0" xfId="0" applyFont="1" applyAlignment="1">
      <alignment horizontal="center"/>
    </xf>
    <xf numFmtId="0" fontId="9" fillId="0" borderId="31" xfId="0" applyFont="1" applyBorder="1"/>
    <xf numFmtId="0" fontId="4" fillId="4" borderId="30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7" fontId="10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4" borderId="30" xfId="0" applyFont="1" applyFill="1" applyBorder="1"/>
    <xf numFmtId="0" fontId="9" fillId="0" borderId="1" xfId="0" applyFont="1" applyBorder="1" applyAlignment="1">
      <alignment horizontal="center"/>
    </xf>
    <xf numFmtId="171" fontId="11" fillId="0" borderId="0" xfId="0" applyNumberFormat="1" applyFont="1"/>
    <xf numFmtId="9" fontId="8" fillId="0" borderId="0" xfId="0" applyNumberFormat="1" applyFont="1" applyAlignment="1">
      <alignment wrapText="1"/>
    </xf>
    <xf numFmtId="9" fontId="8" fillId="0" borderId="0" xfId="0" applyNumberFormat="1" applyFont="1" applyAlignment="1">
      <alignment horizontal="left" wrapText="1"/>
    </xf>
    <xf numFmtId="168" fontId="10" fillId="0" borderId="0" xfId="2" applyNumberFormat="1" applyFont="1" applyAlignment="1">
      <alignment horizontal="left"/>
    </xf>
    <xf numFmtId="165" fontId="8" fillId="0" borderId="1" xfId="0" applyNumberFormat="1" applyFont="1" applyBorder="1" applyAlignment="1">
      <alignment horizontal="center" vertical="center" wrapText="1"/>
    </xf>
    <xf numFmtId="0" fontId="5" fillId="0" borderId="32" xfId="0" applyFont="1" applyBorder="1"/>
    <xf numFmtId="0" fontId="5" fillId="0" borderId="3" xfId="0" applyFont="1" applyBorder="1"/>
    <xf numFmtId="0" fontId="24" fillId="0" borderId="0" xfId="0" applyFont="1"/>
    <xf numFmtId="0" fontId="26" fillId="0" borderId="0" xfId="0" applyFont="1"/>
    <xf numFmtId="168" fontId="8" fillId="0" borderId="1" xfId="0" applyNumberFormat="1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/>
    </xf>
    <xf numFmtId="2" fontId="8" fillId="0" borderId="1" xfId="2" applyNumberFormat="1" applyFont="1" applyBorder="1"/>
    <xf numFmtId="10" fontId="8" fillId="4" borderId="1" xfId="2" applyNumberFormat="1" applyFont="1" applyFill="1" applyBorder="1"/>
    <xf numFmtId="10" fontId="9" fillId="4" borderId="1" xfId="2" applyNumberFormat="1" applyFont="1" applyFill="1" applyBorder="1"/>
    <xf numFmtId="167" fontId="8" fillId="0" borderId="1" xfId="0" applyNumberFormat="1" applyFont="1" applyBorder="1"/>
    <xf numFmtId="9" fontId="9" fillId="4" borderId="1" xfId="2" applyFont="1" applyFill="1" applyBorder="1"/>
    <xf numFmtId="0" fontId="9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8" fillId="0" borderId="19" xfId="1" applyNumberFormat="1" applyFont="1" applyBorder="1"/>
    <xf numFmtId="165" fontId="8" fillId="0" borderId="7" xfId="1" applyNumberFormat="1" applyFont="1" applyBorder="1"/>
    <xf numFmtId="165" fontId="8" fillId="0" borderId="17" xfId="1" applyNumberFormat="1" applyFont="1" applyBorder="1"/>
    <xf numFmtId="165" fontId="8" fillId="0" borderId="3" xfId="1" applyNumberFormat="1" applyFont="1" applyBorder="1"/>
    <xf numFmtId="165" fontId="9" fillId="0" borderId="19" xfId="0" applyNumberFormat="1" applyFont="1" applyBorder="1"/>
    <xf numFmtId="170" fontId="8" fillId="4" borderId="1" xfId="2" applyNumberFormat="1" applyFont="1" applyFill="1" applyBorder="1"/>
    <xf numFmtId="168" fontId="8" fillId="4" borderId="1" xfId="0" applyNumberFormat="1" applyFont="1" applyFill="1" applyBorder="1"/>
    <xf numFmtId="166" fontId="8" fillId="0" borderId="3" xfId="1" applyNumberFormat="1" applyFont="1" applyBorder="1"/>
    <xf numFmtId="165" fontId="9" fillId="0" borderId="1" xfId="0" applyNumberFormat="1" applyFont="1" applyBorder="1"/>
    <xf numFmtId="170" fontId="8" fillId="0" borderId="1" xfId="2" applyNumberFormat="1" applyFont="1" applyBorder="1"/>
    <xf numFmtId="168" fontId="8" fillId="0" borderId="1" xfId="0" applyNumberFormat="1" applyFont="1" applyBorder="1"/>
    <xf numFmtId="168" fontId="8" fillId="4" borderId="1" xfId="2" applyNumberFormat="1" applyFont="1" applyFill="1" applyBorder="1"/>
    <xf numFmtId="168" fontId="8" fillId="4" borderId="0" xfId="0" applyNumberFormat="1" applyFont="1" applyFill="1"/>
    <xf numFmtId="0" fontId="9" fillId="2" borderId="27" xfId="0" applyFont="1" applyFill="1" applyBorder="1" applyAlignment="1">
      <alignment horizontal="center" vertical="center" wrapText="1"/>
    </xf>
    <xf numFmtId="168" fontId="8" fillId="2" borderId="28" xfId="2" applyNumberFormat="1" applyFont="1" applyFill="1" applyBorder="1"/>
    <xf numFmtId="9" fontId="9" fillId="2" borderId="29" xfId="2" applyFont="1" applyFill="1" applyBorder="1"/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9" fontId="10" fillId="0" borderId="3" xfId="2" applyFont="1" applyBorder="1"/>
    <xf numFmtId="9" fontId="10" fillId="0" borderId="1" xfId="2" applyFont="1" applyBorder="1"/>
    <xf numFmtId="9" fontId="10" fillId="0" borderId="3" xfId="0" applyNumberFormat="1" applyFont="1" applyBorder="1"/>
    <xf numFmtId="9" fontId="16" fillId="0" borderId="1" xfId="0" applyNumberFormat="1" applyFont="1" applyBorder="1"/>
    <xf numFmtId="9" fontId="17" fillId="0" borderId="3" xfId="2" applyFont="1" applyBorder="1"/>
    <xf numFmtId="0" fontId="16" fillId="0" borderId="0" xfId="0" applyFont="1" applyAlignment="1">
      <alignment horizontal="center"/>
    </xf>
    <xf numFmtId="168" fontId="10" fillId="2" borderId="1" xfId="2" applyNumberFormat="1" applyFont="1" applyFill="1" applyBorder="1"/>
    <xf numFmtId="0" fontId="10" fillId="4" borderId="1" xfId="0" applyFont="1" applyFill="1" applyBorder="1" applyAlignment="1">
      <alignment horizontal="right"/>
    </xf>
    <xf numFmtId="168" fontId="10" fillId="2" borderId="1" xfId="0" applyNumberFormat="1" applyFont="1" applyFill="1" applyBorder="1"/>
    <xf numFmtId="9" fontId="10" fillId="0" borderId="1" xfId="0" applyNumberFormat="1" applyFont="1" applyBorder="1"/>
    <xf numFmtId="1" fontId="16" fillId="0" borderId="1" xfId="0" applyNumberFormat="1" applyFont="1" applyBorder="1"/>
    <xf numFmtId="14" fontId="18" fillId="0" borderId="0" xfId="0" applyNumberFormat="1" applyFont="1"/>
    <xf numFmtId="0" fontId="2" fillId="4" borderId="30" xfId="0" applyFont="1" applyFill="1" applyBorder="1"/>
    <xf numFmtId="165" fontId="8" fillId="0" borderId="1" xfId="0" applyNumberFormat="1" applyFont="1" applyBorder="1"/>
    <xf numFmtId="1" fontId="16" fillId="0" borderId="1" xfId="0" applyNumberFormat="1" applyFont="1" applyBorder="1" applyAlignment="1">
      <alignment horizontal="center"/>
    </xf>
    <xf numFmtId="168" fontId="8" fillId="0" borderId="0" xfId="0" applyNumberFormat="1" applyFont="1" applyAlignment="1">
      <alignment vertical="top" wrapText="1"/>
    </xf>
    <xf numFmtId="168" fontId="8" fillId="0" borderId="1" xfId="0" applyNumberFormat="1" applyFont="1" applyBorder="1" applyAlignment="1">
      <alignment horizontal="center"/>
    </xf>
    <xf numFmtId="165" fontId="18" fillId="0" borderId="1" xfId="0" applyNumberFormat="1" applyFont="1" applyBorder="1" applyAlignment="1">
      <alignment horizontal="center" vertical="center" wrapText="1"/>
    </xf>
    <xf numFmtId="172" fontId="21" fillId="0" borderId="0" xfId="0" applyNumberFormat="1" applyFont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165" fontId="9" fillId="6" borderId="1" xfId="1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166" fontId="9" fillId="7" borderId="1" xfId="0" applyNumberFormat="1" applyFont="1" applyFill="1" applyBorder="1"/>
    <xf numFmtId="10" fontId="9" fillId="7" borderId="1" xfId="2" applyNumberFormat="1" applyFont="1" applyFill="1" applyBorder="1"/>
    <xf numFmtId="166" fontId="9" fillId="7" borderId="1" xfId="1" applyNumberFormat="1" applyFont="1" applyFill="1" applyBorder="1"/>
    <xf numFmtId="9" fontId="9" fillId="7" borderId="1" xfId="2" applyFont="1" applyFill="1" applyBorder="1"/>
    <xf numFmtId="0" fontId="9" fillId="0" borderId="0" xfId="0" applyFont="1" applyAlignment="1">
      <alignment horizontal="center" vertical="center"/>
    </xf>
    <xf numFmtId="166" fontId="9" fillId="6" borderId="1" xfId="0" applyNumberFormat="1" applyFont="1" applyFill="1" applyBorder="1"/>
    <xf numFmtId="0" fontId="8" fillId="0" borderId="1" xfId="0" applyFont="1" applyBorder="1" applyAlignment="1">
      <alignment horizontal="center"/>
    </xf>
    <xf numFmtId="165" fontId="8" fillId="0" borderId="1" xfId="1" applyNumberFormat="1" applyFont="1" applyFill="1" applyBorder="1"/>
    <xf numFmtId="0" fontId="8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1" fontId="10" fillId="0" borderId="1" xfId="0" applyNumberFormat="1" applyFont="1" applyBorder="1"/>
    <xf numFmtId="0" fontId="9" fillId="0" borderId="0" xfId="0" applyFont="1"/>
    <xf numFmtId="3" fontId="8" fillId="0" borderId="1" xfId="0" applyNumberFormat="1" applyFont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41" fontId="9" fillId="6" borderId="1" xfId="5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7">
    <cellStyle name="Millares" xfId="1" builtinId="3"/>
    <cellStyle name="Millares [0]" xfId="5" builtinId="6"/>
    <cellStyle name="Normal" xfId="0" builtinId="0"/>
    <cellStyle name="Normal 2" xfId="3" xr:uid="{992A81EA-7E29-4FDE-B6DC-D666B04B75B4}"/>
    <cellStyle name="Normal 2 3" xfId="6" xr:uid="{0CC7D755-F874-4330-83E7-CC5154DC507D}"/>
    <cellStyle name="Normal 4" xfId="4" xr:uid="{0D7C20CC-1107-4CB5-A2A2-413B8D4866A7}"/>
    <cellStyle name="Porcentaje" xfId="2" builtinId="5"/>
  </cellStyles>
  <dxfs count="0"/>
  <tableStyles count="0" defaultTableStyle="TableStyleMedium2" defaultPivotStyle="PivotStyleLight16"/>
  <colors>
    <mruColors>
      <color rgb="FFFFE7A3"/>
      <color rgb="FF0000CC"/>
      <color rgb="FF66FFCC"/>
      <color rgb="FFFFDF85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42334</xdr:rowOff>
    </xdr:from>
    <xdr:to>
      <xdr:col>1</xdr:col>
      <xdr:colOff>1182158</xdr:colOff>
      <xdr:row>1</xdr:row>
      <xdr:rowOff>20109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0ECFD5-44A2-4AA5-B5B9-3B0068DE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2334"/>
          <a:ext cx="12668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95250</xdr:colOff>
      <xdr:row>0</xdr:row>
      <xdr:rowOff>190494</xdr:rowOff>
    </xdr:from>
    <xdr:ext cx="1438373" cy="422735"/>
    <xdr:pic>
      <xdr:nvPicPr>
        <xdr:cNvPr id="3" name="Imagen 2">
          <a:extLst>
            <a:ext uri="{FF2B5EF4-FFF2-40B4-BE49-F238E27FC236}">
              <a16:creationId xmlns:a16="http://schemas.microsoft.com/office/drawing/2014/main" id="{B26C5C77-8083-4720-BA3C-8E1EB4D63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4417" y="190494"/>
          <a:ext cx="1438373" cy="422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811C-5016-4ED2-BAA3-0B620A4853EC}">
  <dimension ref="A1:R30"/>
  <sheetViews>
    <sheetView tabSelected="1" zoomScale="90" zoomScaleNormal="90" workbookViewId="0">
      <selection activeCell="O19" sqref="O19"/>
    </sheetView>
  </sheetViews>
  <sheetFormatPr baseColWidth="10" defaultColWidth="11.453125" defaultRowHeight="13" x14ac:dyDescent="0.3"/>
  <cols>
    <col min="1" max="1" width="3.1796875" style="13" customWidth="1"/>
    <col min="2" max="2" width="37.26953125" style="13" customWidth="1"/>
    <col min="3" max="3" width="9" style="13" customWidth="1"/>
    <col min="4" max="4" width="11.7265625" style="13" customWidth="1"/>
    <col min="5" max="5" width="12" style="13" customWidth="1"/>
    <col min="6" max="6" width="11.26953125" style="13" customWidth="1"/>
    <col min="7" max="7" width="12.7265625" style="13" customWidth="1"/>
    <col min="8" max="8" width="10.7265625" style="13" customWidth="1"/>
    <col min="9" max="9" width="10.453125" style="13" customWidth="1"/>
    <col min="10" max="10" width="11.26953125" style="13" bestFit="1" customWidth="1"/>
    <col min="11" max="11" width="11.81640625" style="13" customWidth="1"/>
    <col min="12" max="12" width="11.26953125" style="13" customWidth="1"/>
    <col min="13" max="13" width="7.7265625" style="13" bestFit="1" customWidth="1"/>
    <col min="14" max="14" width="6.26953125" style="13" bestFit="1" customWidth="1"/>
    <col min="15" max="17" width="11.54296875" style="13" customWidth="1"/>
    <col min="18" max="18" width="1.1796875" style="13" customWidth="1"/>
    <col min="19" max="16384" width="11.453125" style="13"/>
  </cols>
  <sheetData>
    <row r="1" spans="1:15" ht="92.25" customHeight="1" x14ac:dyDescent="0.3"/>
    <row r="3" spans="1:15" ht="17" x14ac:dyDescent="0.4">
      <c r="B3" s="103" t="s">
        <v>141</v>
      </c>
    </row>
    <row r="4" spans="1:15" ht="17" x14ac:dyDescent="0.4">
      <c r="B4" s="103" t="s">
        <v>134</v>
      </c>
    </row>
    <row r="5" spans="1:15" ht="17" x14ac:dyDescent="0.4">
      <c r="B5" s="103" t="s">
        <v>135</v>
      </c>
    </row>
    <row r="6" spans="1:15" x14ac:dyDescent="0.3">
      <c r="B6" s="169" t="s">
        <v>140</v>
      </c>
    </row>
    <row r="7" spans="1:15" x14ac:dyDescent="0.3">
      <c r="B7" s="56" t="s">
        <v>138</v>
      </c>
    </row>
    <row r="8" spans="1:15" x14ac:dyDescent="0.3">
      <c r="B8" s="145" t="s">
        <v>139</v>
      </c>
    </row>
    <row r="10" spans="1:15" x14ac:dyDescent="0.3">
      <c r="B10" s="153" t="s">
        <v>132</v>
      </c>
      <c r="C10" s="171" t="s">
        <v>79</v>
      </c>
      <c r="D10" s="171"/>
    </row>
    <row r="11" spans="1:15" x14ac:dyDescent="0.3">
      <c r="B11" s="10" t="s">
        <v>80</v>
      </c>
      <c r="C11" s="170">
        <v>9064777</v>
      </c>
      <c r="D11" s="170"/>
    </row>
    <row r="12" spans="1:15" x14ac:dyDescent="0.3">
      <c r="B12" s="10" t="s">
        <v>81</v>
      </c>
      <c r="C12" s="170">
        <v>0</v>
      </c>
      <c r="D12" s="170"/>
    </row>
    <row r="13" spans="1:15" x14ac:dyDescent="0.3">
      <c r="B13" s="154" t="s">
        <v>133</v>
      </c>
      <c r="C13" s="172">
        <f>SUM(C11:D12)</f>
        <v>9064777</v>
      </c>
      <c r="D13" s="172"/>
    </row>
    <row r="14" spans="1:15" ht="18" customHeight="1" x14ac:dyDescent="0.35">
      <c r="B14" s="15"/>
      <c r="C14" s="70"/>
      <c r="D14" s="149"/>
      <c r="I14" s="96"/>
      <c r="J14" s="97"/>
    </row>
    <row r="15" spans="1:15" ht="18" customHeight="1" x14ac:dyDescent="0.35">
      <c r="B15" s="15"/>
      <c r="C15" s="98"/>
      <c r="D15" s="104">
        <v>0.2</v>
      </c>
      <c r="E15" s="104">
        <v>0.2</v>
      </c>
      <c r="F15" s="104">
        <v>0.1</v>
      </c>
      <c r="G15" s="104">
        <v>0.1</v>
      </c>
      <c r="H15" s="104">
        <v>0.15</v>
      </c>
      <c r="I15" s="104">
        <v>0.1</v>
      </c>
      <c r="J15" s="104">
        <v>0.15</v>
      </c>
      <c r="K15" s="150">
        <f>SUM(D15:J15)</f>
        <v>1</v>
      </c>
    </row>
    <row r="16" spans="1:15" ht="30" customHeight="1" x14ac:dyDescent="0.3">
      <c r="A16" s="71"/>
      <c r="B16" s="71"/>
      <c r="C16" s="14" t="s">
        <v>15</v>
      </c>
      <c r="D16" s="151">
        <f t="shared" ref="D16:J16" si="0">$C$13*D15</f>
        <v>1812955.4000000001</v>
      </c>
      <c r="E16" s="151">
        <f t="shared" si="0"/>
        <v>1812955.4000000001</v>
      </c>
      <c r="F16" s="151">
        <f t="shared" si="0"/>
        <v>906477.70000000007</v>
      </c>
      <c r="G16" s="151">
        <f t="shared" si="0"/>
        <v>906477.70000000007</v>
      </c>
      <c r="H16" s="151">
        <f t="shared" si="0"/>
        <v>1359716.55</v>
      </c>
      <c r="I16" s="151">
        <f t="shared" si="0"/>
        <v>906477.70000000007</v>
      </c>
      <c r="J16" s="151">
        <f t="shared" si="0"/>
        <v>1359716.55</v>
      </c>
      <c r="K16" s="99">
        <f>SUM(D16:J16)</f>
        <v>9064777</v>
      </c>
      <c r="L16" s="71"/>
      <c r="M16" s="71"/>
      <c r="N16" s="71"/>
      <c r="O16" s="71"/>
    </row>
    <row r="17" spans="1:18" ht="39" x14ac:dyDescent="0.3">
      <c r="A17" s="17" t="s">
        <v>20</v>
      </c>
      <c r="B17" s="4" t="s">
        <v>1</v>
      </c>
      <c r="C17" s="17" t="s">
        <v>0</v>
      </c>
      <c r="D17" s="155" t="s">
        <v>78</v>
      </c>
      <c r="E17" s="155" t="s">
        <v>16</v>
      </c>
      <c r="F17" s="155" t="s">
        <v>17</v>
      </c>
      <c r="G17" s="155" t="s">
        <v>77</v>
      </c>
      <c r="H17" s="155" t="s">
        <v>21</v>
      </c>
      <c r="I17" s="155" t="s">
        <v>19</v>
      </c>
      <c r="J17" s="155" t="s">
        <v>18</v>
      </c>
      <c r="K17" s="155" t="s">
        <v>22</v>
      </c>
      <c r="L17" s="157" t="s">
        <v>23</v>
      </c>
      <c r="M17" s="157" t="s">
        <v>137</v>
      </c>
      <c r="N17" s="157" t="s">
        <v>136</v>
      </c>
      <c r="O17" s="162"/>
    </row>
    <row r="18" spans="1:18" x14ac:dyDescent="0.3">
      <c r="A18" s="10">
        <v>1</v>
      </c>
      <c r="B18" s="18" t="s">
        <v>3</v>
      </c>
      <c r="C18" s="10" t="s">
        <v>2</v>
      </c>
      <c r="D18" s="16">
        <f>VLOOKUP(C18,'I.Acreditación Institucional'!$C$4:$K$13,9,0)*$D$16</f>
        <v>467402.56406249991</v>
      </c>
      <c r="E18" s="16">
        <f>VLOOKUP(C18,'II.Doctorados Acreditados'!$C$4:$K$13,9,0)*$E$16</f>
        <v>659256.50909090915</v>
      </c>
      <c r="F18" s="16">
        <f>VLOOKUP(C18,'III. Planta Académica'!$AG$4:$AJ$13,4,0)*$F$16</f>
        <v>112044.02478224837</v>
      </c>
      <c r="G18" s="16">
        <f>VLOOKUP(C18,'IV. Publicaciones por acad.'!$C$4:$G$13,5,0)*$G$16</f>
        <v>161763.82031806468</v>
      </c>
      <c r="H18" s="147">
        <f>VLOOKUP(C18,V.Citas!$C$4:$G$14,5,0)*$H$16</f>
        <v>252818.98427521746</v>
      </c>
      <c r="I18" s="16">
        <f>VLOOKUP(C18,'VI. Proyectos'!$C$5:$E$14,3,0)*$I$16</f>
        <v>186262.54109589042</v>
      </c>
      <c r="J18" s="16">
        <f>(VLOOKUP(C18,'VII. Publicaciones'!$O$5:$R$15,2,0)*$J$16)+(VLOOKUP(C18,'VII. Publicaciones'!$O$5:$R$15,3,0)*$J$16)</f>
        <v>171764.8471995143</v>
      </c>
      <c r="K18" s="163">
        <f>SUM(D18:J18)</f>
        <v>2011313.2908243441</v>
      </c>
      <c r="L18" s="158">
        <f t="shared" ref="L18:L27" si="1">ROUND(K18,0)</f>
        <v>2011313</v>
      </c>
      <c r="M18" s="159">
        <f t="shared" ref="M18:M27" si="2">L18/$L$28</f>
        <v>0.22188223714714658</v>
      </c>
      <c r="N18" s="166" t="str">
        <f t="shared" ref="N18:N27" si="3">+C18</f>
        <v>UDP</v>
      </c>
    </row>
    <row r="19" spans="1:18" x14ac:dyDescent="0.3">
      <c r="A19" s="10">
        <v>2</v>
      </c>
      <c r="B19" s="18" t="s">
        <v>5</v>
      </c>
      <c r="C19" s="10" t="s">
        <v>4</v>
      </c>
      <c r="D19" s="16">
        <f>VLOOKUP(C19,'I.Acreditación Institucional'!$C$4:$K$13,9,0)*$D$16</f>
        <v>467402.56406249991</v>
      </c>
      <c r="E19" s="16">
        <f>VLOOKUP(C19,'II.Doctorados Acreditados'!$C$4:$K$13,9,0)*$E$16</f>
        <v>494442.38181818184</v>
      </c>
      <c r="F19" s="16">
        <f>VLOOKUP(C19,'III. Planta Académica'!$AG$4:$AJ$13,4,0)*$F$16</f>
        <v>135030.73481853059</v>
      </c>
      <c r="G19" s="16">
        <f>VLOOKUP(C19,'IV. Publicaciones por acad.'!$C$4:$G$13,5,0)*$G$16</f>
        <v>121795.99336665375</v>
      </c>
      <c r="H19" s="147">
        <f>VLOOKUP(C19,V.Citas!$C$4:$G$14,5,0)*$H$16</f>
        <v>65743.809090826006</v>
      </c>
      <c r="I19" s="16">
        <f>VLOOKUP(C19,'VI. Proyectos'!$C$5:$E$14,3,0)*$I$16</f>
        <v>176328.53890410962</v>
      </c>
      <c r="J19" s="16">
        <f>(VLOOKUP(C19,'VII. Publicaciones'!$O$5:$R$15,2,0)*$J$16)+(VLOOKUP(C19,'VII. Publicaciones'!$O$5:$R$15,3,0)*$J$16)</f>
        <v>101694.87951493834</v>
      </c>
      <c r="K19" s="163">
        <f t="shared" ref="K19:K27" si="4">SUM(D19:J19)</f>
        <v>1562438.90157574</v>
      </c>
      <c r="L19" s="158">
        <f t="shared" si="1"/>
        <v>1562439</v>
      </c>
      <c r="M19" s="159">
        <f t="shared" si="2"/>
        <v>0.17236375478403937</v>
      </c>
      <c r="N19" s="166" t="str">
        <f t="shared" si="3"/>
        <v>UAH</v>
      </c>
    </row>
    <row r="20" spans="1:18" x14ac:dyDescent="0.3">
      <c r="A20" s="10">
        <v>3</v>
      </c>
      <c r="B20" s="18" t="s">
        <v>9</v>
      </c>
      <c r="C20" s="10" t="s">
        <v>8</v>
      </c>
      <c r="D20" s="16">
        <f>VLOOKUP(C20,'I.Acreditación Institucional'!$C$4:$K$13,9,0)*$D$16</f>
        <v>269110.56718749995</v>
      </c>
      <c r="E20" s="16">
        <f>VLOOKUP(C20,'II.Doctorados Acreditados'!$C$4:$K$13,9,0)*$E$16</f>
        <v>137345.10606060608</v>
      </c>
      <c r="F20" s="16">
        <f>VLOOKUP(C20,'III. Planta Académica'!$AG$4:$AJ$13,4,0)*$F$16</f>
        <v>87645.878596206705</v>
      </c>
      <c r="G20" s="16">
        <f>VLOOKUP(C20,'IV. Publicaciones por acad.'!$C$4:$G$13,5,0)*$G$16</f>
        <v>126344.81280046228</v>
      </c>
      <c r="H20" s="147">
        <f>VLOOKUP(C20,V.Citas!$C$4:$G$14,5,0)*$H$16</f>
        <v>305851.48062238412</v>
      </c>
      <c r="I20" s="16">
        <f>VLOOKUP(C20,'VI. Proyectos'!$C$5:$E$14,3,0)*$I$16</f>
        <v>131625.5290410959</v>
      </c>
      <c r="J20" s="16">
        <f>(VLOOKUP(C20,'VII. Publicaciones'!$O$5:$R$15,2,0)*$J$16)+(VLOOKUP(C20,'VII. Publicaciones'!$O$5:$R$15,3,0)*$J$16)</f>
        <v>272615.60123842082</v>
      </c>
      <c r="K20" s="163">
        <f t="shared" si="4"/>
        <v>1330538.9755466757</v>
      </c>
      <c r="L20" s="158">
        <f t="shared" si="1"/>
        <v>1330539</v>
      </c>
      <c r="M20" s="159">
        <f t="shared" si="2"/>
        <v>0.14678121701173674</v>
      </c>
      <c r="N20" s="166" t="str">
        <f t="shared" si="3"/>
        <v>UAU</v>
      </c>
    </row>
    <row r="21" spans="1:18" x14ac:dyDescent="0.3">
      <c r="A21" s="10">
        <v>4</v>
      </c>
      <c r="B21" s="18" t="s">
        <v>11</v>
      </c>
      <c r="C21" s="10" t="s">
        <v>10</v>
      </c>
      <c r="D21" s="16">
        <f>VLOOKUP(C21,'I.Acreditación Institucional'!$C$4:$K$13,9,0)*$D$16</f>
        <v>56654.856250000004</v>
      </c>
      <c r="E21" s="16">
        <f>VLOOKUP(C21,'II.Doctorados Acreditados'!$C$4:$K$13,9,0)*$E$16</f>
        <v>0</v>
      </c>
      <c r="F21" s="16">
        <f>VLOOKUP(C21,'III. Planta Académica'!$AG$4:$AJ$13,4,0)*$F$16</f>
        <v>72932.676065047883</v>
      </c>
      <c r="G21" s="16">
        <f>VLOOKUP(C21,'IV. Publicaciones por acad.'!$C$4:$G$13,5,0)*$G$16</f>
        <v>101483.32039547968</v>
      </c>
      <c r="H21" s="147">
        <f>VLOOKUP(C21,V.Citas!$C$4:$G$14,5,0)*$H$16</f>
        <v>109334.90116255208</v>
      </c>
      <c r="I21" s="16">
        <f>VLOOKUP(C21,'VI. Proyectos'!$C$5:$E$14,3,0)*$I$16</f>
        <v>29802.006575342464</v>
      </c>
      <c r="J21" s="16">
        <f>(VLOOKUP(C21,'VII. Publicaciones'!$O$5:$R$15,2,0)*$J$16)+(VLOOKUP(C21,'VII. Publicaciones'!$O$5:$R$15,3,0)*$J$16)</f>
        <v>104151.6216932314</v>
      </c>
      <c r="K21" s="163">
        <f t="shared" si="4"/>
        <v>474359.38214165351</v>
      </c>
      <c r="L21" s="158">
        <f t="shared" si="1"/>
        <v>474359</v>
      </c>
      <c r="M21" s="159">
        <f t="shared" si="2"/>
        <v>5.2329913907424308E-2</v>
      </c>
      <c r="N21" s="166" t="str">
        <f t="shared" si="3"/>
        <v>UFT</v>
      </c>
    </row>
    <row r="22" spans="1:18" x14ac:dyDescent="0.3">
      <c r="A22" s="10">
        <v>5</v>
      </c>
      <c r="B22" s="18" t="s">
        <v>13</v>
      </c>
      <c r="C22" s="10" t="s">
        <v>12</v>
      </c>
      <c r="D22" s="16">
        <f>VLOOKUP(C22,'I.Acreditación Institucional'!$C$4:$K$13,9,0)*$D$16</f>
        <v>56654.856250000004</v>
      </c>
      <c r="E22" s="16">
        <f>VLOOKUP(C22,'II.Doctorados Acreditados'!$C$4:$K$13,9,0)*$E$16</f>
        <v>0</v>
      </c>
      <c r="F22" s="16">
        <f>VLOOKUP(C22,'III. Planta Académica'!$AG$4:$AJ$13,4,0)*$F$16</f>
        <v>65490.161887892107</v>
      </c>
      <c r="G22" s="16">
        <f>VLOOKUP(C22,'IV. Publicaciones por acad.'!$C$4:$G$13,5,0)*$G$16</f>
        <v>75214.825916947681</v>
      </c>
      <c r="H22" s="147">
        <f>VLOOKUP(C22,V.Citas!$C$4:$G$14,5,0)*$H$16</f>
        <v>31166.803665942061</v>
      </c>
      <c r="I22" s="16">
        <f>VLOOKUP(C22,'VI. Proyectos'!$C$5:$E$14,3,0)*$I$16</f>
        <v>24835.005479452055</v>
      </c>
      <c r="J22" s="16">
        <f>(VLOOKUP(C22,'VII. Publicaciones'!$O$5:$R$15,2,0)*$J$16)+(VLOOKUP(C22,'VII. Publicaciones'!$O$5:$R$15,3,0)*$J$16)</f>
        <v>37489.099655148697</v>
      </c>
      <c r="K22" s="163">
        <f t="shared" si="4"/>
        <v>290850.75285538263</v>
      </c>
      <c r="L22" s="158">
        <f t="shared" si="1"/>
        <v>290851</v>
      </c>
      <c r="M22" s="159">
        <f t="shared" si="2"/>
        <v>3.208584171458382E-2</v>
      </c>
      <c r="N22" s="166" t="str">
        <f t="shared" si="3"/>
        <v>AHC</v>
      </c>
    </row>
    <row r="23" spans="1:18" x14ac:dyDescent="0.3">
      <c r="A23" s="10">
        <v>6</v>
      </c>
      <c r="B23" s="18" t="s">
        <v>7</v>
      </c>
      <c r="C23" s="10" t="s">
        <v>6</v>
      </c>
      <c r="D23" s="16">
        <f>VLOOKUP(C23,'I.Acreditación Institucional'!$C$4:$K$13,9,0)*$D$16</f>
        <v>56654.856250000004</v>
      </c>
      <c r="E23" s="16">
        <f>VLOOKUP(C23,'II.Doctorados Acreditados'!$C$4:$K$13,9,0)*$E$16</f>
        <v>82407.063636363644</v>
      </c>
      <c r="F23" s="16">
        <f>VLOOKUP(C23,'III. Planta Académica'!$AG$4:$AJ$13,4,0)*$F$16</f>
        <v>108722.65090522866</v>
      </c>
      <c r="G23" s="16">
        <f>VLOOKUP(C23,'IV. Publicaciones por acad.'!$C$4:$G$13,5,0)*$G$16</f>
        <v>45482.226871412051</v>
      </c>
      <c r="H23" s="147">
        <f>VLOOKUP(C23,V.Citas!$C$4:$G$14,5,0)*$H$16</f>
        <v>45072.188328242308</v>
      </c>
      <c r="I23" s="16">
        <f>VLOOKUP(C23,'VI. Proyectos'!$C$5:$E$14,3,0)*$I$16</f>
        <v>44703.0098630137</v>
      </c>
      <c r="J23" s="16">
        <f>(VLOOKUP(C23,'VII. Publicaciones'!$O$5:$R$15,2,0)*$J$16)+(VLOOKUP(C23,'VII. Publicaciones'!$O$5:$R$15,3,0)*$J$16)</f>
        <v>112331.55222427001</v>
      </c>
      <c r="K23" s="163">
        <f t="shared" si="4"/>
        <v>495373.54807853035</v>
      </c>
      <c r="L23" s="158">
        <f t="shared" si="1"/>
        <v>495374</v>
      </c>
      <c r="M23" s="159">
        <f t="shared" si="2"/>
        <v>5.464822797074876E-2</v>
      </c>
      <c r="N23" s="166" t="str">
        <f t="shared" si="3"/>
        <v>UCS</v>
      </c>
    </row>
    <row r="24" spans="1:18" x14ac:dyDescent="0.3">
      <c r="A24" s="10">
        <v>7</v>
      </c>
      <c r="B24" s="18" t="s">
        <v>86</v>
      </c>
      <c r="C24" s="10" t="s">
        <v>87</v>
      </c>
      <c r="D24" s="16">
        <f>VLOOKUP(C24,'I.Acreditación Institucional'!$C$4:$K$13,9,0)*$D$16</f>
        <v>56654.856250000004</v>
      </c>
      <c r="E24" s="16">
        <f>VLOOKUP(C24,'II.Doctorados Acreditados'!$C$4:$K$13,9,0)*$E$16</f>
        <v>54938.042424242427</v>
      </c>
      <c r="F24" s="16">
        <f>VLOOKUP(C24,'III. Planta Académica'!$AG$4:$AJ$13,4,0)*$F$16</f>
        <v>132579.67812773128</v>
      </c>
      <c r="G24" s="16">
        <f>VLOOKUP(C24,'IV. Publicaciones por acad.'!$C$4:$G$13,5,0)*$G$16</f>
        <v>108996.769965908</v>
      </c>
      <c r="H24" s="147">
        <f>VLOOKUP(C24,V.Citas!$C$4:$G$14,5,0)*$H$16</f>
        <v>111016.21281285724</v>
      </c>
      <c r="I24" s="16">
        <f>VLOOKUP(C24,'VI. Proyectos'!$C$5:$E$14,3,0)*$I$16</f>
        <v>64571.014246575345</v>
      </c>
      <c r="J24" s="16">
        <f>(VLOOKUP(C24,'VII. Publicaciones'!$O$5:$R$15,2,0)*$J$16)+(VLOOKUP(C24,'VII. Publicaciones'!$O$5:$R$15,3,0)*$J$16)</f>
        <v>128744.13863595121</v>
      </c>
      <c r="K24" s="163">
        <f t="shared" si="4"/>
        <v>657500.71246326552</v>
      </c>
      <c r="L24" s="158">
        <f t="shared" si="1"/>
        <v>657501</v>
      </c>
      <c r="M24" s="159">
        <f t="shared" si="2"/>
        <v>7.2533610038062718E-2</v>
      </c>
      <c r="N24" s="166" t="str">
        <f t="shared" si="3"/>
        <v>UBO</v>
      </c>
    </row>
    <row r="25" spans="1:18" x14ac:dyDescent="0.3">
      <c r="A25" s="10">
        <v>8</v>
      </c>
      <c r="B25" s="18" t="s">
        <v>88</v>
      </c>
      <c r="C25" s="10" t="s">
        <v>89</v>
      </c>
      <c r="D25" s="16">
        <f>VLOOKUP(C25,'I.Acreditación Institucional'!$C$4:$K$13,9,0)*$D$16</f>
        <v>269110.56718749995</v>
      </c>
      <c r="E25" s="16">
        <f>VLOOKUP(C25,'II.Doctorados Acreditados'!$C$4:$K$13,9,0)*$E$16</f>
        <v>247221.19090909092</v>
      </c>
      <c r="F25" s="16">
        <f>VLOOKUP(C25,'III. Planta Académica'!$AG$4:$AJ$13,4,0)*$F$16</f>
        <v>60798.916823261949</v>
      </c>
      <c r="G25" s="16">
        <f>VLOOKUP(C25,'IV. Publicaciones por acad.'!$C$4:$G$13,5,0)*$G$16</f>
        <v>73648.755555170705</v>
      </c>
      <c r="H25" s="147">
        <f>VLOOKUP(C25,V.Citas!$C$4:$G$14,5,0)*$H$16</f>
        <v>168846.17951692437</v>
      </c>
      <c r="I25" s="16">
        <f>VLOOKUP(C25,'VI. Proyectos'!$C$5:$E$14,3,0)*$I$16</f>
        <v>146526.53232876715</v>
      </c>
      <c r="J25" s="16">
        <f>(VLOOKUP(C25,'VII. Publicaciones'!$O$5:$R$15,2,0)*$J$16)+(VLOOKUP(C25,'VII. Publicaciones'!$O$5:$R$15,3,0)*$J$16)</f>
        <v>202925.29704463523</v>
      </c>
      <c r="K25" s="163">
        <f t="shared" ref="K25" si="5">SUM(D25:J25)</f>
        <v>1169077.4393653502</v>
      </c>
      <c r="L25" s="158">
        <f t="shared" si="1"/>
        <v>1169077</v>
      </c>
      <c r="M25" s="159">
        <f t="shared" si="2"/>
        <v>0.12896919582246755</v>
      </c>
      <c r="N25" s="166" t="str">
        <f t="shared" ref="N25" si="6">+C25</f>
        <v>UMA</v>
      </c>
    </row>
    <row r="26" spans="1:18" x14ac:dyDescent="0.3">
      <c r="A26" s="10">
        <v>9</v>
      </c>
      <c r="B26" s="18" t="s">
        <v>95</v>
      </c>
      <c r="C26" s="10" t="s">
        <v>94</v>
      </c>
      <c r="D26" s="16">
        <f>VLOOKUP(C26,'I.Acreditación Institucional'!$C$4:$K$13,9,0)*$D$16</f>
        <v>56654.856250000004</v>
      </c>
      <c r="E26" s="16">
        <f>VLOOKUP(C26,'II.Doctorados Acreditados'!$C$4:$K$13,9,0)*$E$16</f>
        <v>54938.042424242427</v>
      </c>
      <c r="F26" s="16">
        <f>VLOOKUP(C26,'III. Planta Académica'!$AG$4:$AJ$13,4,0)*$F$16</f>
        <v>55699.212794782536</v>
      </c>
      <c r="G26" s="16">
        <f>VLOOKUP(C26,'IV. Publicaciones por acad.'!$C$4:$G$13,5,0)*$G$16</f>
        <v>48029.344670569815</v>
      </c>
      <c r="H26" s="147">
        <f>VLOOKUP(C26,V.Citas!$C$4:$G$14,5,0)*$H$16</f>
        <v>98104.789678828281</v>
      </c>
      <c r="I26" s="16">
        <f>VLOOKUP(C26,'VI. Proyectos'!$C$5:$E$14,3,0)*$I$16</f>
        <v>54637.012054794526</v>
      </c>
      <c r="J26" s="16">
        <f>(VLOOKUP(C26,'VII. Publicaciones'!$O$5:$R$15,2,0)*$J$16)+(VLOOKUP(C26,'VII. Publicaciones'!$O$5:$R$15,3,0)*$J$16)</f>
        <v>167038.84261083393</v>
      </c>
      <c r="K26" s="163">
        <f t="shared" ref="K26" si="7">SUM(D26:J26)</f>
        <v>535102.10048405151</v>
      </c>
      <c r="L26" s="158">
        <f>ROUND(K26,0)</f>
        <v>535102</v>
      </c>
      <c r="M26" s="159">
        <f t="shared" si="2"/>
        <v>5.9030906110541938E-2</v>
      </c>
      <c r="N26" s="166" t="str">
        <f>+C26</f>
        <v>UST</v>
      </c>
    </row>
    <row r="27" spans="1:18" x14ac:dyDescent="0.3">
      <c r="A27" s="10">
        <v>10</v>
      </c>
      <c r="B27" s="18" t="s">
        <v>104</v>
      </c>
      <c r="C27" s="10" t="s">
        <v>105</v>
      </c>
      <c r="D27" s="16">
        <f>VLOOKUP(C27,'I.Acreditación Institucional'!$C$4:$K$13,9,0)*$D$16</f>
        <v>56654.856250000004</v>
      </c>
      <c r="E27" s="16">
        <f>VLOOKUP(C27,'II.Doctorados Acreditados'!$C$4:$K$13,9,0)*$E$16</f>
        <v>82407.063636363644</v>
      </c>
      <c r="F27" s="16">
        <f>VLOOKUP(C27,'III. Planta Académica'!$AG$4:$AJ$13,4,0)*$F$16</f>
        <v>75533.765199070025</v>
      </c>
      <c r="G27" s="16">
        <f>VLOOKUP(C27,'IV. Publicaciones por acad.'!$C$4:$G$13,5,0)*$G$16</f>
        <v>43717.830139331403</v>
      </c>
      <c r="H27" s="147">
        <f>VLOOKUP(C27,V.Citas!$C$4:$G$14,5,0)*$H$16</f>
        <v>171761.20084622604</v>
      </c>
      <c r="I27" s="16">
        <f>VLOOKUP(C27,'VI. Proyectos'!$C$5:$E$14,3,0)*$I$16</f>
        <v>47186.510410958908</v>
      </c>
      <c r="J27" s="16">
        <f>(VLOOKUP(C27,'VII. Publicaciones'!$O$5:$R$15,2,0)*$J$16)+(VLOOKUP(C27,'VII. Publicaciones'!$O$5:$R$15,3,0)*$J$16)</f>
        <v>60960.670183056005</v>
      </c>
      <c r="K27" s="163">
        <f t="shared" si="4"/>
        <v>538221.89666500606</v>
      </c>
      <c r="L27" s="158">
        <f t="shared" si="1"/>
        <v>538222</v>
      </c>
      <c r="M27" s="159">
        <f t="shared" si="2"/>
        <v>5.9375095493248209E-2</v>
      </c>
      <c r="N27" s="166" t="str">
        <f t="shared" si="3"/>
        <v>UCE</v>
      </c>
    </row>
    <row r="28" spans="1:18" x14ac:dyDescent="0.3">
      <c r="C28" s="19" t="s">
        <v>14</v>
      </c>
      <c r="D28" s="11">
        <f t="shared" ref="D28:M28" si="8">SUM(D18:D27)</f>
        <v>1812955.3999999994</v>
      </c>
      <c r="E28" s="11">
        <f t="shared" si="8"/>
        <v>1812955.4000000004</v>
      </c>
      <c r="F28" s="11">
        <f t="shared" si="8"/>
        <v>906477.70000000007</v>
      </c>
      <c r="G28" s="11">
        <f t="shared" si="8"/>
        <v>906477.70000000007</v>
      </c>
      <c r="H28" s="11">
        <f t="shared" si="8"/>
        <v>1359716.5499999998</v>
      </c>
      <c r="I28" s="11">
        <f t="shared" si="8"/>
        <v>906477.7</v>
      </c>
      <c r="J28" s="11">
        <f t="shared" si="8"/>
        <v>1359716.5499999998</v>
      </c>
      <c r="K28" s="156">
        <f t="shared" si="8"/>
        <v>9064777</v>
      </c>
      <c r="L28" s="160">
        <f t="shared" si="8"/>
        <v>9064777</v>
      </c>
      <c r="M28" s="161">
        <f t="shared" si="8"/>
        <v>1</v>
      </c>
      <c r="N28" s="167"/>
      <c r="O28" s="71"/>
    </row>
    <row r="29" spans="1:18" ht="14.5" x14ac:dyDescent="0.35">
      <c r="A29" s="74"/>
      <c r="B29" s="74"/>
      <c r="C29" s="74"/>
      <c r="D29" s="74" t="s">
        <v>52</v>
      </c>
      <c r="E29" s="74" t="s">
        <v>53</v>
      </c>
      <c r="F29" s="74" t="s">
        <v>64</v>
      </c>
      <c r="G29" s="74" t="s">
        <v>65</v>
      </c>
      <c r="H29" s="74" t="s">
        <v>66</v>
      </c>
      <c r="I29" s="74" t="s">
        <v>67</v>
      </c>
      <c r="J29" s="74" t="s">
        <v>68</v>
      </c>
      <c r="K29" s="74"/>
      <c r="L29" s="152">
        <f>+C13-L28</f>
        <v>0</v>
      </c>
      <c r="M29" s="74"/>
      <c r="N29" s="74"/>
      <c r="O29" s="74"/>
    </row>
    <row r="30" spans="1:18" ht="14.5" x14ac:dyDescent="0.35">
      <c r="A30"/>
      <c r="B30"/>
      <c r="C30"/>
      <c r="D30" t="s">
        <v>60</v>
      </c>
      <c r="E30" t="s">
        <v>50</v>
      </c>
      <c r="F30" t="s">
        <v>76</v>
      </c>
      <c r="G30" t="s">
        <v>48</v>
      </c>
      <c r="H30" t="s">
        <v>48</v>
      </c>
      <c r="I30" t="s">
        <v>48</v>
      </c>
      <c r="J30" t="s">
        <v>76</v>
      </c>
      <c r="K30"/>
      <c r="L30"/>
      <c r="M30"/>
      <c r="N30"/>
      <c r="O30"/>
      <c r="P30"/>
      <c r="Q30"/>
      <c r="R30"/>
    </row>
  </sheetData>
  <mergeCells count="4">
    <mergeCell ref="C12:D12"/>
    <mergeCell ref="C10:D10"/>
    <mergeCell ref="C13:D13"/>
    <mergeCell ref="C11:D11"/>
  </mergeCells>
  <phoneticPr fontId="19" type="noConversion"/>
  <pageMargins left="0.31496062992125984" right="0.31496062992125984" top="0.74803149606299213" bottom="0.74803149606299213" header="0.31496062992125984" footer="0.31496062992125984"/>
  <pageSetup paperSize="14" scale="77" orientation="landscape" r:id="rId1"/>
  <headerFooter>
    <oddFooter>Página &amp;P&amp;RCálculo_FI_2023 UdA (mar2023)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59F0-F738-4FBF-862F-E4692F81F592}">
  <sheetPr>
    <tabColor theme="8" tint="0.59999389629810485"/>
    <pageSetUpPr fitToPage="1"/>
  </sheetPr>
  <dimension ref="A1:K16"/>
  <sheetViews>
    <sheetView zoomScale="80" zoomScaleNormal="80" workbookViewId="0">
      <selection activeCell="E7" sqref="E7"/>
    </sheetView>
  </sheetViews>
  <sheetFormatPr baseColWidth="10" defaultRowHeight="14.5" x14ac:dyDescent="0.35"/>
  <cols>
    <col min="1" max="1" width="3.453125" customWidth="1"/>
    <col min="2" max="2" width="37.54296875" bestFit="1" customWidth="1"/>
    <col min="4" max="4" width="12" customWidth="1"/>
    <col min="5" max="6" width="10.453125" customWidth="1"/>
    <col min="7" max="9" width="11.453125" customWidth="1"/>
    <col min="10" max="10" width="14.7265625" bestFit="1" customWidth="1"/>
    <col min="11" max="11" width="10.81640625" customWidth="1"/>
  </cols>
  <sheetData>
    <row r="1" spans="1:11" x14ac:dyDescent="0.35">
      <c r="C1" s="20">
        <v>1</v>
      </c>
      <c r="D1" s="20">
        <v>2</v>
      </c>
      <c r="E1" s="20">
        <v>3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0">
        <v>9</v>
      </c>
    </row>
    <row r="2" spans="1:11" x14ac:dyDescent="0.35">
      <c r="D2" s="173" t="s">
        <v>106</v>
      </c>
      <c r="E2" s="173"/>
      <c r="F2" s="173"/>
      <c r="G2" s="105">
        <v>0.4</v>
      </c>
      <c r="H2" s="105">
        <v>0.4</v>
      </c>
      <c r="I2" s="105">
        <v>0.2</v>
      </c>
      <c r="J2" s="100"/>
      <c r="K2" s="101"/>
    </row>
    <row r="3" spans="1:11" ht="39" x14ac:dyDescent="0.35">
      <c r="A3" s="17" t="s">
        <v>20</v>
      </c>
      <c r="B3" s="4" t="s">
        <v>1</v>
      </c>
      <c r="C3" s="57" t="s">
        <v>0</v>
      </c>
      <c r="D3" s="14" t="s">
        <v>96</v>
      </c>
      <c r="E3" s="14" t="s">
        <v>25</v>
      </c>
      <c r="F3" s="14" t="s">
        <v>97</v>
      </c>
      <c r="G3" s="14" t="s">
        <v>34</v>
      </c>
      <c r="H3" s="14" t="s">
        <v>33</v>
      </c>
      <c r="I3" s="14" t="s">
        <v>35</v>
      </c>
      <c r="J3" s="14" t="s">
        <v>93</v>
      </c>
      <c r="K3" s="65" t="s">
        <v>75</v>
      </c>
    </row>
    <row r="4" spans="1:11" x14ac:dyDescent="0.35">
      <c r="A4" s="10">
        <v>1</v>
      </c>
      <c r="B4" s="18" t="s">
        <v>3</v>
      </c>
      <c r="C4" s="58" t="s">
        <v>2</v>
      </c>
      <c r="D4" s="89">
        <v>1</v>
      </c>
      <c r="E4" s="89">
        <v>5</v>
      </c>
      <c r="F4" s="89">
        <v>5</v>
      </c>
      <c r="G4" s="90">
        <f>IF(D4=1,100,0)</f>
        <v>100</v>
      </c>
      <c r="H4" s="90">
        <f>IF(E4=5,100,0)</f>
        <v>100</v>
      </c>
      <c r="I4" s="91">
        <f>F4*100/7</f>
        <v>71.428571428571431</v>
      </c>
      <c r="J4" s="91">
        <f>G4*$G$2+H4*$H$2+I4*$I$2</f>
        <v>94.285714285714292</v>
      </c>
      <c r="K4" s="66">
        <f t="shared" ref="K4:K13" si="0">+J4/$J$14</f>
        <v>0.25781249999999994</v>
      </c>
    </row>
    <row r="5" spans="1:11" x14ac:dyDescent="0.35">
      <c r="A5" s="10">
        <v>2</v>
      </c>
      <c r="B5" s="18" t="s">
        <v>5</v>
      </c>
      <c r="C5" s="58" t="s">
        <v>4</v>
      </c>
      <c r="D5" s="89">
        <v>1</v>
      </c>
      <c r="E5" s="89">
        <v>5</v>
      </c>
      <c r="F5" s="89">
        <v>5</v>
      </c>
      <c r="G5" s="90">
        <f t="shared" ref="G5:G11" si="1">IF(D5=1,100,0)</f>
        <v>100</v>
      </c>
      <c r="H5" s="90">
        <f t="shared" ref="H5:H11" si="2">IF(E5=5,100,0)</f>
        <v>100</v>
      </c>
      <c r="I5" s="91">
        <f t="shared" ref="I5:I11" si="3">F5*100/7</f>
        <v>71.428571428571431</v>
      </c>
      <c r="J5" s="91">
        <f t="shared" ref="J5:J13" si="4">G5*$G$2+H5*$H$2+I5*$I$2</f>
        <v>94.285714285714292</v>
      </c>
      <c r="K5" s="66">
        <f t="shared" si="0"/>
        <v>0.25781249999999994</v>
      </c>
    </row>
    <row r="6" spans="1:11" x14ac:dyDescent="0.35">
      <c r="A6" s="10">
        <v>3</v>
      </c>
      <c r="B6" s="18" t="s">
        <v>7</v>
      </c>
      <c r="C6" s="58" t="s">
        <v>6</v>
      </c>
      <c r="D6" s="89">
        <v>0</v>
      </c>
      <c r="E6" s="89">
        <v>3</v>
      </c>
      <c r="F6" s="89">
        <v>4</v>
      </c>
      <c r="G6" s="90">
        <f t="shared" si="1"/>
        <v>0</v>
      </c>
      <c r="H6" s="90">
        <f t="shared" si="2"/>
        <v>0</v>
      </c>
      <c r="I6" s="91">
        <f t="shared" si="3"/>
        <v>57.142857142857146</v>
      </c>
      <c r="J6" s="91">
        <f t="shared" si="4"/>
        <v>11.428571428571431</v>
      </c>
      <c r="K6" s="66">
        <f t="shared" si="0"/>
        <v>3.125E-2</v>
      </c>
    </row>
    <row r="7" spans="1:11" x14ac:dyDescent="0.35">
      <c r="A7" s="10">
        <v>4</v>
      </c>
      <c r="B7" s="18" t="s">
        <v>9</v>
      </c>
      <c r="C7" s="58" t="s">
        <v>8</v>
      </c>
      <c r="D7" s="89">
        <v>1</v>
      </c>
      <c r="E7" s="89">
        <v>4</v>
      </c>
      <c r="F7" s="89">
        <v>5</v>
      </c>
      <c r="G7" s="90">
        <f t="shared" si="1"/>
        <v>100</v>
      </c>
      <c r="H7" s="90">
        <f t="shared" si="2"/>
        <v>0</v>
      </c>
      <c r="I7" s="91">
        <f t="shared" si="3"/>
        <v>71.428571428571431</v>
      </c>
      <c r="J7" s="91">
        <f t="shared" si="4"/>
        <v>54.285714285714285</v>
      </c>
      <c r="K7" s="66">
        <f t="shared" si="0"/>
        <v>0.14843749999999997</v>
      </c>
    </row>
    <row r="8" spans="1:11" x14ac:dyDescent="0.35">
      <c r="A8" s="10">
        <v>5</v>
      </c>
      <c r="B8" s="18" t="s">
        <v>11</v>
      </c>
      <c r="C8" s="58" t="s">
        <v>10</v>
      </c>
      <c r="D8" s="89">
        <v>0</v>
      </c>
      <c r="E8" s="89">
        <v>3</v>
      </c>
      <c r="F8" s="89">
        <v>4</v>
      </c>
      <c r="G8" s="90">
        <f t="shared" si="1"/>
        <v>0</v>
      </c>
      <c r="H8" s="90">
        <f t="shared" si="2"/>
        <v>0</v>
      </c>
      <c r="I8" s="91">
        <f t="shared" si="3"/>
        <v>57.142857142857146</v>
      </c>
      <c r="J8" s="91">
        <f t="shared" si="4"/>
        <v>11.428571428571431</v>
      </c>
      <c r="K8" s="66">
        <f t="shared" si="0"/>
        <v>3.125E-2</v>
      </c>
    </row>
    <row r="9" spans="1:11" x14ac:dyDescent="0.35">
      <c r="A9" s="10">
        <v>6</v>
      </c>
      <c r="B9" s="18" t="s">
        <v>13</v>
      </c>
      <c r="C9" s="58" t="s">
        <v>12</v>
      </c>
      <c r="D9" s="89">
        <v>0</v>
      </c>
      <c r="E9" s="89">
        <v>3</v>
      </c>
      <c r="F9" s="89">
        <v>4</v>
      </c>
      <c r="G9" s="90">
        <f t="shared" si="1"/>
        <v>0</v>
      </c>
      <c r="H9" s="90">
        <f t="shared" si="2"/>
        <v>0</v>
      </c>
      <c r="I9" s="91">
        <f t="shared" si="3"/>
        <v>57.142857142857146</v>
      </c>
      <c r="J9" s="91">
        <f t="shared" si="4"/>
        <v>11.428571428571431</v>
      </c>
      <c r="K9" s="66">
        <f t="shared" si="0"/>
        <v>3.125E-2</v>
      </c>
    </row>
    <row r="10" spans="1:11" x14ac:dyDescent="0.35">
      <c r="A10" s="10">
        <v>7</v>
      </c>
      <c r="B10" s="18" t="s">
        <v>86</v>
      </c>
      <c r="C10" s="58" t="s">
        <v>87</v>
      </c>
      <c r="D10" s="89">
        <v>0</v>
      </c>
      <c r="E10" s="89">
        <v>3</v>
      </c>
      <c r="F10" s="89">
        <v>4</v>
      </c>
      <c r="G10" s="90">
        <f t="shared" si="1"/>
        <v>0</v>
      </c>
      <c r="H10" s="90">
        <f t="shared" si="2"/>
        <v>0</v>
      </c>
      <c r="I10" s="91">
        <f t="shared" si="3"/>
        <v>57.142857142857146</v>
      </c>
      <c r="J10" s="91">
        <f t="shared" si="4"/>
        <v>11.428571428571431</v>
      </c>
      <c r="K10" s="66">
        <f t="shared" si="0"/>
        <v>3.125E-2</v>
      </c>
    </row>
    <row r="11" spans="1:11" x14ac:dyDescent="0.35">
      <c r="A11" s="10">
        <v>8</v>
      </c>
      <c r="B11" s="18" t="s">
        <v>88</v>
      </c>
      <c r="C11" s="58" t="s">
        <v>89</v>
      </c>
      <c r="D11" s="89">
        <v>1</v>
      </c>
      <c r="E11" s="89">
        <v>4</v>
      </c>
      <c r="F11" s="89">
        <v>5</v>
      </c>
      <c r="G11" s="90">
        <f t="shared" si="1"/>
        <v>100</v>
      </c>
      <c r="H11" s="90">
        <f t="shared" si="2"/>
        <v>0</v>
      </c>
      <c r="I11" s="91">
        <f t="shared" si="3"/>
        <v>71.428571428571431</v>
      </c>
      <c r="J11" s="91">
        <f t="shared" si="4"/>
        <v>54.285714285714285</v>
      </c>
      <c r="K11" s="66">
        <f t="shared" si="0"/>
        <v>0.14843749999999997</v>
      </c>
    </row>
    <row r="12" spans="1:11" x14ac:dyDescent="0.35">
      <c r="A12" s="10">
        <v>9</v>
      </c>
      <c r="B12" s="18" t="s">
        <v>95</v>
      </c>
      <c r="C12" s="58" t="s">
        <v>94</v>
      </c>
      <c r="D12" s="89">
        <v>0</v>
      </c>
      <c r="E12" s="89">
        <v>2</v>
      </c>
      <c r="F12" s="89">
        <v>4</v>
      </c>
      <c r="G12" s="90">
        <f>IF(D12=1,100,0)</f>
        <v>0</v>
      </c>
      <c r="H12" s="90">
        <f>IF(E12=5,100,0)</f>
        <v>0</v>
      </c>
      <c r="I12" s="91">
        <f>F12*100/7</f>
        <v>57.142857142857146</v>
      </c>
      <c r="J12" s="91">
        <f>G12*$G$2+H12*$H$2+I12*$I$2</f>
        <v>11.428571428571431</v>
      </c>
      <c r="K12" s="66">
        <f t="shared" si="0"/>
        <v>3.125E-2</v>
      </c>
    </row>
    <row r="13" spans="1:11" x14ac:dyDescent="0.35">
      <c r="A13" s="10">
        <v>10</v>
      </c>
      <c r="B13" s="18" t="s">
        <v>104</v>
      </c>
      <c r="C13" s="58" t="s">
        <v>105</v>
      </c>
      <c r="D13" s="89">
        <v>0</v>
      </c>
      <c r="E13" s="89">
        <v>3</v>
      </c>
      <c r="F13" s="89">
        <v>4</v>
      </c>
      <c r="G13" s="90">
        <f t="shared" ref="G13" si="5">IF(D13=1,100,0)</f>
        <v>0</v>
      </c>
      <c r="H13" s="90">
        <f t="shared" ref="H13" si="6">IF(E13=5,100,0)</f>
        <v>0</v>
      </c>
      <c r="I13" s="91">
        <f t="shared" ref="I13" si="7">F13*100/7</f>
        <v>57.142857142857146</v>
      </c>
      <c r="J13" s="91">
        <f t="shared" si="4"/>
        <v>11.428571428571431</v>
      </c>
      <c r="K13" s="66">
        <f t="shared" si="0"/>
        <v>3.125E-2</v>
      </c>
    </row>
    <row r="14" spans="1:11" x14ac:dyDescent="0.35">
      <c r="A14" s="13"/>
      <c r="B14" s="13"/>
      <c r="C14" s="93" t="s">
        <v>14</v>
      </c>
      <c r="D14" s="19">
        <f>SUM(D4:D13)</f>
        <v>4</v>
      </c>
      <c r="E14" s="19">
        <f t="shared" ref="E14:F14" si="8">SUM(E4:E13)</f>
        <v>35</v>
      </c>
      <c r="F14" s="19">
        <f t="shared" si="8"/>
        <v>44</v>
      </c>
      <c r="G14" s="168">
        <f>SUM(G4:G13)</f>
        <v>400</v>
      </c>
      <c r="H14" s="90">
        <f>SUM(H4:H13)</f>
        <v>200</v>
      </c>
      <c r="I14" s="91">
        <f>SUM(I4:I13)</f>
        <v>628.57142857142856</v>
      </c>
      <c r="J14" s="91">
        <f>SUM(J4:J13)</f>
        <v>365.71428571428578</v>
      </c>
      <c r="K14" s="67">
        <f>SUM(K4:K13)</f>
        <v>0.99999999999999989</v>
      </c>
    </row>
    <row r="16" spans="1:11" x14ac:dyDescent="0.35">
      <c r="D16" t="s">
        <v>45</v>
      </c>
      <c r="E16" t="s">
        <v>45</v>
      </c>
      <c r="F16" t="s">
        <v>45</v>
      </c>
      <c r="G16" t="s">
        <v>46</v>
      </c>
      <c r="H16" t="s">
        <v>47</v>
      </c>
      <c r="I16" t="s">
        <v>48</v>
      </c>
      <c r="J16" t="s">
        <v>74</v>
      </c>
      <c r="K16" t="s">
        <v>51</v>
      </c>
    </row>
  </sheetData>
  <mergeCells count="1">
    <mergeCell ref="D2:F2"/>
  </mergeCells>
  <pageMargins left="0.70866141732283472" right="0.70866141732283472" top="0.74803149606299213" bottom="0.74803149606299213" header="0.31496062992125984" footer="0.31496062992125984"/>
  <pageSetup paperSize="14" scale="99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FA8-87F9-49E4-ADD6-7341A1B9CFD1}">
  <sheetPr>
    <tabColor theme="8" tint="0.59999389629810485"/>
  </sheetPr>
  <dimension ref="A1:L18"/>
  <sheetViews>
    <sheetView zoomScale="90" zoomScaleNormal="90" workbookViewId="0">
      <selection activeCell="J6" sqref="J6"/>
    </sheetView>
  </sheetViews>
  <sheetFormatPr baseColWidth="10" defaultRowHeight="14.5" x14ac:dyDescent="0.35"/>
  <cols>
    <col min="1" max="1" width="2.81640625" bestFit="1" customWidth="1"/>
    <col min="2" max="2" width="37.54296875" bestFit="1" customWidth="1"/>
    <col min="4" max="4" width="10.453125" customWidth="1"/>
    <col min="5" max="5" width="10.81640625" customWidth="1"/>
    <col min="6" max="6" width="10.54296875" customWidth="1"/>
    <col min="7" max="8" width="10.453125" customWidth="1"/>
    <col min="9" max="9" width="10" customWidth="1"/>
  </cols>
  <sheetData>
    <row r="1" spans="1:12" x14ac:dyDescent="0.35">
      <c r="C1" s="21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1">
        <v>7</v>
      </c>
      <c r="J1" s="21">
        <v>8</v>
      </c>
      <c r="K1" s="21">
        <v>9</v>
      </c>
    </row>
    <row r="2" spans="1:12" x14ac:dyDescent="0.35">
      <c r="B2" s="75"/>
      <c r="D2" s="23">
        <v>2</v>
      </c>
      <c r="E2" s="23">
        <v>3</v>
      </c>
      <c r="F2" s="23">
        <v>4</v>
      </c>
      <c r="G2" s="23">
        <v>5</v>
      </c>
      <c r="H2" s="23">
        <v>6</v>
      </c>
    </row>
    <row r="3" spans="1:12" ht="52" x14ac:dyDescent="0.35">
      <c r="A3" s="17" t="s">
        <v>20</v>
      </c>
      <c r="B3" s="4" t="s">
        <v>1</v>
      </c>
      <c r="C3" s="57" t="s">
        <v>0</v>
      </c>
      <c r="D3" s="14" t="s">
        <v>69</v>
      </c>
      <c r="E3" s="14" t="s">
        <v>70</v>
      </c>
      <c r="F3" s="14" t="s">
        <v>71</v>
      </c>
      <c r="G3" s="14" t="s">
        <v>72</v>
      </c>
      <c r="H3" s="14" t="s">
        <v>82</v>
      </c>
      <c r="I3" s="14" t="s">
        <v>73</v>
      </c>
      <c r="J3" s="14" t="s">
        <v>107</v>
      </c>
      <c r="K3" s="65" t="s">
        <v>44</v>
      </c>
    </row>
    <row r="4" spans="1:12" x14ac:dyDescent="0.35">
      <c r="A4" s="10">
        <v>1</v>
      </c>
      <c r="B4" s="18" t="s">
        <v>3</v>
      </c>
      <c r="C4" s="58" t="s">
        <v>2</v>
      </c>
      <c r="D4" s="10">
        <v>0</v>
      </c>
      <c r="E4" s="10">
        <v>3</v>
      </c>
      <c r="F4" s="10">
        <v>1</v>
      </c>
      <c r="G4" s="10">
        <v>1</v>
      </c>
      <c r="H4" s="10">
        <v>1</v>
      </c>
      <c r="I4" s="10">
        <v>6</v>
      </c>
      <c r="J4" s="164">
        <f t="shared" ref="J4:J13" si="0">IFERROR((D4*$D$2+E4*$E$2+F4*$F$2+G4*$G$2+H4*$H$2),0)</f>
        <v>24</v>
      </c>
      <c r="K4" s="68">
        <f t="shared" ref="K4:K13" si="1">J4/$J$14</f>
        <v>0.36363636363636365</v>
      </c>
      <c r="L4" s="55"/>
    </row>
    <row r="5" spans="1:12" x14ac:dyDescent="0.35">
      <c r="A5" s="10">
        <v>2</v>
      </c>
      <c r="B5" s="18" t="s">
        <v>5</v>
      </c>
      <c r="C5" s="58" t="s">
        <v>4</v>
      </c>
      <c r="D5" s="10">
        <v>0</v>
      </c>
      <c r="E5" s="10">
        <v>1</v>
      </c>
      <c r="F5" s="10">
        <v>1</v>
      </c>
      <c r="G5" s="10">
        <v>1</v>
      </c>
      <c r="H5" s="10">
        <v>1</v>
      </c>
      <c r="I5" s="10">
        <v>4</v>
      </c>
      <c r="J5" s="164">
        <f t="shared" si="0"/>
        <v>18</v>
      </c>
      <c r="K5" s="68">
        <f t="shared" si="1"/>
        <v>0.27272727272727271</v>
      </c>
      <c r="L5" s="55"/>
    </row>
    <row r="6" spans="1:12" x14ac:dyDescent="0.35">
      <c r="A6" s="10">
        <v>3</v>
      </c>
      <c r="B6" s="18" t="s">
        <v>7</v>
      </c>
      <c r="C6" s="58" t="s">
        <v>6</v>
      </c>
      <c r="D6" s="10">
        <v>0</v>
      </c>
      <c r="E6" s="10">
        <v>1</v>
      </c>
      <c r="F6" s="10">
        <v>0</v>
      </c>
      <c r="G6" s="10">
        <v>0</v>
      </c>
      <c r="H6" s="10">
        <v>0</v>
      </c>
      <c r="I6" s="10">
        <v>1</v>
      </c>
      <c r="J6" s="164">
        <f t="shared" si="0"/>
        <v>3</v>
      </c>
      <c r="K6" s="68">
        <f t="shared" si="1"/>
        <v>4.5454545454545456E-2</v>
      </c>
      <c r="L6" s="55"/>
    </row>
    <row r="7" spans="1:12" x14ac:dyDescent="0.35">
      <c r="A7" s="10">
        <v>4</v>
      </c>
      <c r="B7" s="18" t="s">
        <v>9</v>
      </c>
      <c r="C7" s="58" t="s">
        <v>8</v>
      </c>
      <c r="D7" s="10">
        <v>0</v>
      </c>
      <c r="E7" s="10">
        <v>0</v>
      </c>
      <c r="F7" s="10">
        <v>0</v>
      </c>
      <c r="G7" s="10">
        <v>1</v>
      </c>
      <c r="H7" s="10">
        <v>0</v>
      </c>
      <c r="I7" s="10">
        <v>1</v>
      </c>
      <c r="J7" s="164">
        <f t="shared" si="0"/>
        <v>5</v>
      </c>
      <c r="K7" s="68">
        <f t="shared" si="1"/>
        <v>7.575757575757576E-2</v>
      </c>
      <c r="L7" s="55"/>
    </row>
    <row r="8" spans="1:12" x14ac:dyDescent="0.35">
      <c r="A8" s="10">
        <v>5</v>
      </c>
      <c r="B8" s="18" t="s">
        <v>11</v>
      </c>
      <c r="C8" s="58" t="s">
        <v>10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64">
        <f t="shared" si="0"/>
        <v>0</v>
      </c>
      <c r="K8" s="68">
        <f t="shared" si="1"/>
        <v>0</v>
      </c>
      <c r="L8" s="55"/>
    </row>
    <row r="9" spans="1:12" x14ac:dyDescent="0.35">
      <c r="A9" s="10">
        <v>6</v>
      </c>
      <c r="B9" s="18" t="s">
        <v>13</v>
      </c>
      <c r="C9" s="58" t="s">
        <v>12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64">
        <f t="shared" si="0"/>
        <v>0</v>
      </c>
      <c r="K9" s="68">
        <f t="shared" si="1"/>
        <v>0</v>
      </c>
      <c r="L9" s="55"/>
    </row>
    <row r="10" spans="1:12" x14ac:dyDescent="0.35">
      <c r="A10" s="10">
        <v>7</v>
      </c>
      <c r="B10" s="18" t="s">
        <v>86</v>
      </c>
      <c r="C10" s="58" t="s">
        <v>87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64">
        <f t="shared" si="0"/>
        <v>2</v>
      </c>
      <c r="K10" s="68">
        <f t="shared" si="1"/>
        <v>3.0303030303030304E-2</v>
      </c>
      <c r="L10" s="55"/>
    </row>
    <row r="11" spans="1:12" x14ac:dyDescent="0.35">
      <c r="A11" s="10">
        <v>8</v>
      </c>
      <c r="B11" s="18" t="s">
        <v>88</v>
      </c>
      <c r="C11" s="58" t="s">
        <v>89</v>
      </c>
      <c r="D11" s="10">
        <v>1</v>
      </c>
      <c r="E11" s="10">
        <v>1</v>
      </c>
      <c r="F11" s="10">
        <v>1</v>
      </c>
      <c r="G11" s="10">
        <v>0</v>
      </c>
      <c r="H11" s="10">
        <v>0</v>
      </c>
      <c r="I11" s="10">
        <v>3</v>
      </c>
      <c r="J11" s="164">
        <f t="shared" si="0"/>
        <v>9</v>
      </c>
      <c r="K11" s="68">
        <f t="shared" si="1"/>
        <v>0.13636363636363635</v>
      </c>
      <c r="L11" s="55"/>
    </row>
    <row r="12" spans="1:12" x14ac:dyDescent="0.35">
      <c r="A12" s="10">
        <v>9</v>
      </c>
      <c r="B12" s="18" t="s">
        <v>95</v>
      </c>
      <c r="C12" s="58" t="s">
        <v>94</v>
      </c>
      <c r="D12" s="10">
        <v>1</v>
      </c>
      <c r="E12" s="10">
        <v>0</v>
      </c>
      <c r="F12" s="10">
        <v>0</v>
      </c>
      <c r="G12" s="10">
        <v>0</v>
      </c>
      <c r="H12" s="10">
        <v>0</v>
      </c>
      <c r="I12" s="10">
        <v>1</v>
      </c>
      <c r="J12" s="164">
        <f>IFERROR((D12*$D$2+E12*$E$2+F12*$F$2+G12*$G$2+H12*$H$2),0)</f>
        <v>2</v>
      </c>
      <c r="K12" s="68">
        <f t="shared" si="1"/>
        <v>3.0303030303030304E-2</v>
      </c>
      <c r="L12" s="55"/>
    </row>
    <row r="13" spans="1:12" x14ac:dyDescent="0.35">
      <c r="A13" s="10">
        <v>10</v>
      </c>
      <c r="B13" s="18" t="s">
        <v>104</v>
      </c>
      <c r="C13" s="58" t="s">
        <v>105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1</v>
      </c>
      <c r="J13" s="164">
        <f t="shared" si="0"/>
        <v>3</v>
      </c>
      <c r="K13" s="68">
        <f t="shared" si="1"/>
        <v>4.5454545454545456E-2</v>
      </c>
      <c r="L13" s="55"/>
    </row>
    <row r="14" spans="1:12" x14ac:dyDescent="0.35">
      <c r="A14" s="13"/>
      <c r="B14" s="13"/>
      <c r="C14" s="93" t="s">
        <v>14</v>
      </c>
      <c r="D14" s="19">
        <f>SUM(D4:D13)</f>
        <v>3</v>
      </c>
      <c r="E14" s="19">
        <f t="shared" ref="E14:H14" si="2">SUM(E4:E13)</f>
        <v>7</v>
      </c>
      <c r="F14" s="19">
        <f t="shared" si="2"/>
        <v>3</v>
      </c>
      <c r="G14" s="19">
        <f t="shared" si="2"/>
        <v>3</v>
      </c>
      <c r="H14" s="19">
        <f t="shared" si="2"/>
        <v>2</v>
      </c>
      <c r="I14" s="19">
        <f>SUM(I4:I13)</f>
        <v>18</v>
      </c>
      <c r="J14" s="94">
        <f>SUM(J4:J13)</f>
        <v>66</v>
      </c>
      <c r="K14" s="69">
        <f>SUM(K4:K13)</f>
        <v>0.99999999999999989</v>
      </c>
      <c r="L14" s="55"/>
    </row>
    <row r="15" spans="1:12" x14ac:dyDescent="0.35">
      <c r="J15" s="12"/>
      <c r="K15" s="12"/>
    </row>
    <row r="16" spans="1:12" x14ac:dyDescent="0.35">
      <c r="D16" t="s">
        <v>45</v>
      </c>
      <c r="E16" t="s">
        <v>45</v>
      </c>
      <c r="F16" t="s">
        <v>45</v>
      </c>
      <c r="G16" t="s">
        <v>45</v>
      </c>
      <c r="H16" t="s">
        <v>45</v>
      </c>
      <c r="J16" s="12" t="s">
        <v>47</v>
      </c>
      <c r="K16" s="12" t="s">
        <v>49</v>
      </c>
    </row>
    <row r="17" spans="3:11" x14ac:dyDescent="0.35">
      <c r="D17" t="s">
        <v>46</v>
      </c>
      <c r="E17" t="s">
        <v>46</v>
      </c>
      <c r="F17" t="s">
        <v>46</v>
      </c>
      <c r="G17" t="s">
        <v>46</v>
      </c>
      <c r="H17" t="s">
        <v>46</v>
      </c>
      <c r="J17" s="12" t="s">
        <v>48</v>
      </c>
      <c r="K17" s="54"/>
    </row>
    <row r="18" spans="3:11" x14ac:dyDescent="0.35">
      <c r="C18" s="21"/>
      <c r="D18" s="21"/>
      <c r="E18" s="21"/>
      <c r="F18" s="21"/>
      <c r="G18" s="21"/>
      <c r="H18" s="21"/>
      <c r="I18" s="21"/>
      <c r="J18" s="21"/>
      <c r="K18" s="21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F74C-FE09-414F-8679-BC0851566780}">
  <sheetPr>
    <tabColor theme="8" tint="0.59999389629810485"/>
    <pageSetUpPr fitToPage="1"/>
  </sheetPr>
  <dimension ref="A1:AJ17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L4" sqref="AL4"/>
    </sheetView>
  </sheetViews>
  <sheetFormatPr baseColWidth="10" defaultRowHeight="14.5" x14ac:dyDescent="0.35"/>
  <cols>
    <col min="1" max="1" width="2.81640625" bestFit="1" customWidth="1"/>
    <col min="2" max="2" width="32" bestFit="1" customWidth="1"/>
    <col min="3" max="3" width="8.54296875" bestFit="1" customWidth="1"/>
    <col min="4" max="17" width="8.26953125" customWidth="1"/>
    <col min="18" max="18" width="4" customWidth="1"/>
    <col min="20" max="20" width="4" customWidth="1"/>
    <col min="22" max="24" width="10.7265625" style="85" customWidth="1"/>
    <col min="25" max="25" width="10.7265625" customWidth="1"/>
    <col min="29" max="29" width="9.26953125" bestFit="1" customWidth="1"/>
    <col min="30" max="30" width="12.54296875" customWidth="1"/>
    <col min="32" max="32" width="2" customWidth="1"/>
    <col min="33" max="33" width="6.54296875" bestFit="1" customWidth="1"/>
  </cols>
  <sheetData>
    <row r="1" spans="1:36" x14ac:dyDescent="0.35">
      <c r="U1" s="21"/>
      <c r="V1" s="20"/>
      <c r="W1" s="20"/>
      <c r="X1" s="20"/>
      <c r="Y1" s="21"/>
      <c r="Z1" s="21"/>
      <c r="AA1" s="21"/>
      <c r="AB1" s="21"/>
      <c r="AC1" s="21"/>
      <c r="AD1" s="21"/>
      <c r="AE1" s="21"/>
      <c r="AF1" s="21"/>
      <c r="AG1" s="21">
        <v>1</v>
      </c>
      <c r="AH1" s="21">
        <v>2</v>
      </c>
      <c r="AI1" s="21">
        <v>3</v>
      </c>
      <c r="AJ1" s="21">
        <v>4</v>
      </c>
    </row>
    <row r="2" spans="1:36" ht="15" thickBot="1" x14ac:dyDescent="0.4">
      <c r="C2" s="86">
        <v>1</v>
      </c>
      <c r="D2" s="86">
        <v>2</v>
      </c>
      <c r="E2" s="86">
        <v>3</v>
      </c>
      <c r="F2" s="86">
        <v>4</v>
      </c>
      <c r="G2" s="86">
        <v>5</v>
      </c>
      <c r="H2" s="86">
        <v>6</v>
      </c>
      <c r="I2" s="86">
        <v>7</v>
      </c>
      <c r="J2" s="86">
        <v>8</v>
      </c>
      <c r="K2" s="86">
        <v>9</v>
      </c>
      <c r="L2" s="86">
        <v>10</v>
      </c>
      <c r="M2" s="86">
        <v>11</v>
      </c>
      <c r="N2" s="86">
        <v>12</v>
      </c>
      <c r="O2" s="86">
        <v>13</v>
      </c>
      <c r="P2" s="86">
        <v>14</v>
      </c>
      <c r="Q2" s="86">
        <v>15</v>
      </c>
      <c r="R2" s="86">
        <v>16</v>
      </c>
      <c r="S2" s="86">
        <v>17</v>
      </c>
      <c r="Y2" s="174"/>
      <c r="Z2" s="174"/>
      <c r="AA2" s="174"/>
      <c r="AB2" s="174"/>
      <c r="AC2" s="174"/>
      <c r="AD2" s="174"/>
      <c r="AE2" s="174"/>
      <c r="AF2" s="23"/>
      <c r="AH2">
        <v>0.7</v>
      </c>
      <c r="AI2">
        <v>0.3</v>
      </c>
    </row>
    <row r="3" spans="1:36" ht="104.5" thickBot="1" x14ac:dyDescent="0.4">
      <c r="A3" s="9" t="s">
        <v>20</v>
      </c>
      <c r="B3" s="9" t="s">
        <v>24</v>
      </c>
      <c r="C3" s="30" t="s">
        <v>26</v>
      </c>
      <c r="D3" s="37" t="s">
        <v>31</v>
      </c>
      <c r="E3" s="38" t="s">
        <v>32</v>
      </c>
      <c r="F3" s="37" t="s">
        <v>27</v>
      </c>
      <c r="G3" s="38" t="s">
        <v>28</v>
      </c>
      <c r="H3" s="37" t="s">
        <v>29</v>
      </c>
      <c r="I3" s="38" t="s">
        <v>30</v>
      </c>
      <c r="J3" s="37" t="s">
        <v>84</v>
      </c>
      <c r="K3" s="38" t="s">
        <v>83</v>
      </c>
      <c r="L3" s="37" t="s">
        <v>91</v>
      </c>
      <c r="M3" s="38" t="s">
        <v>90</v>
      </c>
      <c r="N3" s="37" t="s">
        <v>102</v>
      </c>
      <c r="O3" s="38" t="s">
        <v>103</v>
      </c>
      <c r="P3" s="37" t="s">
        <v>108</v>
      </c>
      <c r="Q3" s="38" t="s">
        <v>109</v>
      </c>
      <c r="S3" s="76" t="s">
        <v>110</v>
      </c>
      <c r="U3" s="39" t="s">
        <v>0</v>
      </c>
      <c r="V3" s="78" t="s">
        <v>100</v>
      </c>
      <c r="W3" s="79" t="s">
        <v>101</v>
      </c>
      <c r="X3" s="80" t="s">
        <v>111</v>
      </c>
      <c r="Y3" s="78" t="s">
        <v>112</v>
      </c>
      <c r="Z3" s="79" t="s">
        <v>113</v>
      </c>
      <c r="AA3" s="80" t="s">
        <v>114</v>
      </c>
      <c r="AB3" s="129" t="s">
        <v>36</v>
      </c>
      <c r="AC3" s="132" t="s">
        <v>115</v>
      </c>
      <c r="AD3" s="133" t="s">
        <v>116</v>
      </c>
      <c r="AE3" s="92" t="s">
        <v>37</v>
      </c>
      <c r="AF3" s="139"/>
      <c r="AG3" s="57" t="s">
        <v>0</v>
      </c>
      <c r="AH3" s="90" t="s">
        <v>41</v>
      </c>
      <c r="AI3" s="90" t="s">
        <v>39</v>
      </c>
      <c r="AJ3" s="65" t="s">
        <v>42</v>
      </c>
    </row>
    <row r="4" spans="1:36" x14ac:dyDescent="0.35">
      <c r="A4" s="1">
        <v>1</v>
      </c>
      <c r="B4" s="8" t="s">
        <v>3</v>
      </c>
      <c r="C4" s="7" t="s">
        <v>2</v>
      </c>
      <c r="D4" s="35">
        <v>152</v>
      </c>
      <c r="E4" s="36">
        <v>317</v>
      </c>
      <c r="F4" s="35">
        <v>160</v>
      </c>
      <c r="G4" s="36">
        <v>381</v>
      </c>
      <c r="H4" s="35">
        <v>155</v>
      </c>
      <c r="I4" s="36">
        <v>326</v>
      </c>
      <c r="J4" s="35">
        <v>156</v>
      </c>
      <c r="K4" s="36">
        <v>309</v>
      </c>
      <c r="L4" s="35">
        <v>167</v>
      </c>
      <c r="M4" s="36">
        <v>342</v>
      </c>
      <c r="N4" s="35">
        <v>171</v>
      </c>
      <c r="O4" s="36">
        <v>313</v>
      </c>
      <c r="P4" s="31">
        <v>185</v>
      </c>
      <c r="Q4" s="32">
        <v>313</v>
      </c>
      <c r="S4" s="10">
        <f t="shared" ref="S4:S13" si="0">SUM(G4,I4,K4,M4,O4)</f>
        <v>1671</v>
      </c>
      <c r="U4" s="40" t="s">
        <v>2</v>
      </c>
      <c r="V4" s="81">
        <f t="shared" ref="V4:V13" si="1">SUM(J4,L4,N4)</f>
        <v>494</v>
      </c>
      <c r="W4" s="82">
        <f t="shared" ref="W4:W13" si="2">SUM(K4,M4,O4)</f>
        <v>964</v>
      </c>
      <c r="X4" s="83">
        <f t="shared" ref="X4:X5" si="3">V4/W4</f>
        <v>0.51244813278008294</v>
      </c>
      <c r="Y4" s="81">
        <f t="shared" ref="Y4:Y13" si="4">SUM(L4,N4,P4)</f>
        <v>523</v>
      </c>
      <c r="Z4" s="82">
        <f t="shared" ref="Z4:Z13" si="5">SUM(M4,O4,Q4)</f>
        <v>968</v>
      </c>
      <c r="AA4" s="83">
        <f t="shared" ref="AA4:AA10" si="6">Y4/Z4</f>
        <v>0.54028925619834711</v>
      </c>
      <c r="AB4" s="130">
        <f t="shared" ref="AB4:AB13" si="7">AA4/$AA$14</f>
        <v>0.14216537124822765</v>
      </c>
      <c r="AC4" s="134">
        <f>+AA4/X4-1</f>
        <v>5.4329641650215921E-2</v>
      </c>
      <c r="AD4" s="135">
        <f>IF(AC4&lt;0,0,AC4)</f>
        <v>5.4329641650215921E-2</v>
      </c>
      <c r="AE4" s="140">
        <f t="shared" ref="AE4:AE13" si="8">+AD4/$AD$14</f>
        <v>8.0293233387983276E-2</v>
      </c>
      <c r="AF4" s="139"/>
      <c r="AG4" s="141" t="s">
        <v>2</v>
      </c>
      <c r="AH4" s="135">
        <f t="shared" ref="AH4" si="9">AB4*$AH$2</f>
        <v>9.9515759873759352E-2</v>
      </c>
      <c r="AI4" s="135">
        <f t="shared" ref="AI4" si="10">AE4*$AI$2</f>
        <v>2.4087970016394983E-2</v>
      </c>
      <c r="AJ4" s="66">
        <f t="shared" ref="AJ4:AJ10" si="11">SUM(AH4:AI4)</f>
        <v>0.12360372989015433</v>
      </c>
    </row>
    <row r="5" spans="1:36" x14ac:dyDescent="0.35">
      <c r="A5" s="1">
        <v>2</v>
      </c>
      <c r="B5" s="8" t="s">
        <v>5</v>
      </c>
      <c r="C5" s="7" t="s">
        <v>4</v>
      </c>
      <c r="D5" s="31">
        <v>91</v>
      </c>
      <c r="E5" s="32">
        <v>134</v>
      </c>
      <c r="F5" s="31">
        <v>102</v>
      </c>
      <c r="G5" s="32">
        <v>152</v>
      </c>
      <c r="H5" s="31">
        <v>128</v>
      </c>
      <c r="I5" s="32">
        <v>167</v>
      </c>
      <c r="J5" s="31">
        <v>130</v>
      </c>
      <c r="K5" s="32">
        <v>172</v>
      </c>
      <c r="L5" s="35">
        <v>151</v>
      </c>
      <c r="M5" s="36">
        <v>196</v>
      </c>
      <c r="N5" s="31">
        <v>155</v>
      </c>
      <c r="O5" s="32">
        <v>196</v>
      </c>
      <c r="P5" s="31">
        <v>156</v>
      </c>
      <c r="Q5" s="32">
        <v>199</v>
      </c>
      <c r="S5" s="10">
        <f t="shared" si="0"/>
        <v>883</v>
      </c>
      <c r="U5" s="40" t="s">
        <v>4</v>
      </c>
      <c r="V5" s="81">
        <f t="shared" si="1"/>
        <v>436</v>
      </c>
      <c r="W5" s="82">
        <f t="shared" si="2"/>
        <v>564</v>
      </c>
      <c r="X5" s="83">
        <f t="shared" si="3"/>
        <v>0.77304964539007093</v>
      </c>
      <c r="Y5" s="81">
        <f t="shared" si="4"/>
        <v>462</v>
      </c>
      <c r="Z5" s="82">
        <f t="shared" si="5"/>
        <v>591</v>
      </c>
      <c r="AA5" s="83">
        <f t="shared" si="6"/>
        <v>0.78172588832487311</v>
      </c>
      <c r="AB5" s="130">
        <f t="shared" si="7"/>
        <v>0.2056941718775494</v>
      </c>
      <c r="AC5" s="134">
        <f t="shared" ref="AC5:AC13" si="12">+AA5/X5-1</f>
        <v>1.1223396823918375E-2</v>
      </c>
      <c r="AD5" s="135">
        <f t="shared" ref="AD5:AD13" si="13">IF(AC5&lt;0,0,AC5)</f>
        <v>1.1223396823918375E-2</v>
      </c>
      <c r="AE5" s="140">
        <f t="shared" si="8"/>
        <v>1.6586945785335341E-2</v>
      </c>
      <c r="AF5" s="139"/>
      <c r="AG5" s="141" t="s">
        <v>4</v>
      </c>
      <c r="AH5" s="135">
        <f t="shared" ref="AH5:AH13" si="14">AB5*$AH$2</f>
        <v>0.14398592031428456</v>
      </c>
      <c r="AI5" s="135">
        <f t="shared" ref="AI5:AI13" si="15">AE5*$AI$2</f>
        <v>4.9760837356006022E-3</v>
      </c>
      <c r="AJ5" s="66">
        <f t="shared" si="11"/>
        <v>0.14896200404988516</v>
      </c>
    </row>
    <row r="6" spans="1:36" x14ac:dyDescent="0.35">
      <c r="A6" s="1">
        <v>3</v>
      </c>
      <c r="B6" s="8" t="s">
        <v>7</v>
      </c>
      <c r="C6" s="7" t="s">
        <v>6</v>
      </c>
      <c r="D6" s="31">
        <v>33</v>
      </c>
      <c r="E6" s="32">
        <v>125</v>
      </c>
      <c r="F6" s="31">
        <v>44</v>
      </c>
      <c r="G6" s="32">
        <v>132</v>
      </c>
      <c r="H6" s="31">
        <v>42</v>
      </c>
      <c r="I6" s="32">
        <v>141</v>
      </c>
      <c r="J6" s="31">
        <v>43</v>
      </c>
      <c r="K6" s="32">
        <v>131</v>
      </c>
      <c r="L6" s="35">
        <v>46</v>
      </c>
      <c r="M6" s="36">
        <v>126</v>
      </c>
      <c r="N6" s="31">
        <v>52</v>
      </c>
      <c r="O6" s="32">
        <v>139</v>
      </c>
      <c r="P6" s="31">
        <v>62</v>
      </c>
      <c r="Q6" s="32">
        <v>141</v>
      </c>
      <c r="S6" s="10">
        <f t="shared" si="0"/>
        <v>669</v>
      </c>
      <c r="U6" s="40" t="s">
        <v>6</v>
      </c>
      <c r="V6" s="81">
        <f t="shared" si="1"/>
        <v>141</v>
      </c>
      <c r="W6" s="82">
        <f t="shared" si="2"/>
        <v>396</v>
      </c>
      <c r="X6" s="83">
        <f t="shared" ref="X6:X13" si="16">V6/W6</f>
        <v>0.35606060606060608</v>
      </c>
      <c r="Y6" s="81">
        <f t="shared" si="4"/>
        <v>160</v>
      </c>
      <c r="Z6" s="82">
        <f t="shared" si="5"/>
        <v>406</v>
      </c>
      <c r="AA6" s="83">
        <f t="shared" si="6"/>
        <v>0.39408866995073893</v>
      </c>
      <c r="AB6" s="130">
        <f t="shared" si="7"/>
        <v>0.10369586554891493</v>
      </c>
      <c r="AC6" s="134">
        <f t="shared" si="12"/>
        <v>0.10680222198930922</v>
      </c>
      <c r="AD6" s="135">
        <f t="shared" si="13"/>
        <v>0.10680222198930922</v>
      </c>
      <c r="AE6" s="140">
        <f t="shared" si="8"/>
        <v>0.15784193445915584</v>
      </c>
      <c r="AF6" s="139"/>
      <c r="AG6" s="141" t="s">
        <v>6</v>
      </c>
      <c r="AH6" s="135">
        <f t="shared" si="14"/>
        <v>7.2587105884240444E-2</v>
      </c>
      <c r="AI6" s="135">
        <f t="shared" si="15"/>
        <v>4.7352580337746752E-2</v>
      </c>
      <c r="AJ6" s="66">
        <f t="shared" si="11"/>
        <v>0.1199396862219872</v>
      </c>
    </row>
    <row r="7" spans="1:36" x14ac:dyDescent="0.35">
      <c r="A7" s="1">
        <v>4</v>
      </c>
      <c r="B7" s="8" t="s">
        <v>9</v>
      </c>
      <c r="C7" s="7" t="s">
        <v>8</v>
      </c>
      <c r="D7" s="31">
        <v>82</v>
      </c>
      <c r="E7" s="32">
        <v>435</v>
      </c>
      <c r="F7" s="31">
        <v>84</v>
      </c>
      <c r="G7" s="32">
        <v>453</v>
      </c>
      <c r="H7" s="31">
        <v>128</v>
      </c>
      <c r="I7" s="32">
        <v>569</v>
      </c>
      <c r="J7" s="31">
        <v>186</v>
      </c>
      <c r="K7" s="32">
        <v>668</v>
      </c>
      <c r="L7" s="35">
        <v>212</v>
      </c>
      <c r="M7" s="36">
        <v>674</v>
      </c>
      <c r="N7" s="31">
        <v>218</v>
      </c>
      <c r="O7" s="32">
        <v>718</v>
      </c>
      <c r="P7" s="31">
        <v>229</v>
      </c>
      <c r="Q7" s="32">
        <v>642</v>
      </c>
      <c r="S7" s="10">
        <f t="shared" si="0"/>
        <v>3082</v>
      </c>
      <c r="U7" s="40" t="s">
        <v>8</v>
      </c>
      <c r="V7" s="81">
        <f t="shared" si="1"/>
        <v>616</v>
      </c>
      <c r="W7" s="82">
        <f t="shared" si="2"/>
        <v>2060</v>
      </c>
      <c r="X7" s="83">
        <f t="shared" si="16"/>
        <v>0.29902912621359223</v>
      </c>
      <c r="Y7" s="81">
        <f t="shared" si="4"/>
        <v>659</v>
      </c>
      <c r="Z7" s="82">
        <f t="shared" si="5"/>
        <v>2034</v>
      </c>
      <c r="AA7" s="83">
        <f t="shared" si="6"/>
        <v>0.32399213372664698</v>
      </c>
      <c r="AB7" s="130">
        <f t="shared" si="7"/>
        <v>8.5251486022229539E-2</v>
      </c>
      <c r="AC7" s="134">
        <f t="shared" si="12"/>
        <v>8.3480187462488198E-2</v>
      </c>
      <c r="AD7" s="135">
        <f t="shared" si="13"/>
        <v>8.3480187462488198E-2</v>
      </c>
      <c r="AE7" s="140">
        <f t="shared" si="8"/>
        <v>0.1233745331572884</v>
      </c>
      <c r="AF7" s="139"/>
      <c r="AG7" s="141" t="s">
        <v>8</v>
      </c>
      <c r="AH7" s="135">
        <f t="shared" si="14"/>
        <v>5.9676040215560673E-2</v>
      </c>
      <c r="AI7" s="135">
        <f t="shared" si="15"/>
        <v>3.7012359947186518E-2</v>
      </c>
      <c r="AJ7" s="66">
        <f t="shared" si="11"/>
        <v>9.6688400162747185E-2</v>
      </c>
    </row>
    <row r="8" spans="1:36" x14ac:dyDescent="0.35">
      <c r="A8" s="1">
        <v>5</v>
      </c>
      <c r="B8" s="8" t="s">
        <v>11</v>
      </c>
      <c r="C8" s="7" t="s">
        <v>10</v>
      </c>
      <c r="D8" s="31">
        <v>17</v>
      </c>
      <c r="E8" s="32">
        <v>111</v>
      </c>
      <c r="F8" s="31">
        <v>22</v>
      </c>
      <c r="G8" s="32">
        <v>105</v>
      </c>
      <c r="H8" s="31">
        <v>28</v>
      </c>
      <c r="I8" s="32">
        <v>122</v>
      </c>
      <c r="J8" s="31">
        <v>41</v>
      </c>
      <c r="K8" s="32">
        <v>146</v>
      </c>
      <c r="L8" s="35">
        <v>38</v>
      </c>
      <c r="M8" s="36">
        <v>160</v>
      </c>
      <c r="N8" s="31">
        <v>43</v>
      </c>
      <c r="O8" s="32">
        <v>161</v>
      </c>
      <c r="P8" s="31">
        <v>61</v>
      </c>
      <c r="Q8" s="32">
        <v>189</v>
      </c>
      <c r="S8" s="10">
        <f t="shared" si="0"/>
        <v>694</v>
      </c>
      <c r="U8" s="40" t="s">
        <v>10</v>
      </c>
      <c r="V8" s="81">
        <f t="shared" si="1"/>
        <v>122</v>
      </c>
      <c r="W8" s="82">
        <f t="shared" si="2"/>
        <v>467</v>
      </c>
      <c r="X8" s="83">
        <f t="shared" si="16"/>
        <v>0.26124197002141325</v>
      </c>
      <c r="Y8" s="81">
        <f t="shared" si="4"/>
        <v>142</v>
      </c>
      <c r="Z8" s="82">
        <f t="shared" si="5"/>
        <v>510</v>
      </c>
      <c r="AA8" s="83">
        <f t="shared" si="6"/>
        <v>0.27843137254901962</v>
      </c>
      <c r="AB8" s="130">
        <f t="shared" si="7"/>
        <v>7.3263162262574066E-2</v>
      </c>
      <c r="AC8" s="134">
        <f t="shared" si="12"/>
        <v>6.5798778527804691E-2</v>
      </c>
      <c r="AD8" s="135">
        <f t="shared" si="13"/>
        <v>6.5798778527804691E-2</v>
      </c>
      <c r="AE8" s="140">
        <f t="shared" si="8"/>
        <v>9.7243355938024079E-2</v>
      </c>
      <c r="AF8" s="139"/>
      <c r="AG8" s="141" t="s">
        <v>10</v>
      </c>
      <c r="AH8" s="135">
        <f t="shared" si="14"/>
        <v>5.1284213583801842E-2</v>
      </c>
      <c r="AI8" s="135">
        <f t="shared" si="15"/>
        <v>2.9173006781407222E-2</v>
      </c>
      <c r="AJ8" s="66">
        <f t="shared" si="11"/>
        <v>8.0457220365209067E-2</v>
      </c>
    </row>
    <row r="9" spans="1:36" x14ac:dyDescent="0.35">
      <c r="A9" s="1">
        <v>6</v>
      </c>
      <c r="B9" s="8" t="s">
        <v>13</v>
      </c>
      <c r="C9" s="7" t="s">
        <v>12</v>
      </c>
      <c r="D9" s="31">
        <v>10</v>
      </c>
      <c r="E9" s="32">
        <v>39</v>
      </c>
      <c r="F9" s="31">
        <v>9</v>
      </c>
      <c r="G9" s="32">
        <v>53</v>
      </c>
      <c r="H9" s="31">
        <v>21</v>
      </c>
      <c r="I9" s="32">
        <v>52</v>
      </c>
      <c r="J9" s="31">
        <v>34</v>
      </c>
      <c r="K9" s="32">
        <v>82</v>
      </c>
      <c r="L9" s="35">
        <v>35</v>
      </c>
      <c r="M9" s="36">
        <v>88</v>
      </c>
      <c r="N9" s="31">
        <v>28</v>
      </c>
      <c r="O9" s="32">
        <v>72</v>
      </c>
      <c r="P9" s="31">
        <v>28</v>
      </c>
      <c r="Q9" s="32">
        <v>72</v>
      </c>
      <c r="S9" s="10">
        <f t="shared" si="0"/>
        <v>347</v>
      </c>
      <c r="U9" s="40" t="s">
        <v>12</v>
      </c>
      <c r="V9" s="81">
        <f t="shared" si="1"/>
        <v>97</v>
      </c>
      <c r="W9" s="82">
        <f t="shared" si="2"/>
        <v>242</v>
      </c>
      <c r="X9" s="83">
        <f t="shared" si="16"/>
        <v>0.40082644628099173</v>
      </c>
      <c r="Y9" s="81">
        <f t="shared" si="4"/>
        <v>91</v>
      </c>
      <c r="Z9" s="82">
        <f t="shared" si="5"/>
        <v>232</v>
      </c>
      <c r="AA9" s="83">
        <f t="shared" si="6"/>
        <v>0.39224137931034481</v>
      </c>
      <c r="AB9" s="130">
        <f t="shared" si="7"/>
        <v>0.10320979117915438</v>
      </c>
      <c r="AC9" s="138">
        <f t="shared" si="12"/>
        <v>-2.1418414504088212E-2</v>
      </c>
      <c r="AD9" s="135">
        <f t="shared" si="13"/>
        <v>0</v>
      </c>
      <c r="AE9" s="140">
        <f t="shared" si="8"/>
        <v>0</v>
      </c>
      <c r="AF9" s="139"/>
      <c r="AG9" s="141" t="s">
        <v>12</v>
      </c>
      <c r="AH9" s="135">
        <f t="shared" si="14"/>
        <v>7.2246853825408061E-2</v>
      </c>
      <c r="AI9" s="135">
        <f t="shared" si="15"/>
        <v>0</v>
      </c>
      <c r="AJ9" s="66">
        <f t="shared" si="11"/>
        <v>7.2246853825408061E-2</v>
      </c>
    </row>
    <row r="10" spans="1:36" x14ac:dyDescent="0.35">
      <c r="A10" s="1">
        <v>7</v>
      </c>
      <c r="B10" s="8" t="s">
        <v>86</v>
      </c>
      <c r="C10" s="7" t="s">
        <v>87</v>
      </c>
      <c r="D10" s="31">
        <v>21</v>
      </c>
      <c r="E10" s="32">
        <v>153</v>
      </c>
      <c r="F10" s="31">
        <v>31</v>
      </c>
      <c r="G10" s="32">
        <v>203</v>
      </c>
      <c r="H10" s="31">
        <v>42</v>
      </c>
      <c r="I10" s="32">
        <v>222</v>
      </c>
      <c r="J10" s="31">
        <v>49</v>
      </c>
      <c r="K10" s="32">
        <v>230</v>
      </c>
      <c r="L10" s="35">
        <v>65</v>
      </c>
      <c r="M10" s="36">
        <v>199</v>
      </c>
      <c r="N10" s="31">
        <v>89</v>
      </c>
      <c r="O10" s="32">
        <v>247</v>
      </c>
      <c r="P10" s="31">
        <v>102</v>
      </c>
      <c r="Q10" s="32">
        <v>275</v>
      </c>
      <c r="S10" s="10">
        <f t="shared" si="0"/>
        <v>1101</v>
      </c>
      <c r="U10" s="40" t="s">
        <v>87</v>
      </c>
      <c r="V10" s="81">
        <f t="shared" si="1"/>
        <v>203</v>
      </c>
      <c r="W10" s="82">
        <f t="shared" si="2"/>
        <v>676</v>
      </c>
      <c r="X10" s="83">
        <f t="shared" si="16"/>
        <v>0.30029585798816566</v>
      </c>
      <c r="Y10" s="81">
        <f t="shared" si="4"/>
        <v>256</v>
      </c>
      <c r="Z10" s="82">
        <f t="shared" si="5"/>
        <v>721</v>
      </c>
      <c r="AA10" s="83">
        <f t="shared" si="6"/>
        <v>0.35506241331484051</v>
      </c>
      <c r="AB10" s="130">
        <f t="shared" si="7"/>
        <v>9.342695459164374E-2</v>
      </c>
      <c r="AC10" s="134">
        <f t="shared" si="12"/>
        <v>0.18237532709769555</v>
      </c>
      <c r="AD10" s="135">
        <f t="shared" si="13"/>
        <v>0.18237532709769555</v>
      </c>
      <c r="AE10" s="140">
        <f t="shared" si="8"/>
        <v>0.26953066977953943</v>
      </c>
      <c r="AF10" s="139"/>
      <c r="AG10" s="141" t="s">
        <v>87</v>
      </c>
      <c r="AH10" s="135">
        <f t="shared" si="14"/>
        <v>6.5398868214150613E-2</v>
      </c>
      <c r="AI10" s="135">
        <f t="shared" si="15"/>
        <v>8.0859200933861827E-2</v>
      </c>
      <c r="AJ10" s="66">
        <f t="shared" si="11"/>
        <v>0.14625806914801243</v>
      </c>
    </row>
    <row r="11" spans="1:36" x14ac:dyDescent="0.35">
      <c r="A11" s="1">
        <v>8</v>
      </c>
      <c r="B11" s="8" t="s">
        <v>88</v>
      </c>
      <c r="C11" s="7" t="s">
        <v>89</v>
      </c>
      <c r="D11" s="31">
        <v>31</v>
      </c>
      <c r="E11" s="32">
        <v>478</v>
      </c>
      <c r="F11" s="31">
        <v>42</v>
      </c>
      <c r="G11" s="32">
        <v>660</v>
      </c>
      <c r="H11" s="31">
        <v>174</v>
      </c>
      <c r="I11" s="32">
        <v>549</v>
      </c>
      <c r="J11" s="31">
        <v>194</v>
      </c>
      <c r="K11" s="32">
        <v>580</v>
      </c>
      <c r="L11" s="35">
        <v>199</v>
      </c>
      <c r="M11" s="36">
        <v>589</v>
      </c>
      <c r="N11" s="31">
        <v>196</v>
      </c>
      <c r="O11" s="32">
        <v>571</v>
      </c>
      <c r="P11" s="31">
        <v>179</v>
      </c>
      <c r="Q11" s="32">
        <v>520</v>
      </c>
      <c r="S11" s="10">
        <f t="shared" si="0"/>
        <v>2949</v>
      </c>
      <c r="U11" s="40" t="s">
        <v>89</v>
      </c>
      <c r="V11" s="81">
        <f t="shared" si="1"/>
        <v>589</v>
      </c>
      <c r="W11" s="82">
        <f t="shared" si="2"/>
        <v>1740</v>
      </c>
      <c r="X11" s="83">
        <f t="shared" si="16"/>
        <v>0.33850574712643677</v>
      </c>
      <c r="Y11" s="81">
        <f t="shared" si="4"/>
        <v>574</v>
      </c>
      <c r="Z11" s="82">
        <f t="shared" si="5"/>
        <v>1680</v>
      </c>
      <c r="AA11" s="83">
        <f t="shared" ref="AA11:AA13" si="17">Y11/Z11</f>
        <v>0.34166666666666667</v>
      </c>
      <c r="AB11" s="130">
        <f t="shared" si="7"/>
        <v>8.9902155100376968E-2</v>
      </c>
      <c r="AC11" s="134">
        <f t="shared" si="12"/>
        <v>9.3378607809848635E-3</v>
      </c>
      <c r="AD11" s="135">
        <f t="shared" si="13"/>
        <v>9.3378607809848635E-3</v>
      </c>
      <c r="AE11" s="140">
        <f t="shared" si="8"/>
        <v>1.3800330947500989E-2</v>
      </c>
      <c r="AF11" s="139"/>
      <c r="AG11" s="141" t="s">
        <v>89</v>
      </c>
      <c r="AH11" s="135">
        <f t="shared" si="14"/>
        <v>6.2931508570263875E-2</v>
      </c>
      <c r="AI11" s="135">
        <f t="shared" si="15"/>
        <v>4.1400992842502964E-3</v>
      </c>
      <c r="AJ11" s="66">
        <f t="shared" ref="AJ11:AJ13" si="18">SUM(AH11:AI11)</f>
        <v>6.7071607854514173E-2</v>
      </c>
    </row>
    <row r="12" spans="1:36" x14ac:dyDescent="0.35">
      <c r="A12" s="1">
        <v>9</v>
      </c>
      <c r="B12" s="8" t="s">
        <v>95</v>
      </c>
      <c r="C12" s="7" t="s">
        <v>94</v>
      </c>
      <c r="D12" s="31">
        <v>48</v>
      </c>
      <c r="E12" s="32">
        <v>454</v>
      </c>
      <c r="F12" s="31">
        <v>60</v>
      </c>
      <c r="G12" s="32">
        <v>479</v>
      </c>
      <c r="H12" s="31">
        <v>62</v>
      </c>
      <c r="I12" s="32">
        <v>521</v>
      </c>
      <c r="J12" s="31">
        <v>69</v>
      </c>
      <c r="K12" s="32">
        <v>586</v>
      </c>
      <c r="L12" s="35">
        <v>68</v>
      </c>
      <c r="M12" s="36">
        <v>614</v>
      </c>
      <c r="N12" s="31">
        <v>90</v>
      </c>
      <c r="O12" s="32">
        <v>629</v>
      </c>
      <c r="P12" s="31">
        <v>98</v>
      </c>
      <c r="Q12" s="32">
        <v>662</v>
      </c>
      <c r="S12" s="10">
        <f t="shared" si="0"/>
        <v>2829</v>
      </c>
      <c r="U12" s="40" t="s">
        <v>94</v>
      </c>
      <c r="V12" s="81">
        <f t="shared" si="1"/>
        <v>227</v>
      </c>
      <c r="W12" s="82">
        <f t="shared" si="2"/>
        <v>1829</v>
      </c>
      <c r="X12" s="83">
        <f>V12/W12</f>
        <v>0.12411153635866594</v>
      </c>
      <c r="Y12" s="81">
        <f t="shared" si="4"/>
        <v>256</v>
      </c>
      <c r="Z12" s="82">
        <f t="shared" si="5"/>
        <v>1905</v>
      </c>
      <c r="AA12" s="83">
        <f>Y12/Z12</f>
        <v>0.13438320209973753</v>
      </c>
      <c r="AB12" s="130">
        <f t="shared" si="7"/>
        <v>3.5360017984553876E-2</v>
      </c>
      <c r="AC12" s="134">
        <f>+AA12/X12-1</f>
        <v>8.2761571103171505E-2</v>
      </c>
      <c r="AD12" s="135">
        <f>IF(AC12&lt;0,0,AC12)</f>
        <v>8.2761571103171505E-2</v>
      </c>
      <c r="AE12" s="140">
        <f t="shared" si="8"/>
        <v>0.122312497235415</v>
      </c>
      <c r="AF12" s="139"/>
      <c r="AG12" s="141" t="s">
        <v>94</v>
      </c>
      <c r="AH12" s="135">
        <f>AB12*$AH$2</f>
        <v>2.4752012589187713E-2</v>
      </c>
      <c r="AI12" s="135">
        <f>AE12*$AI$2</f>
        <v>3.6693749170624498E-2</v>
      </c>
      <c r="AJ12" s="66">
        <f>SUM(AH12:AI12)</f>
        <v>6.1445761759812215E-2</v>
      </c>
    </row>
    <row r="13" spans="1:36" x14ac:dyDescent="0.35">
      <c r="A13" s="1">
        <v>10</v>
      </c>
      <c r="B13" s="8" t="s">
        <v>104</v>
      </c>
      <c r="C13" s="7" t="s">
        <v>105</v>
      </c>
      <c r="D13" s="31">
        <v>32</v>
      </c>
      <c r="E13" s="32">
        <v>219</v>
      </c>
      <c r="F13" s="31">
        <v>61</v>
      </c>
      <c r="G13" s="32">
        <v>266</v>
      </c>
      <c r="H13" s="31">
        <v>70</v>
      </c>
      <c r="I13" s="32">
        <v>285</v>
      </c>
      <c r="J13" s="31">
        <v>59</v>
      </c>
      <c r="K13" s="32">
        <v>282</v>
      </c>
      <c r="L13" s="35">
        <v>71</v>
      </c>
      <c r="M13" s="36">
        <v>287</v>
      </c>
      <c r="N13" s="31">
        <v>82</v>
      </c>
      <c r="O13" s="32">
        <v>317</v>
      </c>
      <c r="P13" s="31">
        <v>89</v>
      </c>
      <c r="Q13" s="32">
        <v>332</v>
      </c>
      <c r="S13" s="10">
        <f t="shared" si="0"/>
        <v>1437</v>
      </c>
      <c r="U13" s="40" t="s">
        <v>105</v>
      </c>
      <c r="V13" s="81">
        <f t="shared" si="1"/>
        <v>212</v>
      </c>
      <c r="W13" s="82">
        <f t="shared" si="2"/>
        <v>886</v>
      </c>
      <c r="X13" s="83">
        <f t="shared" si="16"/>
        <v>0.23927765237020315</v>
      </c>
      <c r="Y13" s="81">
        <f t="shared" si="4"/>
        <v>242</v>
      </c>
      <c r="Z13" s="82">
        <f t="shared" si="5"/>
        <v>936</v>
      </c>
      <c r="AA13" s="83">
        <f t="shared" si="17"/>
        <v>0.25854700854700857</v>
      </c>
      <c r="AB13" s="130">
        <f t="shared" si="7"/>
        <v>6.8031024184775579E-2</v>
      </c>
      <c r="AC13" s="134">
        <f t="shared" si="12"/>
        <v>8.0531365908724561E-2</v>
      </c>
      <c r="AD13" s="135">
        <f t="shared" si="13"/>
        <v>8.0531365908724561E-2</v>
      </c>
      <c r="AE13" s="140">
        <f t="shared" si="8"/>
        <v>0.11901649930975761</v>
      </c>
      <c r="AF13" s="139"/>
      <c r="AG13" s="141" t="s">
        <v>105</v>
      </c>
      <c r="AH13" s="135">
        <f t="shared" si="14"/>
        <v>4.7621716929342903E-2</v>
      </c>
      <c r="AI13" s="135">
        <f t="shared" si="15"/>
        <v>3.5704949792927279E-2</v>
      </c>
      <c r="AJ13" s="66">
        <f t="shared" si="18"/>
        <v>8.3326666722270182E-2</v>
      </c>
    </row>
    <row r="14" spans="1:36" ht="15" thickBot="1" x14ac:dyDescent="0.4">
      <c r="A14" s="2"/>
      <c r="C14" s="6"/>
      <c r="D14" s="33">
        <f t="shared" ref="D14:Q14" si="19">SUM(D4:D13)</f>
        <v>517</v>
      </c>
      <c r="E14" s="34">
        <f t="shared" si="19"/>
        <v>2465</v>
      </c>
      <c r="F14" s="33">
        <f t="shared" si="19"/>
        <v>615</v>
      </c>
      <c r="G14" s="34">
        <f t="shared" si="19"/>
        <v>2884</v>
      </c>
      <c r="H14" s="33">
        <f t="shared" si="19"/>
        <v>850</v>
      </c>
      <c r="I14" s="34">
        <f t="shared" si="19"/>
        <v>2954</v>
      </c>
      <c r="J14" s="33">
        <f t="shared" si="19"/>
        <v>961</v>
      </c>
      <c r="K14" s="34">
        <f t="shared" si="19"/>
        <v>3186</v>
      </c>
      <c r="L14" s="33">
        <f t="shared" si="19"/>
        <v>1052</v>
      </c>
      <c r="M14" s="34">
        <f t="shared" si="19"/>
        <v>3275</v>
      </c>
      <c r="N14" s="33">
        <f t="shared" si="19"/>
        <v>1124</v>
      </c>
      <c r="O14" s="34">
        <f t="shared" si="19"/>
        <v>3363</v>
      </c>
      <c r="P14" s="33">
        <f t="shared" si="19"/>
        <v>1189</v>
      </c>
      <c r="Q14" s="34">
        <f t="shared" si="19"/>
        <v>3345</v>
      </c>
      <c r="S14" s="77">
        <f>SUM(S4:S13)</f>
        <v>15662</v>
      </c>
      <c r="U14" s="41" t="s">
        <v>14</v>
      </c>
      <c r="V14" s="42">
        <f t="shared" ref="V14:AB14" si="20">SUM(V4:V13)</f>
        <v>3137</v>
      </c>
      <c r="W14" s="43">
        <f t="shared" si="20"/>
        <v>9824</v>
      </c>
      <c r="X14" s="84">
        <f t="shared" si="20"/>
        <v>3.6048467205902286</v>
      </c>
      <c r="Y14" s="42">
        <f t="shared" si="20"/>
        <v>3365</v>
      </c>
      <c r="Z14" s="43">
        <f t="shared" si="20"/>
        <v>9983</v>
      </c>
      <c r="AA14" s="84">
        <f t="shared" si="20"/>
        <v>3.8004279906882235</v>
      </c>
      <c r="AB14" s="131">
        <f t="shared" si="20"/>
        <v>1.0000000000000004</v>
      </c>
      <c r="AC14" s="136"/>
      <c r="AD14" s="137">
        <f>SUM(AD4:AD13)</f>
        <v>0.67664035134431288</v>
      </c>
      <c r="AE14" s="142">
        <f>SUM(AE4:AE13)</f>
        <v>1</v>
      </c>
      <c r="AF14" s="139"/>
      <c r="AG14" s="141" t="str">
        <f>+U14</f>
        <v>TOTAL</v>
      </c>
      <c r="AH14" s="143">
        <f>SUM(AH4:AH13)</f>
        <v>0.70000000000000007</v>
      </c>
      <c r="AI14" s="143">
        <f>SUM(AI4:AI13)</f>
        <v>0.3</v>
      </c>
      <c r="AJ14" s="67">
        <f>SUM(AJ4:AJ13)</f>
        <v>1</v>
      </c>
    </row>
    <row r="15" spans="1:36" x14ac:dyDescent="0.35">
      <c r="F15">
        <f t="shared" ref="F15:Q15" si="21">SUM(F4:F13)</f>
        <v>615</v>
      </c>
      <c r="G15">
        <f t="shared" si="21"/>
        <v>2884</v>
      </c>
      <c r="H15">
        <f t="shared" si="21"/>
        <v>850</v>
      </c>
      <c r="I15">
        <f t="shared" si="21"/>
        <v>2954</v>
      </c>
      <c r="J15">
        <f t="shared" si="21"/>
        <v>961</v>
      </c>
      <c r="K15">
        <f t="shared" si="21"/>
        <v>3186</v>
      </c>
      <c r="L15">
        <f t="shared" si="21"/>
        <v>1052</v>
      </c>
      <c r="M15">
        <f t="shared" si="21"/>
        <v>3275</v>
      </c>
      <c r="N15">
        <f t="shared" si="21"/>
        <v>1124</v>
      </c>
      <c r="O15">
        <f t="shared" si="21"/>
        <v>3363</v>
      </c>
      <c r="P15">
        <f t="shared" si="21"/>
        <v>1189</v>
      </c>
      <c r="Q15">
        <f t="shared" si="21"/>
        <v>3345</v>
      </c>
      <c r="V15" s="85" t="s">
        <v>59</v>
      </c>
      <c r="W15" s="85" t="s">
        <v>59</v>
      </c>
      <c r="X15" s="85" t="s">
        <v>59</v>
      </c>
      <c r="Y15" t="s">
        <v>58</v>
      </c>
      <c r="Z15" t="s">
        <v>58</v>
      </c>
      <c r="AA15" t="s">
        <v>58</v>
      </c>
      <c r="AB15" t="s">
        <v>58</v>
      </c>
      <c r="AF15" s="23"/>
      <c r="AH15" t="s">
        <v>58</v>
      </c>
      <c r="AI15" t="s">
        <v>59</v>
      </c>
    </row>
    <row r="16" spans="1:36" x14ac:dyDescent="0.35">
      <c r="F16" s="6">
        <f>+F15-F14</f>
        <v>0</v>
      </c>
      <c r="G16" s="6">
        <f t="shared" ref="G16:Q16" si="22">+G15-G14</f>
        <v>0</v>
      </c>
      <c r="H16" s="6">
        <f t="shared" si="22"/>
        <v>0</v>
      </c>
      <c r="I16" s="6">
        <f t="shared" si="22"/>
        <v>0</v>
      </c>
      <c r="J16" s="6">
        <f t="shared" si="22"/>
        <v>0</v>
      </c>
      <c r="K16" s="6">
        <f t="shared" si="22"/>
        <v>0</v>
      </c>
      <c r="L16" s="6">
        <f t="shared" si="22"/>
        <v>0</v>
      </c>
      <c r="M16" s="6">
        <f t="shared" si="22"/>
        <v>0</v>
      </c>
      <c r="N16" s="6">
        <f t="shared" si="22"/>
        <v>0</v>
      </c>
      <c r="O16" s="6">
        <f t="shared" si="22"/>
        <v>0</v>
      </c>
      <c r="P16" s="6">
        <f t="shared" si="22"/>
        <v>0</v>
      </c>
      <c r="Q16" s="6">
        <f t="shared" si="22"/>
        <v>0</v>
      </c>
      <c r="V16" s="85" t="s">
        <v>49</v>
      </c>
      <c r="W16" s="85" t="s">
        <v>49</v>
      </c>
      <c r="X16" s="85" t="s">
        <v>49</v>
      </c>
      <c r="Y16" t="s">
        <v>45</v>
      </c>
      <c r="Z16" t="s">
        <v>45</v>
      </c>
      <c r="AA16" t="s">
        <v>45</v>
      </c>
      <c r="AB16" t="s">
        <v>47</v>
      </c>
      <c r="AC16" t="s">
        <v>50</v>
      </c>
      <c r="AD16" t="s">
        <v>51</v>
      </c>
      <c r="AE16" t="s">
        <v>61</v>
      </c>
      <c r="AF16" s="23"/>
      <c r="AH16" t="s">
        <v>48</v>
      </c>
      <c r="AI16" t="s">
        <v>62</v>
      </c>
    </row>
    <row r="17" spans="22:32" x14ac:dyDescent="0.35">
      <c r="V17" s="85" t="s">
        <v>57</v>
      </c>
      <c r="W17" s="85" t="s">
        <v>55</v>
      </c>
      <c r="X17" s="85" t="s">
        <v>56</v>
      </c>
      <c r="Y17" t="s">
        <v>54</v>
      </c>
      <c r="Z17" t="s">
        <v>55</v>
      </c>
      <c r="AA17" t="s">
        <v>56</v>
      </c>
      <c r="AD17" t="s">
        <v>60</v>
      </c>
      <c r="AF17" s="23"/>
    </row>
  </sheetData>
  <mergeCells count="1">
    <mergeCell ref="Y2:AE2"/>
  </mergeCells>
  <phoneticPr fontId="19" type="noConversion"/>
  <pageMargins left="0.70866141732283472" right="0.70866141732283472" top="0.74803149606299213" bottom="0.74803149606299213" header="0.31496062992125984" footer="0.31496062992125984"/>
  <pageSetup paperSize="14" scale="47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FC9-1CEB-4393-B9D1-EF860FAEEDA7}">
  <sheetPr>
    <tabColor theme="8" tint="0.59999389629810485"/>
    <pageSetUpPr fitToPage="1"/>
  </sheetPr>
  <dimension ref="A2:G18"/>
  <sheetViews>
    <sheetView zoomScale="90" zoomScaleNormal="90" workbookViewId="0">
      <selection activeCell="G4" sqref="G4"/>
    </sheetView>
  </sheetViews>
  <sheetFormatPr baseColWidth="10" defaultRowHeight="14.5" x14ac:dyDescent="0.35"/>
  <cols>
    <col min="1" max="1" width="2.81640625" bestFit="1" customWidth="1"/>
    <col min="2" max="2" width="37.54296875" bestFit="1" customWidth="1"/>
    <col min="3" max="3" width="6.26953125" bestFit="1" customWidth="1"/>
    <col min="7" max="7" width="11.453125" customWidth="1"/>
  </cols>
  <sheetData>
    <row r="2" spans="1:7" x14ac:dyDescent="0.35">
      <c r="C2" s="21">
        <v>1</v>
      </c>
      <c r="D2" s="21">
        <v>2</v>
      </c>
      <c r="E2" s="21">
        <v>3</v>
      </c>
      <c r="F2" s="21">
        <v>4</v>
      </c>
      <c r="G2" s="21">
        <v>5</v>
      </c>
    </row>
    <row r="3" spans="1:7" ht="65" x14ac:dyDescent="0.35">
      <c r="A3" s="17" t="s">
        <v>20</v>
      </c>
      <c r="B3" s="4" t="s">
        <v>1</v>
      </c>
      <c r="C3" s="57" t="s">
        <v>0</v>
      </c>
      <c r="D3" s="14" t="s">
        <v>117</v>
      </c>
      <c r="E3" s="14" t="s">
        <v>122</v>
      </c>
      <c r="F3" s="14" t="s">
        <v>118</v>
      </c>
      <c r="G3" s="65" t="s">
        <v>119</v>
      </c>
    </row>
    <row r="4" spans="1:7" x14ac:dyDescent="0.35">
      <c r="A4" s="10">
        <v>1</v>
      </c>
      <c r="B4" s="18" t="s">
        <v>3</v>
      </c>
      <c r="C4" s="58" t="s">
        <v>2</v>
      </c>
      <c r="D4" s="165">
        <v>2061</v>
      </c>
      <c r="E4" s="165">
        <v>1671</v>
      </c>
      <c r="F4" s="106">
        <f t="shared" ref="F4:F13" si="0">D4/E4</f>
        <v>1.2333931777378815</v>
      </c>
      <c r="G4" s="107">
        <f t="shared" ref="G4:G13" si="1">F4/$F$14</f>
        <v>0.17845317134449604</v>
      </c>
    </row>
    <row r="5" spans="1:7" x14ac:dyDescent="0.35">
      <c r="A5" s="10">
        <v>2</v>
      </c>
      <c r="B5" s="18" t="s">
        <v>5</v>
      </c>
      <c r="C5" s="58" t="s">
        <v>4</v>
      </c>
      <c r="D5" s="165">
        <v>820</v>
      </c>
      <c r="E5" s="165">
        <v>883</v>
      </c>
      <c r="F5" s="106">
        <f t="shared" si="0"/>
        <v>0.92865232163080402</v>
      </c>
      <c r="G5" s="107">
        <f t="shared" si="1"/>
        <v>0.13436181978514611</v>
      </c>
    </row>
    <row r="6" spans="1:7" x14ac:dyDescent="0.35">
      <c r="A6" s="10">
        <v>3</v>
      </c>
      <c r="B6" s="18" t="s">
        <v>7</v>
      </c>
      <c r="C6" s="58" t="s">
        <v>6</v>
      </c>
      <c r="D6" s="165">
        <v>232</v>
      </c>
      <c r="E6" s="165">
        <v>669</v>
      </c>
      <c r="F6" s="106">
        <f t="shared" si="0"/>
        <v>0.34678624813153963</v>
      </c>
      <c r="G6" s="107">
        <f t="shared" si="1"/>
        <v>5.0174678176211115E-2</v>
      </c>
    </row>
    <row r="7" spans="1:7" x14ac:dyDescent="0.35">
      <c r="A7" s="10">
        <v>4</v>
      </c>
      <c r="B7" s="18" t="s">
        <v>9</v>
      </c>
      <c r="C7" s="58" t="s">
        <v>8</v>
      </c>
      <c r="D7" s="165">
        <v>2969</v>
      </c>
      <c r="E7" s="165">
        <v>3082</v>
      </c>
      <c r="F7" s="106">
        <f t="shared" si="0"/>
        <v>0.963335496430889</v>
      </c>
      <c r="G7" s="107">
        <f t="shared" si="1"/>
        <v>0.1393799459164437</v>
      </c>
    </row>
    <row r="8" spans="1:7" x14ac:dyDescent="0.35">
      <c r="A8" s="10">
        <v>5</v>
      </c>
      <c r="B8" s="18" t="s">
        <v>11</v>
      </c>
      <c r="C8" s="58" t="s">
        <v>10</v>
      </c>
      <c r="D8" s="165">
        <v>537</v>
      </c>
      <c r="E8" s="165">
        <v>694</v>
      </c>
      <c r="F8" s="106">
        <f t="shared" si="0"/>
        <v>0.77377521613832856</v>
      </c>
      <c r="G8" s="107">
        <f t="shared" si="1"/>
        <v>0.11195346603173985</v>
      </c>
    </row>
    <row r="9" spans="1:7" x14ac:dyDescent="0.35">
      <c r="A9" s="10">
        <v>6</v>
      </c>
      <c r="B9" s="18" t="s">
        <v>13</v>
      </c>
      <c r="C9" s="58" t="s">
        <v>12</v>
      </c>
      <c r="D9" s="165">
        <v>199</v>
      </c>
      <c r="E9" s="165">
        <v>347</v>
      </c>
      <c r="F9" s="106">
        <f t="shared" si="0"/>
        <v>0.57348703170028814</v>
      </c>
      <c r="G9" s="107">
        <f t="shared" si="1"/>
        <v>8.2974822124082789E-2</v>
      </c>
    </row>
    <row r="10" spans="1:7" x14ac:dyDescent="0.35">
      <c r="A10" s="10">
        <v>7</v>
      </c>
      <c r="B10" s="18" t="s">
        <v>86</v>
      </c>
      <c r="C10" s="58" t="s">
        <v>87</v>
      </c>
      <c r="D10" s="165">
        <v>915</v>
      </c>
      <c r="E10" s="165">
        <v>1101</v>
      </c>
      <c r="F10" s="106">
        <f t="shared" si="0"/>
        <v>0.83106267029972747</v>
      </c>
      <c r="G10" s="107">
        <f t="shared" si="1"/>
        <v>0.12024208644725401</v>
      </c>
    </row>
    <row r="11" spans="1:7" x14ac:dyDescent="0.35">
      <c r="A11" s="10">
        <v>8</v>
      </c>
      <c r="B11" s="18" t="s">
        <v>88</v>
      </c>
      <c r="C11" s="58" t="s">
        <v>89</v>
      </c>
      <c r="D11" s="165">
        <v>1656</v>
      </c>
      <c r="E11" s="165">
        <v>2949</v>
      </c>
      <c r="F11" s="106">
        <f t="shared" si="0"/>
        <v>0.56154628687690744</v>
      </c>
      <c r="G11" s="107">
        <f t="shared" si="1"/>
        <v>8.1247178562882133E-2</v>
      </c>
    </row>
    <row r="12" spans="1:7" x14ac:dyDescent="0.35">
      <c r="A12" s="10">
        <v>9</v>
      </c>
      <c r="B12" s="18" t="s">
        <v>95</v>
      </c>
      <c r="C12" s="58" t="s">
        <v>94</v>
      </c>
      <c r="D12" s="165">
        <v>1036</v>
      </c>
      <c r="E12" s="165">
        <v>2829</v>
      </c>
      <c r="F12" s="106">
        <f>D12/E12</f>
        <v>0.36620714033227286</v>
      </c>
      <c r="G12" s="107">
        <f t="shared" si="1"/>
        <v>5.2984584916506837E-2</v>
      </c>
    </row>
    <row r="13" spans="1:7" x14ac:dyDescent="0.35">
      <c r="A13" s="10">
        <v>10</v>
      </c>
      <c r="B13" s="18" t="s">
        <v>104</v>
      </c>
      <c r="C13" s="58" t="s">
        <v>105</v>
      </c>
      <c r="D13" s="165">
        <v>479</v>
      </c>
      <c r="E13" s="165">
        <v>1437</v>
      </c>
      <c r="F13" s="106">
        <f t="shared" si="0"/>
        <v>0.33333333333333331</v>
      </c>
      <c r="G13" s="107">
        <f t="shared" si="1"/>
        <v>4.8228246695237398E-2</v>
      </c>
    </row>
    <row r="14" spans="1:7" x14ac:dyDescent="0.35">
      <c r="A14" s="13"/>
      <c r="B14" s="13"/>
      <c r="C14" s="59" t="s">
        <v>14</v>
      </c>
      <c r="D14" s="11">
        <f>SUM(D4:D13)</f>
        <v>10904</v>
      </c>
      <c r="E14" s="11">
        <f>SUM(E4:E13)</f>
        <v>15662</v>
      </c>
      <c r="F14" s="11">
        <f>SUM(F4:F13)</f>
        <v>6.9115789226119722</v>
      </c>
      <c r="G14" s="108">
        <f>SUM(G4:G13)</f>
        <v>0.99999999999999989</v>
      </c>
    </row>
    <row r="16" spans="1:7" x14ac:dyDescent="0.35">
      <c r="D16" t="s">
        <v>45</v>
      </c>
      <c r="E16" t="s">
        <v>45</v>
      </c>
      <c r="F16" t="s">
        <v>45</v>
      </c>
      <c r="G16" t="s">
        <v>47</v>
      </c>
    </row>
    <row r="17" spans="4:6" x14ac:dyDescent="0.35">
      <c r="D17" t="s">
        <v>54</v>
      </c>
      <c r="E17" t="s">
        <v>55</v>
      </c>
      <c r="F17" t="s">
        <v>56</v>
      </c>
    </row>
    <row r="18" spans="4:6" x14ac:dyDescent="0.35">
      <c r="F18" t="s">
        <v>46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8267-F1BD-44F2-9D94-D99A6D18B8AC}">
  <sheetPr>
    <tabColor theme="8" tint="0.59999389629810485"/>
    <pageSetUpPr fitToPage="1"/>
  </sheetPr>
  <dimension ref="A1:N17"/>
  <sheetViews>
    <sheetView workbookViewId="0">
      <selection activeCell="F6" sqref="F6"/>
    </sheetView>
  </sheetViews>
  <sheetFormatPr baseColWidth="10" defaultRowHeight="14.5" x14ac:dyDescent="0.35"/>
  <cols>
    <col min="1" max="1" width="2.81640625" bestFit="1" customWidth="1"/>
    <col min="2" max="2" width="37.54296875" bestFit="1" customWidth="1"/>
    <col min="10" max="14" width="11.453125" style="102"/>
  </cols>
  <sheetData>
    <row r="1" spans="1:14" x14ac:dyDescent="0.35">
      <c r="C1" s="22">
        <v>1</v>
      </c>
      <c r="D1" s="22">
        <v>2</v>
      </c>
      <c r="E1" s="22">
        <v>3</v>
      </c>
      <c r="F1" s="22">
        <v>4</v>
      </c>
      <c r="G1" s="22">
        <v>5</v>
      </c>
    </row>
    <row r="3" spans="1:14" ht="65" x14ac:dyDescent="0.35">
      <c r="A3" s="5" t="s">
        <v>20</v>
      </c>
      <c r="B3" s="4" t="s">
        <v>1</v>
      </c>
      <c r="C3" s="57" t="s">
        <v>0</v>
      </c>
      <c r="D3" s="14" t="s">
        <v>123</v>
      </c>
      <c r="E3" s="14" t="s">
        <v>124</v>
      </c>
      <c r="F3" s="14" t="s">
        <v>125</v>
      </c>
      <c r="G3" s="65" t="s">
        <v>126</v>
      </c>
      <c r="J3"/>
      <c r="K3"/>
      <c r="L3"/>
      <c r="M3"/>
      <c r="N3"/>
    </row>
    <row r="4" spans="1:14" x14ac:dyDescent="0.35">
      <c r="A4" s="1">
        <v>1</v>
      </c>
      <c r="B4" s="18" t="s">
        <v>3</v>
      </c>
      <c r="C4" s="58" t="s">
        <v>2</v>
      </c>
      <c r="D4" s="16">
        <v>27556</v>
      </c>
      <c r="E4" s="16">
        <v>2061</v>
      </c>
      <c r="F4" s="109">
        <f t="shared" ref="F4:F11" si="0">D4/E4</f>
        <v>13.370208636584183</v>
      </c>
      <c r="G4" s="61">
        <f t="shared" ref="G4:G13" si="1">F4/$F$14</f>
        <v>0.18593506438913129</v>
      </c>
      <c r="J4"/>
      <c r="K4"/>
      <c r="L4"/>
      <c r="M4"/>
      <c r="N4"/>
    </row>
    <row r="5" spans="1:14" x14ac:dyDescent="0.35">
      <c r="A5" s="1">
        <v>2</v>
      </c>
      <c r="B5" s="18" t="s">
        <v>5</v>
      </c>
      <c r="C5" s="58" t="s">
        <v>4</v>
      </c>
      <c r="D5" s="16">
        <v>2851</v>
      </c>
      <c r="E5" s="16">
        <v>820</v>
      </c>
      <c r="F5" s="109">
        <f t="shared" si="0"/>
        <v>3.4768292682926831</v>
      </c>
      <c r="G5" s="61">
        <f t="shared" si="1"/>
        <v>4.8351113392586131E-2</v>
      </c>
      <c r="J5"/>
      <c r="K5"/>
      <c r="L5"/>
      <c r="M5"/>
      <c r="N5"/>
    </row>
    <row r="6" spans="1:14" x14ac:dyDescent="0.35">
      <c r="A6" s="1">
        <v>3</v>
      </c>
      <c r="B6" s="18" t="s">
        <v>7</v>
      </c>
      <c r="C6" s="58" t="s">
        <v>6</v>
      </c>
      <c r="D6" s="16">
        <v>553</v>
      </c>
      <c r="E6" s="16">
        <v>232</v>
      </c>
      <c r="F6" s="109">
        <f t="shared" si="0"/>
        <v>2.3836206896551726</v>
      </c>
      <c r="G6" s="61">
        <f t="shared" si="1"/>
        <v>3.3148223670766017E-2</v>
      </c>
      <c r="J6"/>
      <c r="K6"/>
      <c r="L6"/>
      <c r="M6"/>
      <c r="N6"/>
    </row>
    <row r="7" spans="1:14" x14ac:dyDescent="0.35">
      <c r="A7" s="1">
        <v>4</v>
      </c>
      <c r="B7" s="18" t="s">
        <v>9</v>
      </c>
      <c r="C7" s="58" t="s">
        <v>8</v>
      </c>
      <c r="D7" s="16">
        <v>48023</v>
      </c>
      <c r="E7" s="16">
        <v>2969</v>
      </c>
      <c r="F7" s="109">
        <f t="shared" si="0"/>
        <v>16.174806332098349</v>
      </c>
      <c r="G7" s="61">
        <f t="shared" si="1"/>
        <v>0.22493767588721644</v>
      </c>
      <c r="J7"/>
      <c r="K7"/>
      <c r="L7"/>
      <c r="M7"/>
      <c r="N7"/>
    </row>
    <row r="8" spans="1:14" x14ac:dyDescent="0.35">
      <c r="A8" s="1">
        <v>5</v>
      </c>
      <c r="B8" s="18" t="s">
        <v>11</v>
      </c>
      <c r="C8" s="58" t="s">
        <v>10</v>
      </c>
      <c r="D8" s="16">
        <v>3105</v>
      </c>
      <c r="E8" s="16">
        <v>537</v>
      </c>
      <c r="F8" s="109">
        <f t="shared" si="0"/>
        <v>5.7821229050279328</v>
      </c>
      <c r="G8" s="61">
        <f t="shared" si="1"/>
        <v>8.0410068673910068E-2</v>
      </c>
      <c r="J8"/>
      <c r="K8"/>
      <c r="L8"/>
      <c r="M8"/>
      <c r="N8"/>
    </row>
    <row r="9" spans="1:14" x14ac:dyDescent="0.35">
      <c r="A9" s="1">
        <v>6</v>
      </c>
      <c r="B9" s="18" t="s">
        <v>13</v>
      </c>
      <c r="C9" s="58" t="s">
        <v>12</v>
      </c>
      <c r="D9" s="16">
        <v>328</v>
      </c>
      <c r="E9" s="16">
        <v>199</v>
      </c>
      <c r="F9" s="109">
        <f t="shared" si="0"/>
        <v>1.6482412060301508</v>
      </c>
      <c r="G9" s="61">
        <f t="shared" si="1"/>
        <v>2.2921544689547289E-2</v>
      </c>
      <c r="J9"/>
      <c r="K9"/>
      <c r="L9"/>
      <c r="M9"/>
      <c r="N9"/>
    </row>
    <row r="10" spans="1:14" x14ac:dyDescent="0.35">
      <c r="A10" s="1">
        <v>7</v>
      </c>
      <c r="B10" s="18" t="s">
        <v>86</v>
      </c>
      <c r="C10" s="58" t="s">
        <v>87</v>
      </c>
      <c r="D10" s="16">
        <v>5372</v>
      </c>
      <c r="E10" s="16">
        <v>915</v>
      </c>
      <c r="F10" s="109">
        <f t="shared" si="0"/>
        <v>5.8710382513661203</v>
      </c>
      <c r="G10" s="61">
        <f t="shared" si="1"/>
        <v>8.1646584953942961E-2</v>
      </c>
      <c r="J10"/>
      <c r="K10"/>
      <c r="L10"/>
      <c r="M10"/>
      <c r="N10"/>
    </row>
    <row r="11" spans="1:14" x14ac:dyDescent="0.35">
      <c r="A11" s="1">
        <v>8</v>
      </c>
      <c r="B11" s="18" t="s">
        <v>88</v>
      </c>
      <c r="C11" s="58" t="s">
        <v>89</v>
      </c>
      <c r="D11" s="16">
        <v>14787</v>
      </c>
      <c r="E11" s="16">
        <v>1656</v>
      </c>
      <c r="F11" s="109">
        <f t="shared" si="0"/>
        <v>8.929347826086957</v>
      </c>
      <c r="G11" s="61">
        <f t="shared" si="1"/>
        <v>0.1241774835475264</v>
      </c>
      <c r="J11"/>
      <c r="K11"/>
      <c r="L11"/>
      <c r="M11"/>
      <c r="N11"/>
    </row>
    <row r="12" spans="1:14" x14ac:dyDescent="0.35">
      <c r="A12" s="1">
        <v>9</v>
      </c>
      <c r="B12" s="18" t="s">
        <v>95</v>
      </c>
      <c r="C12" s="58" t="s">
        <v>94</v>
      </c>
      <c r="D12" s="16">
        <v>5375</v>
      </c>
      <c r="E12" s="16">
        <v>1036</v>
      </c>
      <c r="F12" s="109">
        <f>D12/E12</f>
        <v>5.1882239382239383</v>
      </c>
      <c r="G12" s="61">
        <f t="shared" si="1"/>
        <v>7.2150912393342773E-2</v>
      </c>
      <c r="J12"/>
      <c r="K12"/>
      <c r="L12"/>
      <c r="M12"/>
      <c r="N12"/>
    </row>
    <row r="13" spans="1:14" x14ac:dyDescent="0.35">
      <c r="A13" s="1">
        <v>10</v>
      </c>
      <c r="B13" s="18" t="s">
        <v>104</v>
      </c>
      <c r="C13" s="58" t="s">
        <v>105</v>
      </c>
      <c r="D13" s="16">
        <v>4351</v>
      </c>
      <c r="E13" s="16">
        <v>479</v>
      </c>
      <c r="F13" s="109">
        <f>D13/E13</f>
        <v>9.0835073068893522</v>
      </c>
      <c r="G13" s="61">
        <f t="shared" si="1"/>
        <v>0.12632132840203059</v>
      </c>
      <c r="J13"/>
      <c r="K13"/>
      <c r="L13"/>
      <c r="M13"/>
      <c r="N13"/>
    </row>
    <row r="14" spans="1:14" x14ac:dyDescent="0.35">
      <c r="A14" s="2"/>
      <c r="B14" s="13"/>
      <c r="C14" s="93" t="s">
        <v>14</v>
      </c>
      <c r="D14" s="11">
        <f>SUM(D4:D13)</f>
        <v>112301</v>
      </c>
      <c r="E14" s="11">
        <f>SUM(E4:E13)</f>
        <v>10904</v>
      </c>
      <c r="F14" s="11">
        <f>SUM(F4:F13)</f>
        <v>71.90794636025484</v>
      </c>
      <c r="G14" s="110">
        <f>SUM(G4:G13)</f>
        <v>1</v>
      </c>
      <c r="J14"/>
      <c r="K14"/>
      <c r="L14"/>
      <c r="M14"/>
      <c r="N14"/>
    </row>
    <row r="15" spans="1:14" x14ac:dyDescent="0.35">
      <c r="B15" s="12"/>
      <c r="C15" s="12"/>
      <c r="D15" s="12" t="s">
        <v>45</v>
      </c>
      <c r="E15" s="12" t="s">
        <v>45</v>
      </c>
      <c r="F15" s="12" t="s">
        <v>45</v>
      </c>
      <c r="G15" s="12" t="s">
        <v>47</v>
      </c>
      <c r="J15"/>
      <c r="K15"/>
      <c r="L15"/>
      <c r="M15"/>
      <c r="N15"/>
    </row>
    <row r="16" spans="1:14" x14ac:dyDescent="0.35">
      <c r="D16" t="s">
        <v>54</v>
      </c>
      <c r="E16" t="s">
        <v>55</v>
      </c>
      <c r="F16" t="s">
        <v>56</v>
      </c>
      <c r="J16"/>
      <c r="K16"/>
      <c r="L16"/>
      <c r="M16"/>
      <c r="N16"/>
    </row>
    <row r="17" spans="6:6" x14ac:dyDescent="0.35">
      <c r="F17" t="s">
        <v>46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7872-8CF4-4A12-AB93-F30A9B9A9866}">
  <sheetPr>
    <tabColor theme="8" tint="0.59999389629810485"/>
    <pageSetUpPr fitToPage="1"/>
  </sheetPr>
  <dimension ref="A3:E17"/>
  <sheetViews>
    <sheetView zoomScaleNormal="100" workbookViewId="0">
      <selection activeCell="D5" sqref="D5:D14"/>
    </sheetView>
  </sheetViews>
  <sheetFormatPr baseColWidth="10" defaultRowHeight="14.5" x14ac:dyDescent="0.35"/>
  <cols>
    <col min="1" max="1" width="2.81640625" bestFit="1" customWidth="1"/>
    <col min="2" max="2" width="37.54296875" bestFit="1" customWidth="1"/>
  </cols>
  <sheetData>
    <row r="3" spans="1:5" x14ac:dyDescent="0.35">
      <c r="C3" s="25">
        <v>1</v>
      </c>
      <c r="D3" s="25">
        <v>2</v>
      </c>
      <c r="E3" s="25">
        <v>3</v>
      </c>
    </row>
    <row r="4" spans="1:5" ht="26" x14ac:dyDescent="0.35">
      <c r="A4" s="5" t="s">
        <v>20</v>
      </c>
      <c r="B4" s="4" t="s">
        <v>1</v>
      </c>
      <c r="C4" s="63" t="s">
        <v>0</v>
      </c>
      <c r="D4" s="14" t="s">
        <v>120</v>
      </c>
      <c r="E4" s="65" t="s">
        <v>121</v>
      </c>
    </row>
    <row r="5" spans="1:5" x14ac:dyDescent="0.35">
      <c r="A5" s="1">
        <v>1</v>
      </c>
      <c r="B5" s="3" t="s">
        <v>3</v>
      </c>
      <c r="C5" s="64" t="s">
        <v>2</v>
      </c>
      <c r="D5" s="148">
        <v>75</v>
      </c>
      <c r="E5" s="127">
        <f>+D5/$D$15</f>
        <v>0.20547945205479451</v>
      </c>
    </row>
    <row r="6" spans="1:5" x14ac:dyDescent="0.35">
      <c r="A6" s="1">
        <v>2</v>
      </c>
      <c r="B6" s="3" t="s">
        <v>5</v>
      </c>
      <c r="C6" s="64" t="s">
        <v>4</v>
      </c>
      <c r="D6" s="148">
        <v>71</v>
      </c>
      <c r="E6" s="127">
        <f t="shared" ref="E6:E14" si="0">+D6/$D$15</f>
        <v>0.19452054794520549</v>
      </c>
    </row>
    <row r="7" spans="1:5" x14ac:dyDescent="0.35">
      <c r="A7" s="1">
        <v>3</v>
      </c>
      <c r="B7" s="3" t="s">
        <v>7</v>
      </c>
      <c r="C7" s="64" t="s">
        <v>6</v>
      </c>
      <c r="D7" s="148">
        <v>18</v>
      </c>
      <c r="E7" s="127">
        <f t="shared" si="0"/>
        <v>4.9315068493150684E-2</v>
      </c>
    </row>
    <row r="8" spans="1:5" x14ac:dyDescent="0.35">
      <c r="A8" s="1">
        <v>4</v>
      </c>
      <c r="B8" s="3" t="s">
        <v>9</v>
      </c>
      <c r="C8" s="64" t="s">
        <v>8</v>
      </c>
      <c r="D8" s="148">
        <v>53</v>
      </c>
      <c r="E8" s="127">
        <f t="shared" si="0"/>
        <v>0.14520547945205478</v>
      </c>
    </row>
    <row r="9" spans="1:5" x14ac:dyDescent="0.35">
      <c r="A9" s="1">
        <v>5</v>
      </c>
      <c r="B9" s="3" t="s">
        <v>11</v>
      </c>
      <c r="C9" s="64" t="s">
        <v>10</v>
      </c>
      <c r="D9" s="148">
        <v>12</v>
      </c>
      <c r="E9" s="127">
        <f t="shared" si="0"/>
        <v>3.287671232876712E-2</v>
      </c>
    </row>
    <row r="10" spans="1:5" x14ac:dyDescent="0.35">
      <c r="A10" s="1">
        <v>6</v>
      </c>
      <c r="B10" s="3" t="s">
        <v>13</v>
      </c>
      <c r="C10" s="64" t="s">
        <v>12</v>
      </c>
      <c r="D10" s="148">
        <v>10</v>
      </c>
      <c r="E10" s="127">
        <f t="shared" si="0"/>
        <v>2.7397260273972601E-2</v>
      </c>
    </row>
    <row r="11" spans="1:5" x14ac:dyDescent="0.35">
      <c r="A11" s="1">
        <v>7</v>
      </c>
      <c r="B11" s="3" t="s">
        <v>95</v>
      </c>
      <c r="C11" s="64" t="s">
        <v>94</v>
      </c>
      <c r="D11" s="148">
        <v>22</v>
      </c>
      <c r="E11" s="127">
        <f t="shared" si="0"/>
        <v>6.0273972602739728E-2</v>
      </c>
    </row>
    <row r="12" spans="1:5" x14ac:dyDescent="0.35">
      <c r="A12" s="1">
        <v>8</v>
      </c>
      <c r="B12" s="3" t="s">
        <v>86</v>
      </c>
      <c r="C12" s="64" t="s">
        <v>87</v>
      </c>
      <c r="D12" s="148">
        <v>26</v>
      </c>
      <c r="E12" s="127">
        <f t="shared" si="0"/>
        <v>7.1232876712328766E-2</v>
      </c>
    </row>
    <row r="13" spans="1:5" x14ac:dyDescent="0.35">
      <c r="A13" s="1">
        <v>9</v>
      </c>
      <c r="B13" s="3" t="s">
        <v>88</v>
      </c>
      <c r="C13" s="64" t="s">
        <v>89</v>
      </c>
      <c r="D13" s="148">
        <v>59</v>
      </c>
      <c r="E13" s="127">
        <f t="shared" si="0"/>
        <v>0.16164383561643836</v>
      </c>
    </row>
    <row r="14" spans="1:5" x14ac:dyDescent="0.35">
      <c r="A14" s="1">
        <v>10</v>
      </c>
      <c r="B14" s="3" t="s">
        <v>104</v>
      </c>
      <c r="C14" s="146" t="s">
        <v>105</v>
      </c>
      <c r="D14" s="148">
        <v>19</v>
      </c>
      <c r="E14" s="127">
        <f t="shared" si="0"/>
        <v>5.2054794520547946E-2</v>
      </c>
    </row>
    <row r="15" spans="1:5" x14ac:dyDescent="0.35">
      <c r="A15" s="2"/>
      <c r="B15" s="2"/>
      <c r="C15" s="88" t="s">
        <v>14</v>
      </c>
      <c r="D15" s="144">
        <f>SUM(D5:D14)</f>
        <v>365</v>
      </c>
      <c r="E15" s="110">
        <f>SUM(E5:E14)</f>
        <v>1</v>
      </c>
    </row>
    <row r="16" spans="1:5" x14ac:dyDescent="0.35">
      <c r="D16" t="s">
        <v>45</v>
      </c>
      <c r="E16" t="s">
        <v>47</v>
      </c>
    </row>
    <row r="17" spans="4:4" x14ac:dyDescent="0.35">
      <c r="D17" t="s">
        <v>46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58C-33CF-41E9-8418-041BF7DD9104}">
  <sheetPr>
    <tabColor theme="8" tint="0.59999389629810485"/>
    <pageSetUpPr fitToPage="1"/>
  </sheetPr>
  <dimension ref="A1:R22"/>
  <sheetViews>
    <sheetView topLeftCell="A3" zoomScale="90" zoomScaleNormal="90" workbookViewId="0">
      <selection activeCell="R7" sqref="R7"/>
    </sheetView>
  </sheetViews>
  <sheetFormatPr baseColWidth="10" defaultColWidth="11.453125" defaultRowHeight="13" x14ac:dyDescent="0.3"/>
  <cols>
    <col min="1" max="1" width="2.81640625" style="13" bestFit="1" customWidth="1"/>
    <col min="2" max="2" width="37.54296875" style="13" bestFit="1" customWidth="1"/>
    <col min="3" max="3" width="11.453125" style="13" customWidth="1"/>
    <col min="4" max="7" width="10" style="13" customWidth="1"/>
    <col min="8" max="8" width="11.26953125" style="13" customWidth="1"/>
    <col min="9" max="10" width="11.453125" style="13"/>
    <col min="11" max="11" width="12.1796875" style="13" customWidth="1"/>
    <col min="12" max="12" width="16.81640625" style="13" bestFit="1" customWidth="1"/>
    <col min="13" max="13" width="11.453125" style="13"/>
    <col min="14" max="14" width="4.81640625" style="13" customWidth="1"/>
    <col min="15" max="15" width="6.26953125" style="13" bestFit="1" customWidth="1"/>
    <col min="16" max="17" width="7.54296875" style="13" customWidth="1"/>
    <col min="18" max="16384" width="11.453125" style="13"/>
  </cols>
  <sheetData>
    <row r="1" spans="1:18" ht="12" customHeight="1" x14ac:dyDescent="0.3">
      <c r="O1" s="25">
        <v>1</v>
      </c>
      <c r="P1" s="25">
        <v>2</v>
      </c>
      <c r="Q1" s="25">
        <v>3</v>
      </c>
      <c r="R1" s="25"/>
    </row>
    <row r="2" spans="1:18" s="2" customFormat="1" x14ac:dyDescent="0.3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P2" s="2" t="s">
        <v>40</v>
      </c>
      <c r="R2" s="72"/>
    </row>
    <row r="3" spans="1:18" s="2" customFormat="1" ht="15" thickBot="1" x14ac:dyDescent="0.4">
      <c r="C3"/>
      <c r="D3"/>
      <c r="E3"/>
      <c r="F3"/>
      <c r="G3"/>
      <c r="H3"/>
      <c r="I3"/>
      <c r="J3"/>
      <c r="K3"/>
      <c r="L3"/>
      <c r="M3"/>
      <c r="P3" s="2">
        <v>0.7</v>
      </c>
      <c r="Q3" s="2">
        <v>0.3</v>
      </c>
    </row>
    <row r="4" spans="1:18" s="2" customFormat="1" ht="104" x14ac:dyDescent="0.3">
      <c r="A4" s="5" t="s">
        <v>20</v>
      </c>
      <c r="B4" s="4" t="s">
        <v>1</v>
      </c>
      <c r="C4" s="44" t="s">
        <v>0</v>
      </c>
      <c r="D4" s="112" t="s">
        <v>85</v>
      </c>
      <c r="E4" s="113" t="s">
        <v>92</v>
      </c>
      <c r="F4" s="114" t="s">
        <v>99</v>
      </c>
      <c r="G4" s="115" t="s">
        <v>127</v>
      </c>
      <c r="H4" s="111" t="s">
        <v>128</v>
      </c>
      <c r="I4" s="65" t="s">
        <v>129</v>
      </c>
      <c r="J4" s="111" t="s">
        <v>98</v>
      </c>
      <c r="K4" s="14" t="s">
        <v>131</v>
      </c>
      <c r="L4" s="14" t="s">
        <v>130</v>
      </c>
      <c r="M4" s="65" t="s">
        <v>38</v>
      </c>
      <c r="N4" s="13"/>
      <c r="O4" s="57" t="s">
        <v>0</v>
      </c>
      <c r="P4" s="28" t="s">
        <v>41</v>
      </c>
      <c r="Q4" s="29" t="s">
        <v>39</v>
      </c>
      <c r="R4" s="60" t="s">
        <v>43</v>
      </c>
    </row>
    <row r="5" spans="1:18" s="2" customFormat="1" x14ac:dyDescent="0.3">
      <c r="A5" s="1">
        <v>1</v>
      </c>
      <c r="B5" s="3" t="s">
        <v>3</v>
      </c>
      <c r="C5" s="45" t="s">
        <v>2</v>
      </c>
      <c r="D5" s="116">
        <v>395</v>
      </c>
      <c r="E5" s="116">
        <v>374</v>
      </c>
      <c r="F5" s="117">
        <v>420</v>
      </c>
      <c r="G5" s="118">
        <v>465</v>
      </c>
      <c r="H5" s="119">
        <f>SUM(E5:G5)</f>
        <v>1259</v>
      </c>
      <c r="I5" s="121">
        <f t="shared" ref="I5:I14" si="0">+H5/$H$15</f>
        <v>0.16750931346460884</v>
      </c>
      <c r="J5" s="123">
        <f>SUM(D5:F5)</f>
        <v>1189</v>
      </c>
      <c r="K5" s="125">
        <f>+H5/J5-1</f>
        <v>5.887300252312877E-2</v>
      </c>
      <c r="L5" s="125">
        <f t="shared" ref="L5:L14" si="1">IF(K5&lt;0,0,K5)</f>
        <v>5.887300252312877E-2</v>
      </c>
      <c r="M5" s="127">
        <f t="shared" ref="M5:M14" si="2">+L5/$L$15</f>
        <v>3.022496892615301E-2</v>
      </c>
      <c r="N5" s="13"/>
      <c r="O5" s="58" t="s">
        <v>2</v>
      </c>
      <c r="P5" s="24">
        <f t="shared" ref="P5:P14" si="3">+I5*$P$3</f>
        <v>0.11725651942522618</v>
      </c>
      <c r="Q5" s="24">
        <f t="shared" ref="Q5:Q14" si="4">+M5*$Q$3</f>
        <v>9.0674906778459019E-3</v>
      </c>
      <c r="R5" s="61">
        <f>SUM(P5:Q5)</f>
        <v>0.12632401010307209</v>
      </c>
    </row>
    <row r="6" spans="1:18" s="2" customFormat="1" x14ac:dyDescent="0.3">
      <c r="A6" s="1">
        <v>2</v>
      </c>
      <c r="B6" s="3" t="s">
        <v>5</v>
      </c>
      <c r="C6" s="45" t="s">
        <v>4</v>
      </c>
      <c r="D6" s="116">
        <v>142</v>
      </c>
      <c r="E6" s="116">
        <v>161</v>
      </c>
      <c r="F6" s="117">
        <v>164</v>
      </c>
      <c r="G6" s="118">
        <v>216</v>
      </c>
      <c r="H6" s="119">
        <f t="shared" ref="H6:H14" si="5">SUM(E6:G6)</f>
        <v>541</v>
      </c>
      <c r="I6" s="121">
        <f t="shared" si="0"/>
        <v>7.1979776476849389E-2</v>
      </c>
      <c r="J6" s="123">
        <f t="shared" ref="J6:J14" si="6">SUM(D6:F6)</f>
        <v>467</v>
      </c>
      <c r="K6" s="125">
        <f t="shared" ref="K6:K14" si="7">+H6/J6-1</f>
        <v>0.15845824411134912</v>
      </c>
      <c r="L6" s="125">
        <f t="shared" si="1"/>
        <v>0.15845824411134912</v>
      </c>
      <c r="M6" s="127">
        <f t="shared" si="2"/>
        <v>8.1351303638314346E-2</v>
      </c>
      <c r="N6" s="13"/>
      <c r="O6" s="58" t="s">
        <v>4</v>
      </c>
      <c r="P6" s="24">
        <f t="shared" si="3"/>
        <v>5.0385843533794571E-2</v>
      </c>
      <c r="Q6" s="24">
        <f t="shared" si="4"/>
        <v>2.4405391091494304E-2</v>
      </c>
      <c r="R6" s="61">
        <f t="shared" ref="R6:R14" si="8">SUM(P6:Q6)</f>
        <v>7.4791234625288874E-2</v>
      </c>
    </row>
    <row r="7" spans="1:18" s="2" customFormat="1" x14ac:dyDescent="0.3">
      <c r="A7" s="1">
        <v>3</v>
      </c>
      <c r="B7" s="3" t="s">
        <v>7</v>
      </c>
      <c r="C7" s="45" t="s">
        <v>6</v>
      </c>
      <c r="D7" s="116">
        <v>19</v>
      </c>
      <c r="E7" s="116">
        <v>57</v>
      </c>
      <c r="F7" s="117">
        <v>63</v>
      </c>
      <c r="G7" s="118">
        <v>77</v>
      </c>
      <c r="H7" s="119">
        <f t="shared" si="5"/>
        <v>197</v>
      </c>
      <c r="I7" s="121">
        <f t="shared" si="0"/>
        <v>2.6210750399148483E-2</v>
      </c>
      <c r="J7" s="123">
        <f t="shared" si="6"/>
        <v>139</v>
      </c>
      <c r="K7" s="125">
        <f t="shared" si="7"/>
        <v>0.41726618705035978</v>
      </c>
      <c r="L7" s="125">
        <f t="shared" si="1"/>
        <v>0.41726618705035978</v>
      </c>
      <c r="M7" s="127">
        <f t="shared" si="2"/>
        <v>0.21422140874464143</v>
      </c>
      <c r="N7" s="13"/>
      <c r="O7" s="58" t="s">
        <v>6</v>
      </c>
      <c r="P7" s="24">
        <f t="shared" si="3"/>
        <v>1.8347525279403937E-2</v>
      </c>
      <c r="Q7" s="24">
        <f t="shared" si="4"/>
        <v>6.4266422623392425E-2</v>
      </c>
      <c r="R7" s="61">
        <f t="shared" si="8"/>
        <v>8.2613947902796359E-2</v>
      </c>
    </row>
    <row r="8" spans="1:18" s="2" customFormat="1" x14ac:dyDescent="0.3">
      <c r="A8" s="1">
        <v>4</v>
      </c>
      <c r="B8" s="3" t="s">
        <v>9</v>
      </c>
      <c r="C8" s="45" t="s">
        <v>8</v>
      </c>
      <c r="D8" s="116">
        <v>536</v>
      </c>
      <c r="E8" s="116">
        <v>594</v>
      </c>
      <c r="F8" s="117">
        <v>676</v>
      </c>
      <c r="G8" s="118">
        <v>717</v>
      </c>
      <c r="H8" s="119">
        <f t="shared" si="5"/>
        <v>1987</v>
      </c>
      <c r="I8" s="121">
        <f t="shared" si="0"/>
        <v>0.26436934539648749</v>
      </c>
      <c r="J8" s="123">
        <f t="shared" si="6"/>
        <v>1806</v>
      </c>
      <c r="K8" s="125">
        <f t="shared" si="7"/>
        <v>0.10022148394241426</v>
      </c>
      <c r="L8" s="125">
        <f t="shared" si="1"/>
        <v>0.10022148394241426</v>
      </c>
      <c r="M8" s="127">
        <f t="shared" si="2"/>
        <v>5.1452976883629639E-2</v>
      </c>
      <c r="N8" s="13"/>
      <c r="O8" s="58" t="s">
        <v>8</v>
      </c>
      <c r="P8" s="24">
        <f t="shared" si="3"/>
        <v>0.18505854177754122</v>
      </c>
      <c r="Q8" s="24">
        <f t="shared" si="4"/>
        <v>1.5435893065088892E-2</v>
      </c>
      <c r="R8" s="61">
        <f t="shared" si="8"/>
        <v>0.2004944348426301</v>
      </c>
    </row>
    <row r="9" spans="1:18" s="2" customFormat="1" x14ac:dyDescent="0.3">
      <c r="A9" s="1">
        <v>5</v>
      </c>
      <c r="B9" s="3" t="s">
        <v>11</v>
      </c>
      <c r="C9" s="45" t="s">
        <v>10</v>
      </c>
      <c r="D9" s="116">
        <v>86</v>
      </c>
      <c r="E9" s="116">
        <v>92</v>
      </c>
      <c r="F9" s="117">
        <v>119</v>
      </c>
      <c r="G9" s="118">
        <v>166</v>
      </c>
      <c r="H9" s="119">
        <f t="shared" si="5"/>
        <v>377</v>
      </c>
      <c r="I9" s="121">
        <f t="shared" si="0"/>
        <v>5.0159659393294302E-2</v>
      </c>
      <c r="J9" s="123">
        <f t="shared" si="6"/>
        <v>297</v>
      </c>
      <c r="K9" s="125">
        <f t="shared" si="7"/>
        <v>0.26936026936026947</v>
      </c>
      <c r="L9" s="125">
        <f t="shared" si="1"/>
        <v>0.26936026936026947</v>
      </c>
      <c r="M9" s="127">
        <f t="shared" si="2"/>
        <v>0.13828759231629009</v>
      </c>
      <c r="N9" s="13"/>
      <c r="O9" s="58" t="s">
        <v>10</v>
      </c>
      <c r="P9" s="24">
        <f t="shared" si="3"/>
        <v>3.5111761575306009E-2</v>
      </c>
      <c r="Q9" s="24">
        <f t="shared" si="4"/>
        <v>4.1486277694887025E-2</v>
      </c>
      <c r="R9" s="61">
        <f t="shared" si="8"/>
        <v>7.6598039270193041E-2</v>
      </c>
    </row>
    <row r="10" spans="1:18" s="2" customFormat="1" x14ac:dyDescent="0.3">
      <c r="A10" s="1">
        <v>6</v>
      </c>
      <c r="B10" s="3" t="s">
        <v>13</v>
      </c>
      <c r="C10" s="45" t="s">
        <v>12</v>
      </c>
      <c r="D10" s="116">
        <v>43</v>
      </c>
      <c r="E10" s="116">
        <v>35</v>
      </c>
      <c r="F10" s="117">
        <v>46</v>
      </c>
      <c r="G10" s="118">
        <v>55</v>
      </c>
      <c r="H10" s="119">
        <f t="shared" si="5"/>
        <v>136</v>
      </c>
      <c r="I10" s="121">
        <f t="shared" si="0"/>
        <v>1.8094731240021287E-2</v>
      </c>
      <c r="J10" s="123">
        <f t="shared" si="6"/>
        <v>124</v>
      </c>
      <c r="K10" s="125">
        <f t="shared" si="7"/>
        <v>9.6774193548387011E-2</v>
      </c>
      <c r="L10" s="125">
        <f t="shared" si="1"/>
        <v>9.6774193548387011E-2</v>
      </c>
      <c r="M10" s="127">
        <f t="shared" si="2"/>
        <v>4.968316320718319E-2</v>
      </c>
      <c r="N10" s="13"/>
      <c r="O10" s="58" t="s">
        <v>12</v>
      </c>
      <c r="P10" s="24">
        <f t="shared" si="3"/>
        <v>1.2666311868014901E-2</v>
      </c>
      <c r="Q10" s="24">
        <f t="shared" si="4"/>
        <v>1.4904948962154956E-2</v>
      </c>
      <c r="R10" s="61">
        <f t="shared" si="8"/>
        <v>2.7571260830169857E-2</v>
      </c>
    </row>
    <row r="11" spans="1:18" s="2" customFormat="1" x14ac:dyDescent="0.3">
      <c r="A11" s="1">
        <v>8</v>
      </c>
      <c r="B11" s="3" t="s">
        <v>86</v>
      </c>
      <c r="C11" s="10" t="s">
        <v>87</v>
      </c>
      <c r="D11" s="116">
        <v>167</v>
      </c>
      <c r="E11" s="116">
        <v>163</v>
      </c>
      <c r="F11" s="117">
        <v>187</v>
      </c>
      <c r="G11" s="118">
        <v>286</v>
      </c>
      <c r="H11" s="119">
        <f t="shared" si="5"/>
        <v>636</v>
      </c>
      <c r="I11" s="121">
        <f t="shared" si="0"/>
        <v>8.4619478445981902E-2</v>
      </c>
      <c r="J11" s="123">
        <f t="shared" si="6"/>
        <v>517</v>
      </c>
      <c r="K11" s="125">
        <f t="shared" si="7"/>
        <v>0.23017408123791094</v>
      </c>
      <c r="L11" s="125">
        <f t="shared" si="1"/>
        <v>0.23017408123791094</v>
      </c>
      <c r="M11" s="127">
        <f t="shared" si="2"/>
        <v>0.11816968992346802</v>
      </c>
      <c r="N11" s="13"/>
      <c r="O11" s="58" t="s">
        <v>87</v>
      </c>
      <c r="P11" s="24">
        <f t="shared" si="3"/>
        <v>5.9233634912187326E-2</v>
      </c>
      <c r="Q11" s="24">
        <f t="shared" si="4"/>
        <v>3.5450906977040404E-2</v>
      </c>
      <c r="R11" s="61">
        <f t="shared" si="8"/>
        <v>9.468454188922773E-2</v>
      </c>
    </row>
    <row r="12" spans="1:18" s="2" customFormat="1" x14ac:dyDescent="0.3">
      <c r="A12" s="1">
        <v>9</v>
      </c>
      <c r="B12" s="3" t="s">
        <v>88</v>
      </c>
      <c r="C12" s="10" t="s">
        <v>89</v>
      </c>
      <c r="D12" s="116">
        <v>264</v>
      </c>
      <c r="E12" s="116">
        <v>371</v>
      </c>
      <c r="F12" s="117">
        <v>457</v>
      </c>
      <c r="G12" s="118">
        <v>467</v>
      </c>
      <c r="H12" s="119">
        <f t="shared" si="5"/>
        <v>1295</v>
      </c>
      <c r="I12" s="121">
        <f t="shared" si="0"/>
        <v>0.17229909526343801</v>
      </c>
      <c r="J12" s="123">
        <f t="shared" si="6"/>
        <v>1092</v>
      </c>
      <c r="K12" s="125">
        <f t="shared" si="7"/>
        <v>0.1858974358974359</v>
      </c>
      <c r="L12" s="125">
        <f t="shared" si="1"/>
        <v>0.1858974358974359</v>
      </c>
      <c r="M12" s="127">
        <f t="shared" si="2"/>
        <v>9.5438384024054981E-2</v>
      </c>
      <c r="N12" s="13"/>
      <c r="O12" s="58" t="s">
        <v>89</v>
      </c>
      <c r="P12" s="24">
        <f t="shared" si="3"/>
        <v>0.1206093666844066</v>
      </c>
      <c r="Q12" s="24">
        <f t="shared" si="4"/>
        <v>2.8631515207216494E-2</v>
      </c>
      <c r="R12" s="61">
        <f t="shared" si="8"/>
        <v>0.1492408818916231</v>
      </c>
    </row>
    <row r="13" spans="1:18" s="2" customFormat="1" x14ac:dyDescent="0.3">
      <c r="A13" s="1">
        <v>7</v>
      </c>
      <c r="B13" s="3" t="s">
        <v>95</v>
      </c>
      <c r="C13" s="45" t="s">
        <v>94</v>
      </c>
      <c r="D13" s="116">
        <v>142</v>
      </c>
      <c r="E13" s="116">
        <v>177</v>
      </c>
      <c r="F13" s="117">
        <v>251</v>
      </c>
      <c r="G13" s="118">
        <v>334</v>
      </c>
      <c r="H13" s="119">
        <f>SUM(E13:G13)</f>
        <v>762</v>
      </c>
      <c r="I13" s="121">
        <f t="shared" si="0"/>
        <v>0.10138371474188398</v>
      </c>
      <c r="J13" s="123">
        <f>SUM(D13:F13)</f>
        <v>570</v>
      </c>
      <c r="K13" s="125">
        <f>+H13/J13-1</f>
        <v>0.33684210526315783</v>
      </c>
      <c r="L13" s="125">
        <f>IF(K13&lt;0,0,K13)</f>
        <v>0.33684210526315783</v>
      </c>
      <c r="M13" s="127">
        <f t="shared" si="2"/>
        <v>0.17293227333868688</v>
      </c>
      <c r="N13" s="13"/>
      <c r="O13" s="58" t="s">
        <v>94</v>
      </c>
      <c r="P13" s="24">
        <f>+I13*$P$3</f>
        <v>7.0968600319318786E-2</v>
      </c>
      <c r="Q13" s="24">
        <f>+M13*$Q$3</f>
        <v>5.1879682001606066E-2</v>
      </c>
      <c r="R13" s="61">
        <f>SUM(P13:Q13)</f>
        <v>0.12284828232092485</v>
      </c>
    </row>
    <row r="14" spans="1:18" s="2" customFormat="1" x14ac:dyDescent="0.3">
      <c r="A14" s="1">
        <v>10</v>
      </c>
      <c r="B14" s="3" t="s">
        <v>104</v>
      </c>
      <c r="C14" s="10" t="s">
        <v>105</v>
      </c>
      <c r="D14" s="116">
        <v>91</v>
      </c>
      <c r="E14" s="116">
        <v>83</v>
      </c>
      <c r="F14" s="117">
        <v>124</v>
      </c>
      <c r="G14" s="118">
        <v>119</v>
      </c>
      <c r="H14" s="119">
        <f t="shared" si="5"/>
        <v>326</v>
      </c>
      <c r="I14" s="121">
        <f t="shared" si="0"/>
        <v>4.3374135178286324E-2</v>
      </c>
      <c r="J14" s="123">
        <f t="shared" si="6"/>
        <v>298</v>
      </c>
      <c r="K14" s="125">
        <f t="shared" si="7"/>
        <v>9.3959731543624248E-2</v>
      </c>
      <c r="L14" s="125">
        <f t="shared" si="1"/>
        <v>9.3959731543624248E-2</v>
      </c>
      <c r="M14" s="127">
        <f t="shared" si="2"/>
        <v>4.8238238997578398E-2</v>
      </c>
      <c r="N14" s="13"/>
      <c r="O14" s="58" t="s">
        <v>105</v>
      </c>
      <c r="P14" s="24">
        <f t="shared" si="3"/>
        <v>3.0361894624800424E-2</v>
      </c>
      <c r="Q14" s="24">
        <f t="shared" si="4"/>
        <v>1.4471471699273519E-2</v>
      </c>
      <c r="R14" s="61">
        <f t="shared" si="8"/>
        <v>4.4833366324073941E-2</v>
      </c>
    </row>
    <row r="15" spans="1:18" s="2" customFormat="1" ht="12.75" customHeight="1" x14ac:dyDescent="0.3">
      <c r="C15" s="87" t="s">
        <v>14</v>
      </c>
      <c r="D15" s="120">
        <f>SUM(D5:D14)</f>
        <v>1885</v>
      </c>
      <c r="E15" s="120">
        <f>SUM(E5:E14)</f>
        <v>2107</v>
      </c>
      <c r="F15" s="120">
        <f>SUM(F5:F14)</f>
        <v>2507</v>
      </c>
      <c r="G15" s="120">
        <f>SUM(G5:G14)</f>
        <v>2902</v>
      </c>
      <c r="H15" s="120">
        <f t="shared" ref="H15:M15" si="9">SUM(H5:H14)</f>
        <v>7516</v>
      </c>
      <c r="I15" s="122">
        <f t="shared" si="9"/>
        <v>1</v>
      </c>
      <c r="J15" s="124">
        <f t="shared" si="9"/>
        <v>6499</v>
      </c>
      <c r="K15" s="124">
        <f t="shared" si="9"/>
        <v>1.9478267344780373</v>
      </c>
      <c r="L15" s="126">
        <f t="shared" si="9"/>
        <v>1.9478267344780373</v>
      </c>
      <c r="M15" s="128">
        <f t="shared" si="9"/>
        <v>1</v>
      </c>
      <c r="N15" s="13"/>
      <c r="O15" s="59" t="s">
        <v>14</v>
      </c>
      <c r="P15" s="26">
        <f>SUM(P5:P14)</f>
        <v>0.69999999999999984</v>
      </c>
      <c r="Q15" s="26">
        <f>SUM(Q5:Q14)</f>
        <v>0.3</v>
      </c>
      <c r="R15" s="62">
        <f>SUM(R5:R14)</f>
        <v>0.99999999999999989</v>
      </c>
    </row>
    <row r="16" spans="1:18" s="2" customFormat="1" x14ac:dyDescent="0.3">
      <c r="C16" s="27"/>
      <c r="D16" s="73"/>
      <c r="E16" s="27" t="s">
        <v>58</v>
      </c>
      <c r="F16" s="46" t="s">
        <v>58</v>
      </c>
      <c r="G16" s="27" t="s">
        <v>58</v>
      </c>
      <c r="H16" s="27" t="s">
        <v>58</v>
      </c>
      <c r="I16" s="27" t="s">
        <v>58</v>
      </c>
      <c r="J16" s="27"/>
      <c r="K16" s="27"/>
      <c r="L16" s="95"/>
      <c r="M16" s="27"/>
      <c r="P16" s="27" t="s">
        <v>58</v>
      </c>
      <c r="Q16" s="2" t="s">
        <v>59</v>
      </c>
    </row>
    <row r="17" spans="3:17" x14ac:dyDescent="0.3">
      <c r="D17" s="47"/>
      <c r="E17" s="13" t="s">
        <v>45</v>
      </c>
      <c r="F17" s="48" t="s">
        <v>45</v>
      </c>
      <c r="G17" s="13" t="s">
        <v>45</v>
      </c>
      <c r="H17" s="13" t="s">
        <v>45</v>
      </c>
      <c r="I17" s="13" t="s">
        <v>47</v>
      </c>
      <c r="P17" s="13" t="s">
        <v>48</v>
      </c>
      <c r="Q17" s="13" t="s">
        <v>63</v>
      </c>
    </row>
    <row r="18" spans="3:17" ht="14.5" x14ac:dyDescent="0.35">
      <c r="C18"/>
      <c r="D18" s="49"/>
      <c r="E18"/>
      <c r="F18" s="50"/>
      <c r="G18"/>
      <c r="H18" t="s">
        <v>46</v>
      </c>
    </row>
    <row r="19" spans="3:17" ht="14.5" x14ac:dyDescent="0.35">
      <c r="C19"/>
      <c r="D19" s="49"/>
      <c r="E19"/>
      <c r="F19" s="50"/>
      <c r="G19"/>
      <c r="H19"/>
    </row>
    <row r="20" spans="3:17" ht="15" thickBot="1" x14ac:dyDescent="0.4">
      <c r="C20"/>
      <c r="D20" s="51"/>
      <c r="E20" s="52"/>
      <c r="F20" s="53"/>
      <c r="G20"/>
      <c r="H20"/>
    </row>
    <row r="21" spans="3:17" ht="14.5" x14ac:dyDescent="0.35">
      <c r="C21"/>
      <c r="D21" t="s">
        <v>49</v>
      </c>
      <c r="E21" t="s">
        <v>49</v>
      </c>
      <c r="F21" t="s">
        <v>49</v>
      </c>
      <c r="G21"/>
      <c r="H21"/>
      <c r="J21" s="13" t="s">
        <v>49</v>
      </c>
      <c r="K21" s="13" t="s">
        <v>51</v>
      </c>
      <c r="L21" s="13" t="s">
        <v>60</v>
      </c>
      <c r="M21" s="13" t="s">
        <v>62</v>
      </c>
    </row>
    <row r="22" spans="3:17" ht="14.5" x14ac:dyDescent="0.35">
      <c r="C22"/>
      <c r="D22"/>
      <c r="E22"/>
      <c r="F22"/>
      <c r="G22"/>
      <c r="H22"/>
      <c r="J22" s="13" t="s">
        <v>50</v>
      </c>
      <c r="L22" s="13" t="s">
        <v>61</v>
      </c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14" scale="73" orientation="landscape" verticalDpi="0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4f5549-ab14-4416-aabc-6a2559eaf1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1B8470A32A674BA32B0F0843FD833D" ma:contentTypeVersion="14" ma:contentTypeDescription="Crear nuevo documento." ma:contentTypeScope="" ma:versionID="52e2c345a717e11448dc6c94c1863fe5">
  <xsd:schema xmlns:xsd="http://www.w3.org/2001/XMLSchema" xmlns:xs="http://www.w3.org/2001/XMLSchema" xmlns:p="http://schemas.microsoft.com/office/2006/metadata/properties" xmlns:ns3="9f4f5549-ab14-4416-aabc-6a2559eaf16c" xmlns:ns4="9034eac3-09e6-43ed-a7a7-3f7d0c8b832f" targetNamespace="http://schemas.microsoft.com/office/2006/metadata/properties" ma:root="true" ma:fieldsID="6c9a442cedf2c85f330ab97247a68664" ns3:_="" ns4:_="">
    <xsd:import namespace="9f4f5549-ab14-4416-aabc-6a2559eaf16c"/>
    <xsd:import namespace="9034eac3-09e6-43ed-a7a7-3f7d0c8b83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f5549-ab14-4416-aabc-6a2559eaf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4eac3-09e6-43ed-a7a7-3f7d0c8b83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EB4D1B-82A5-47F3-82CE-58307F8FB0AD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9034eac3-09e6-43ed-a7a7-3f7d0c8b832f"/>
    <ds:schemaRef ds:uri="http://schemas.microsoft.com/office/2006/metadata/properties"/>
    <ds:schemaRef ds:uri="9f4f5549-ab14-4416-aabc-6a2559eaf16c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BBE293-00B3-48C5-B5D8-7B4C6B8DB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116D8C-8E16-4BEC-A5E1-333A7525E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4f5549-ab14-4416-aabc-6a2559eaf16c"/>
    <ds:schemaRef ds:uri="9034eac3-09e6-43ed-a7a7-3f7d0c8b8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 2023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Paola Andrea Nuñez Cisternas</cp:lastModifiedBy>
  <cp:lastPrinted>2023-03-08T13:05:18Z</cp:lastPrinted>
  <dcterms:created xsi:type="dcterms:W3CDTF">2018-10-10T19:04:28Z</dcterms:created>
  <dcterms:modified xsi:type="dcterms:W3CDTF">2024-02-14T15:29:40Z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0x010100D61B8470A32A674BA32B0F0843FD833D</vt:lpwstr>
  </property>
</Properties>
</file>