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/ESR 2023/"/>
    </mc:Choice>
  </mc:AlternateContent>
  <xr:revisionPtr revIDLastSave="7" documentId="8_{C51E0149-7E72-4A4F-AFBF-7820910F84DF}" xr6:coauthVersionLast="47" xr6:coauthVersionMax="47" xr10:uidLastSave="{21AEEE78-FC94-466C-9FFA-CEE294770E61}"/>
  <bookViews>
    <workbookView xWindow="-120" yWindow="-120" windowWidth="20730" windowHeight="11160" xr2:uid="{00000000-000D-0000-FFFF-FFFF00000000}"/>
  </bookViews>
  <sheets>
    <sheet name="Distribucion ESR 2023" sheetId="1" r:id="rId1"/>
    <sheet name="Subvencionados U. Estatales" sheetId="2" r:id="rId2"/>
    <sheet name="KM RM" sheetId="3" r:id="rId3"/>
    <sheet name="Oferta Académica CFT Est. 2022" sheetId="4" r:id="rId4"/>
  </sheets>
  <definedNames>
    <definedName name="_xlnm._FilterDatabase" localSheetId="0" hidden="1">'Distribucion ESR 2023'!$A$9:$T$9</definedName>
    <definedName name="_xlnm.Print_Titles" localSheetId="0">'Distribucion ESR 2023'!$A:$B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" i="1" l="1"/>
  <c r="L42" i="1"/>
  <c r="K42" i="1"/>
  <c r="H43" i="1"/>
  <c r="H42" i="1"/>
  <c r="I44" i="1"/>
  <c r="J42" i="1" s="1"/>
  <c r="G44" i="1"/>
  <c r="I43" i="1"/>
  <c r="I42" i="1"/>
  <c r="G43" i="1"/>
  <c r="G42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24" i="1"/>
  <c r="S13" i="1" l="1"/>
  <c r="T13" i="1" s="1"/>
  <c r="S21" i="1"/>
  <c r="T21" i="1" s="1"/>
  <c r="J43" i="1"/>
  <c r="S17" i="1"/>
  <c r="T17" i="1" s="1"/>
  <c r="S23" i="1"/>
  <c r="T23" i="1" s="1"/>
  <c r="S20" i="1"/>
  <c r="T20" i="1" s="1"/>
  <c r="S14" i="1"/>
  <c r="T14" i="1" s="1"/>
  <c r="S22" i="1"/>
  <c r="T22" i="1" s="1"/>
  <c r="S15" i="1"/>
  <c r="T15" i="1" s="1"/>
  <c r="S10" i="1"/>
  <c r="S16" i="1"/>
  <c r="T16" i="1" s="1"/>
  <c r="S18" i="1"/>
  <c r="T18" i="1" s="1"/>
  <c r="S11" i="1"/>
  <c r="T11" i="1" s="1"/>
  <c r="S19" i="1"/>
  <c r="T19" i="1" s="1"/>
  <c r="S12" i="1"/>
  <c r="T12" i="1" s="1"/>
  <c r="S38" i="1"/>
  <c r="S39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G38" i="1"/>
  <c r="H38" i="1"/>
  <c r="J38" i="1"/>
  <c r="K38" i="1"/>
  <c r="T10" i="1" l="1"/>
  <c r="C44" i="1"/>
  <c r="I8" i="2"/>
  <c r="I9" i="2"/>
  <c r="I12" i="2"/>
  <c r="J12" i="2" s="1"/>
  <c r="I13" i="2"/>
  <c r="J13" i="2" s="1"/>
  <c r="I16" i="2"/>
  <c r="J16" i="2" s="1"/>
  <c r="I17" i="2"/>
  <c r="I6" i="2"/>
  <c r="H7" i="2"/>
  <c r="H8" i="2"/>
  <c r="H9" i="2"/>
  <c r="H10" i="2"/>
  <c r="I10" i="2" s="1"/>
  <c r="J10" i="2" s="1"/>
  <c r="H11" i="2"/>
  <c r="I11" i="2" s="1"/>
  <c r="H12" i="2"/>
  <c r="H13" i="2"/>
  <c r="H14" i="2"/>
  <c r="I14" i="2" s="1"/>
  <c r="H15" i="2"/>
  <c r="H16" i="2"/>
  <c r="H17" i="2"/>
  <c r="J17" i="2" s="1"/>
  <c r="H18" i="2"/>
  <c r="I18" i="2" s="1"/>
  <c r="J18" i="2" s="1"/>
  <c r="H19" i="2"/>
  <c r="I19" i="2" s="1"/>
  <c r="J19" i="2" s="1"/>
  <c r="H6" i="2"/>
  <c r="F38" i="1"/>
  <c r="G20" i="2"/>
  <c r="E20" i="2"/>
  <c r="D20" i="2"/>
  <c r="J8" i="2"/>
  <c r="C20" i="2"/>
  <c r="J9" i="2"/>
  <c r="F20" i="2"/>
  <c r="C45" i="1"/>
  <c r="J6" i="2"/>
  <c r="F17" i="3"/>
  <c r="G4" i="3" s="1"/>
  <c r="G8" i="3"/>
  <c r="G12" i="3"/>
  <c r="G16" i="3"/>
  <c r="G6" i="3"/>
  <c r="G14" i="3"/>
  <c r="G11" i="3"/>
  <c r="G5" i="3"/>
  <c r="G9" i="3"/>
  <c r="G13" i="3"/>
  <c r="G3" i="3"/>
  <c r="G17" i="3" s="1"/>
  <c r="G10" i="3"/>
  <c r="G7" i="3"/>
  <c r="G15" i="3"/>
  <c r="K43" i="1" l="1"/>
  <c r="M43" i="1" s="1"/>
  <c r="T38" i="1"/>
  <c r="T39" i="1" s="1"/>
  <c r="J15" i="2"/>
  <c r="J11" i="2"/>
  <c r="H20" i="2"/>
  <c r="I15" i="2"/>
  <c r="I7" i="2"/>
  <c r="I20" i="2" s="1"/>
  <c r="J14" i="2"/>
  <c r="C46" i="1"/>
  <c r="K44" i="1" l="1"/>
  <c r="M42" i="1"/>
  <c r="M44" i="1" s="1"/>
  <c r="L44" i="1"/>
  <c r="K15" i="2"/>
  <c r="I17" i="1" s="1"/>
  <c r="M17" i="1" s="1"/>
  <c r="K14" i="2"/>
  <c r="I22" i="1" s="1"/>
  <c r="K11" i="2"/>
  <c r="I14" i="1" s="1"/>
  <c r="J7" i="2"/>
  <c r="C50" i="1"/>
  <c r="C48" i="1"/>
  <c r="C47" i="1"/>
  <c r="C49" i="1"/>
  <c r="N11" i="1"/>
  <c r="N15" i="1"/>
  <c r="N19" i="1"/>
  <c r="N23" i="1"/>
  <c r="N12" i="1"/>
  <c r="N16" i="1"/>
  <c r="N20" i="1"/>
  <c r="N10" i="1"/>
  <c r="N13" i="1"/>
  <c r="N17" i="1"/>
  <c r="N21" i="1"/>
  <c r="N14" i="1"/>
  <c r="N18" i="1"/>
  <c r="N22" i="1"/>
  <c r="O13" i="1"/>
  <c r="O17" i="1"/>
  <c r="O21" i="1"/>
  <c r="O12" i="1"/>
  <c r="O10" i="1"/>
  <c r="O14" i="1"/>
  <c r="O18" i="1"/>
  <c r="O22" i="1"/>
  <c r="O16" i="1"/>
  <c r="O11" i="1"/>
  <c r="O15" i="1"/>
  <c r="O19" i="1"/>
  <c r="O23" i="1"/>
  <c r="O20" i="1"/>
  <c r="L10" i="1"/>
  <c r="M22" i="1"/>
  <c r="L16" i="1"/>
  <c r="L12" i="1"/>
  <c r="L17" i="1"/>
  <c r="L19" i="1"/>
  <c r="M14" i="1"/>
  <c r="L21" i="1"/>
  <c r="L11" i="1"/>
  <c r="L15" i="1"/>
  <c r="L18" i="1"/>
  <c r="L20" i="1"/>
  <c r="P24" i="1"/>
  <c r="Q24" i="1" s="1"/>
  <c r="L14" i="1"/>
  <c r="L22" i="1"/>
  <c r="P25" i="1"/>
  <c r="Q25" i="1" s="1"/>
  <c r="L13" i="1"/>
  <c r="L23" i="1"/>
  <c r="K7" i="2" l="1"/>
  <c r="I11" i="1" s="1"/>
  <c r="M11" i="1" s="1"/>
  <c r="K10" i="2"/>
  <c r="I13" i="1" s="1"/>
  <c r="M13" i="1" s="1"/>
  <c r="K16" i="2"/>
  <c r="I18" i="1" s="1"/>
  <c r="M18" i="1" s="1"/>
  <c r="P18" i="1" s="1"/>
  <c r="Q18" i="1" s="1"/>
  <c r="K9" i="2"/>
  <c r="I23" i="1" s="1"/>
  <c r="M23" i="1" s="1"/>
  <c r="K13" i="2"/>
  <c r="I16" i="1" s="1"/>
  <c r="M16" i="1" s="1"/>
  <c r="P16" i="1" s="1"/>
  <c r="Q16" i="1" s="1"/>
  <c r="K12" i="2"/>
  <c r="I15" i="1" s="1"/>
  <c r="M15" i="1" s="1"/>
  <c r="P15" i="1" s="1"/>
  <c r="Q15" i="1" s="1"/>
  <c r="K19" i="2"/>
  <c r="I21" i="1" s="1"/>
  <c r="M21" i="1" s="1"/>
  <c r="P21" i="1" s="1"/>
  <c r="Q21" i="1" s="1"/>
  <c r="K6" i="2"/>
  <c r="K8" i="2"/>
  <c r="I12" i="1" s="1"/>
  <c r="M12" i="1" s="1"/>
  <c r="P12" i="1" s="1"/>
  <c r="Q12" i="1" s="1"/>
  <c r="J20" i="2"/>
  <c r="K18" i="2"/>
  <c r="I20" i="1" s="1"/>
  <c r="M20" i="1" s="1"/>
  <c r="P20" i="1" s="1"/>
  <c r="Q20" i="1" s="1"/>
  <c r="K17" i="2"/>
  <c r="I19" i="1" s="1"/>
  <c r="M19" i="1" s="1"/>
  <c r="P19" i="1" s="1"/>
  <c r="Q19" i="1" s="1"/>
  <c r="N38" i="1"/>
  <c r="P23" i="1"/>
  <c r="Q23" i="1" s="1"/>
  <c r="P22" i="1"/>
  <c r="Q22" i="1" s="1"/>
  <c r="P13" i="1"/>
  <c r="Q13" i="1" s="1"/>
  <c r="C51" i="1"/>
  <c r="P14" i="1"/>
  <c r="Q14" i="1" s="1"/>
  <c r="P17" i="1"/>
  <c r="Q17" i="1" s="1"/>
  <c r="P11" i="1"/>
  <c r="Q11" i="1" s="1"/>
  <c r="L38" i="1"/>
  <c r="O38" i="1"/>
  <c r="I10" i="1" l="1"/>
  <c r="K20" i="2"/>
  <c r="I38" i="1" l="1"/>
  <c r="M10" i="1"/>
  <c r="M38" i="1" l="1"/>
  <c r="P10" i="1"/>
  <c r="P38" i="1" l="1"/>
  <c r="Q10" i="1"/>
  <c r="Q38" i="1" s="1"/>
  <c r="R16" i="1" s="1"/>
  <c r="Q39" i="1" l="1"/>
  <c r="R25" i="1"/>
  <c r="R13" i="1"/>
  <c r="R27" i="1"/>
  <c r="R28" i="1"/>
  <c r="R24" i="1"/>
  <c r="R19" i="1"/>
  <c r="R12" i="1"/>
  <c r="R34" i="1"/>
  <c r="R14" i="1"/>
  <c r="R35" i="1"/>
  <c r="R23" i="1"/>
  <c r="R15" i="1"/>
  <c r="R10" i="1"/>
  <c r="R29" i="1"/>
  <c r="R18" i="1"/>
  <c r="R22" i="1"/>
  <c r="R11" i="1"/>
  <c r="R37" i="1"/>
  <c r="R21" i="1"/>
  <c r="R36" i="1"/>
  <c r="R20" i="1"/>
  <c r="R26" i="1"/>
  <c r="R30" i="1"/>
  <c r="R31" i="1"/>
  <c r="R33" i="1"/>
  <c r="R17" i="1"/>
  <c r="R32" i="1"/>
  <c r="R38" i="1" l="1"/>
</calcChain>
</file>

<file path=xl/sharedStrings.xml><?xml version="1.0" encoding="utf-8"?>
<sst xmlns="http://schemas.openxmlformats.org/spreadsheetml/2006/main" count="392" uniqueCount="222">
  <si>
    <t>Instituciones</t>
  </si>
  <si>
    <t>Región</t>
  </si>
  <si>
    <t>Tipo IES</t>
  </si>
  <si>
    <t>Ciudad</t>
  </si>
  <si>
    <t>Universidad Regional</t>
  </si>
  <si>
    <t>Km RM</t>
  </si>
  <si>
    <t>CRUCH-ESTATAL</t>
  </si>
  <si>
    <t>UVA</t>
  </si>
  <si>
    <t>U. de Valparaíso</t>
  </si>
  <si>
    <t>Valparaíso</t>
  </si>
  <si>
    <t>ANT</t>
  </si>
  <si>
    <t>U. de Antofagasta</t>
  </si>
  <si>
    <t>Antofagasta</t>
  </si>
  <si>
    <t>ULS</t>
  </si>
  <si>
    <t>U. de la Serena</t>
  </si>
  <si>
    <t>Coquimbo</t>
  </si>
  <si>
    <t>La Serena</t>
  </si>
  <si>
    <t>UBB</t>
  </si>
  <si>
    <t>Bío-Bío</t>
  </si>
  <si>
    <t>Concepción</t>
  </si>
  <si>
    <t>FRO</t>
  </si>
  <si>
    <t>U. de la Frontera</t>
  </si>
  <si>
    <t>Araucanía</t>
  </si>
  <si>
    <t>Temuco</t>
  </si>
  <si>
    <t>MAG</t>
  </si>
  <si>
    <t>U. de Magallanes</t>
  </si>
  <si>
    <t>Magallanes</t>
  </si>
  <si>
    <t>Punta Arenas</t>
  </si>
  <si>
    <t>TAL</t>
  </si>
  <si>
    <t>U. de Talca</t>
  </si>
  <si>
    <t>Maule</t>
  </si>
  <si>
    <t>Talca</t>
  </si>
  <si>
    <t>ATA</t>
  </si>
  <si>
    <t>U. de Atacama</t>
  </si>
  <si>
    <t>Atacama</t>
  </si>
  <si>
    <t>Copiapó</t>
  </si>
  <si>
    <t>UTA</t>
  </si>
  <si>
    <t>U. de Tarapacá</t>
  </si>
  <si>
    <t>Arica y Parinacota</t>
  </si>
  <si>
    <t>Arica</t>
  </si>
  <si>
    <t>UAP</t>
  </si>
  <si>
    <t>U. Arturo Prat</t>
  </si>
  <si>
    <t>Tarapacá</t>
  </si>
  <si>
    <t>Iquique</t>
  </si>
  <si>
    <t>UPA</t>
  </si>
  <si>
    <t>U. de Playa Ancha</t>
  </si>
  <si>
    <t>ULA</t>
  </si>
  <si>
    <t>U. de Los Lagos</t>
  </si>
  <si>
    <t>Los Lagos</t>
  </si>
  <si>
    <t>Osorno</t>
  </si>
  <si>
    <t>URO</t>
  </si>
  <si>
    <t>U. de O'Higgins</t>
  </si>
  <si>
    <t>O'Higgins</t>
  </si>
  <si>
    <t>Rancagua</t>
  </si>
  <si>
    <t>URY</t>
  </si>
  <si>
    <t>U. de Aysén</t>
  </si>
  <si>
    <t>Aysén</t>
  </si>
  <si>
    <t>Coyhaique</t>
  </si>
  <si>
    <t>UNIVERSIDAD ARTURO PRAT</t>
  </si>
  <si>
    <t>UNIVERSIDAD DE ANTOFAGASTA</t>
  </si>
  <si>
    <t>UNIVERSIDAD DE ATACAMA</t>
  </si>
  <si>
    <t>UNIVERSIDAD DE LA FRONTERA</t>
  </si>
  <si>
    <t>UNIVERSIDAD DE LA SERENA</t>
  </si>
  <si>
    <t>UNIVERSIDAD DE LOS LAGOS</t>
  </si>
  <si>
    <t>UNIVERSIDAD DE MAGALLANES</t>
  </si>
  <si>
    <t>UNIVERSIDAD DE PLAYA ANCHA DE CIENCIAS DE LA EDUCACION</t>
  </si>
  <si>
    <t>UNIVERSIDAD DE TALCA</t>
  </si>
  <si>
    <t>UNIVERSIDAD DE TARAPACA</t>
  </si>
  <si>
    <t>UNIVERSIDAD DE VALPARAISO</t>
  </si>
  <si>
    <t>UNIVERSIDAD DEL BIO-BIO</t>
  </si>
  <si>
    <t>U. del Bio Bio</t>
  </si>
  <si>
    <t>% Matrícula Subvencionada</t>
  </si>
  <si>
    <t>NOMBRE INSTITUCIÓN</t>
  </si>
  <si>
    <t>Suma de TOTAL TES</t>
  </si>
  <si>
    <t>Total</t>
  </si>
  <si>
    <t>% KM</t>
  </si>
  <si>
    <t>% KM RM</t>
  </si>
  <si>
    <t>Código</t>
  </si>
  <si>
    <t>Matrícula Subvencionada</t>
  </si>
  <si>
    <t>KM RM</t>
  </si>
  <si>
    <t>% Distribución</t>
  </si>
  <si>
    <t>NIVEL GLOBAL</t>
  </si>
  <si>
    <t>Pregrado</t>
  </si>
  <si>
    <t>TIPO DE PLAN DE LA CARRERA</t>
  </si>
  <si>
    <t>Plan Regular</t>
  </si>
  <si>
    <t>Suma de TES MUNICIPAL</t>
  </si>
  <si>
    <t>Suma de TES PARTICULAR SUBVENCIONADO</t>
  </si>
  <si>
    <t>Suma de TES PARTICULAR PAGADO</t>
  </si>
  <si>
    <t>UNIVERSIDAD DE AYSEN</t>
  </si>
  <si>
    <t>UNIVERSIDAD DE O'HIGGINS</t>
  </si>
  <si>
    <t>% Matrícula Subvencionada por IES</t>
  </si>
  <si>
    <t>% Ajustado</t>
  </si>
  <si>
    <t>CFT Estatal</t>
  </si>
  <si>
    <t>Transferencias Corrientes</t>
  </si>
  <si>
    <t>Transferencias de Capital</t>
  </si>
  <si>
    <t>CFT ESTATAL</t>
  </si>
  <si>
    <t>Oferta Académica CFT Estatal</t>
  </si>
  <si>
    <t>Monto a Distribuir por Indicadores</t>
  </si>
  <si>
    <t>Suma de TES SERVICIO LOCAL EDUCACION</t>
  </si>
  <si>
    <t>Código DFI</t>
  </si>
  <si>
    <t>Totales</t>
  </si>
  <si>
    <t>Total con decimales M$</t>
  </si>
  <si>
    <t>CRM</t>
  </si>
  <si>
    <t>CRA</t>
  </si>
  <si>
    <t>CRC</t>
  </si>
  <si>
    <t>CRT</t>
  </si>
  <si>
    <t>CRL</t>
  </si>
  <si>
    <t>CALAMA</t>
  </si>
  <si>
    <t>LA UNION</t>
  </si>
  <si>
    <t>PORVENIR</t>
  </si>
  <si>
    <t>VIÑA DEL MAR</t>
  </si>
  <si>
    <t>CRR</t>
  </si>
  <si>
    <t>CEM</t>
  </si>
  <si>
    <t>CRV</t>
  </si>
  <si>
    <t>CAN</t>
  </si>
  <si>
    <t>CEA</t>
  </si>
  <si>
    <t>CRP</t>
  </si>
  <si>
    <t>ANTOFAGASTA</t>
  </si>
  <si>
    <t>ATACAMA</t>
  </si>
  <si>
    <t>MAGALLANES Y DE LA ANTARTICA CHILENA</t>
  </si>
  <si>
    <t>ARAUCANIA</t>
  </si>
  <si>
    <t>COQUIMBO</t>
  </si>
  <si>
    <t>LOS LAGOS</t>
  </si>
  <si>
    <t>MAULE</t>
  </si>
  <si>
    <t>ARICA Y PARINACOTA</t>
  </si>
  <si>
    <t>LOS RIOS</t>
  </si>
  <si>
    <t>TARAPACA</t>
  </si>
  <si>
    <t>VALPARAISO</t>
  </si>
  <si>
    <t>CHAÑARAL</t>
  </si>
  <si>
    <t>LAUTARO</t>
  </si>
  <si>
    <t>OVALLE</t>
  </si>
  <si>
    <t>LLANQUIHUE</t>
  </si>
  <si>
    <t>LINARES</t>
  </si>
  <si>
    <t>ARICA</t>
  </si>
  <si>
    <t>ALTO HOSPICIO</t>
  </si>
  <si>
    <t>Ley de Presupuestos 2022</t>
  </si>
  <si>
    <t>CRY</t>
  </si>
  <si>
    <t>CRB</t>
  </si>
  <si>
    <t>CRO</t>
  </si>
  <si>
    <t>REGION DE ANTOFAGASTA</t>
  </si>
  <si>
    <t>REGION DE ARICA Y PARINACOTA</t>
  </si>
  <si>
    <t>REGION DE ATACAMA</t>
  </si>
  <si>
    <t>REGION DE AYSEN DEL GENERAL CARLOS IBAÑEZ DEL CAMPO</t>
  </si>
  <si>
    <t>REGION DE COQUIMBO</t>
  </si>
  <si>
    <t>REGION DE LA ARAUCANIA</t>
  </si>
  <si>
    <t>REGION DE LOS LAGOS</t>
  </si>
  <si>
    <t>REGION DE LOS RIOS</t>
  </si>
  <si>
    <t>REGION DE MAGALLANES Y DE LA ANTARTICA CHILENA</t>
  </si>
  <si>
    <t>REGION DE TARAPACA</t>
  </si>
  <si>
    <t>REGION DE VALPARAISO</t>
  </si>
  <si>
    <t>REGION DEL BIOBIO</t>
  </si>
  <si>
    <t>REGION DEL LIBERTADOR BERNARDO OHIGGINS</t>
  </si>
  <si>
    <t>REGION DEL MAULE</t>
  </si>
  <si>
    <t>AYSEN DEL GENERAL CARLOS IBAÑEZ DEL CAMPO</t>
  </si>
  <si>
    <t>BIOBIO</t>
  </si>
  <si>
    <t>LIBERTADOR BERNARDO OHIGGINS</t>
  </si>
  <si>
    <t>AYSEN</t>
  </si>
  <si>
    <t>TIRUA</t>
  </si>
  <si>
    <t>SAN VICENTE</t>
  </si>
  <si>
    <t>Suma de TES CORP. DE ADMINISTRACIÓN DELEGADA</t>
  </si>
  <si>
    <t>Suma de Total Subvencionado</t>
  </si>
  <si>
    <t>Vinculación con el Medio</t>
  </si>
  <si>
    <t xml:space="preserve">Universidades Estatales y CFT Estatales </t>
  </si>
  <si>
    <t>Miles de pesos</t>
  </si>
  <si>
    <t>Año 2023</t>
  </si>
  <si>
    <t>Total ESR
2023
Sin decimales
M$</t>
  </si>
  <si>
    <t>Monto 
ESR  
2023
Transferencias Corrientes 
M$</t>
  </si>
  <si>
    <t>Monto 
ESR
2023
Transferencias de Capital
M$</t>
  </si>
  <si>
    <t>Educación Superior Regional (ESR)</t>
  </si>
  <si>
    <t>CFT Estatales</t>
  </si>
  <si>
    <t> Universidad Arturo Prat</t>
  </si>
  <si>
    <t>AUS</t>
  </si>
  <si>
    <t>CES</t>
  </si>
  <si>
    <t>USA</t>
  </si>
  <si>
    <t>IES</t>
  </si>
  <si>
    <t>Cod DFI</t>
  </si>
  <si>
    <t>Oferta Académica 2022</t>
  </si>
  <si>
    <t>Universidad Tutora 2022</t>
  </si>
  <si>
    <t>CFT ESTATAL DE LA ARAUCANÍA</t>
  </si>
  <si>
    <t>Si</t>
  </si>
  <si>
    <t> Universidad de La Frontera</t>
  </si>
  <si>
    <t>CFT ESTATAL DEL MAULE</t>
  </si>
  <si>
    <t> Universidad de Talca</t>
  </si>
  <si>
    <t>CFT ESTATAL DE COQUIMBO</t>
  </si>
  <si>
    <t> Universidad de La Serena</t>
  </si>
  <si>
    <t>CFT ESTATAL DE LOS LAGOS</t>
  </si>
  <si>
    <t> Universidad de Los Lagos</t>
  </si>
  <si>
    <t>CFT ESTATAL DE TARAPACÁ</t>
  </si>
  <si>
    <t>CFT ESTATAL DE ANTOFAGASTA</t>
  </si>
  <si>
    <t> Universidad de Antofagasta</t>
  </si>
  <si>
    <t>CFT ESTATAL DE LOS RÍOS</t>
  </si>
  <si>
    <t> Universidad Austral</t>
  </si>
  <si>
    <t>CFT ESTATAL DE MAGALLANES</t>
  </si>
  <si>
    <t> Universidad Magallanes</t>
  </si>
  <si>
    <t>CFT ESTATAL DE SANTIAGO</t>
  </si>
  <si>
    <t> Universidad de Santiago</t>
  </si>
  <si>
    <t>CFT ESTATAL DE VALPARAÍSO</t>
  </si>
  <si>
    <t> Universidad de Playa Ancha</t>
  </si>
  <si>
    <t>CFT ESTATAL DE ARICA Y PARINACOTA</t>
  </si>
  <si>
    <t> Universidad de Tarapacá</t>
  </si>
  <si>
    <t>CFT ESTATAL DE ATACAMA</t>
  </si>
  <si>
    <t> Universidad de Atacama</t>
  </si>
  <si>
    <t>CFT ESTATAL DE O'HIGGINS</t>
  </si>
  <si>
    <t>CFT ESTATAL DE AYSÉN</t>
  </si>
  <si>
    <t>CFT ESTATAL DEL BÍO BIO</t>
  </si>
  <si>
    <t> Universidad del Bio Bío</t>
  </si>
  <si>
    <t>Codigo Universidad Tutora 2022</t>
  </si>
  <si>
    <t>Oferta Académica Año 2022</t>
  </si>
  <si>
    <t>Unidad de Anáslisis e Información, DFI-SUBESUP</t>
  </si>
  <si>
    <t>AÑO</t>
  </si>
  <si>
    <t>MAT_2022</t>
  </si>
  <si>
    <t>Programa</t>
  </si>
  <si>
    <t>Asign</t>
  </si>
  <si>
    <t>TP</t>
  </si>
  <si>
    <t>U</t>
  </si>
  <si>
    <t>Total distribuido</t>
  </si>
  <si>
    <t>Disponible</t>
  </si>
  <si>
    <t>Saldo</t>
  </si>
  <si>
    <t>% TP</t>
  </si>
  <si>
    <t>% Disponible</t>
  </si>
  <si>
    <t xml:space="preserve"> Marzo 2023</t>
  </si>
  <si>
    <t>Dex. N° 196 - 2023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</si>
</sst>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0.000%"/>
    <numFmt numFmtId="168" formatCode="_-* #,##0.0_-;\-* #,##0.0_-;_-* &quot;-&quot;??_-;_-@_-"/>
    <numFmt numFmtId="169" formatCode="_ * #,##0.0_ ;_ * \-#,##0.0_ ;_ * &quot;-&quot;_ ;_ @_ "/>
    <numFmt numFmtId="170" formatCode="#,##0.0"/>
    <numFmt numFmtId="171" formatCode="0#"/>
    <numFmt numFmtId="172" formatCode="_ * #,##0.0_ ;_ * \-#,##0.0_ ;_ * &quot;-&quot;??_ ;_ @_ "/>
    <numFmt numFmtId="173" formatCode="_ * #,##0.0_ ;_ * \-#,##0.0_ ;_ * &quot;-&quot;?_ ;_ @_ "/>
    <numFmt numFmtId="174" formatCode="_ * #,##0.00_ ;_ * \-#,##0.00_ ;_ * &quot;-&quot;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9"/>
      <color theme="4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</cellStyleXfs>
  <cellXfs count="89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165" fontId="4" fillId="0" borderId="0" xfId="0" applyNumberFormat="1" applyFont="1"/>
    <xf numFmtId="9" fontId="4" fillId="0" borderId="0" xfId="2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10" fontId="4" fillId="0" borderId="0" xfId="2" applyNumberFormat="1" applyFont="1"/>
    <xf numFmtId="0" fontId="7" fillId="0" borderId="2" xfId="0" applyFont="1" applyBorder="1"/>
    <xf numFmtId="2" fontId="7" fillId="0" borderId="2" xfId="0" applyNumberFormat="1" applyFont="1" applyBorder="1"/>
    <xf numFmtId="2" fontId="4" fillId="0" borderId="0" xfId="0" applyNumberFormat="1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165" fontId="6" fillId="0" borderId="2" xfId="0" applyNumberFormat="1" applyFont="1" applyBorder="1"/>
    <xf numFmtId="0" fontId="6" fillId="0" borderId="2" xfId="0" applyFont="1" applyBorder="1"/>
    <xf numFmtId="10" fontId="6" fillId="0" borderId="2" xfId="2" applyNumberFormat="1" applyFont="1" applyBorder="1"/>
    <xf numFmtId="0" fontId="6" fillId="2" borderId="2" xfId="0" applyFont="1" applyFill="1" applyBorder="1"/>
    <xf numFmtId="0" fontId="4" fillId="0" borderId="2" xfId="0" applyFont="1" applyBorder="1"/>
    <xf numFmtId="0" fontId="4" fillId="3" borderId="2" xfId="0" applyFont="1" applyFill="1" applyBorder="1"/>
    <xf numFmtId="165" fontId="4" fillId="0" borderId="2" xfId="1" applyNumberFormat="1" applyFont="1" applyBorder="1"/>
    <xf numFmtId="165" fontId="4" fillId="3" borderId="2" xfId="1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65" fontId="4" fillId="3" borderId="2" xfId="0" applyNumberFormat="1" applyFont="1" applyFill="1" applyBorder="1"/>
    <xf numFmtId="165" fontId="6" fillId="2" borderId="2" xfId="1" applyNumberFormat="1" applyFont="1" applyFill="1" applyBorder="1"/>
    <xf numFmtId="165" fontId="6" fillId="2" borderId="2" xfId="0" applyNumberFormat="1" applyFont="1" applyFill="1" applyBorder="1"/>
    <xf numFmtId="0" fontId="7" fillId="0" borderId="0" xfId="0" applyFont="1"/>
    <xf numFmtId="0" fontId="8" fillId="0" borderId="2" xfId="0" applyFont="1" applyBorder="1"/>
    <xf numFmtId="41" fontId="7" fillId="0" borderId="2" xfId="3" applyFont="1" applyBorder="1"/>
    <xf numFmtId="41" fontId="8" fillId="0" borderId="2" xfId="3" applyFont="1" applyBorder="1"/>
    <xf numFmtId="0" fontId="7" fillId="0" borderId="3" xfId="0" applyFont="1" applyBorder="1"/>
    <xf numFmtId="9" fontId="8" fillId="0" borderId="2" xfId="2" applyFont="1" applyFill="1" applyBorder="1"/>
    <xf numFmtId="164" fontId="6" fillId="0" borderId="2" xfId="0" applyNumberFormat="1" applyFont="1" applyBorder="1"/>
    <xf numFmtId="0" fontId="6" fillId="0" borderId="3" xfId="0" applyFont="1" applyBorder="1"/>
    <xf numFmtId="165" fontId="6" fillId="0" borderId="4" xfId="1" applyNumberFormat="1" applyFont="1" applyBorder="1"/>
    <xf numFmtId="0" fontId="9" fillId="0" borderId="2" xfId="0" applyFont="1" applyBorder="1"/>
    <xf numFmtId="165" fontId="6" fillId="2" borderId="4" xfId="0" applyNumberFormat="1" applyFont="1" applyFill="1" applyBorder="1"/>
    <xf numFmtId="166" fontId="7" fillId="0" borderId="2" xfId="0" applyNumberFormat="1" applyFont="1" applyBorder="1"/>
    <xf numFmtId="167" fontId="6" fillId="0" borderId="2" xfId="2" applyNumberFormat="1" applyFont="1" applyBorder="1"/>
    <xf numFmtId="168" fontId="6" fillId="0" borderId="2" xfId="0" applyNumberFormat="1" applyFont="1" applyBorder="1"/>
    <xf numFmtId="168" fontId="6" fillId="0" borderId="2" xfId="1" applyNumberFormat="1" applyFont="1" applyBorder="1"/>
    <xf numFmtId="169" fontId="6" fillId="0" borderId="2" xfId="3" applyNumberFormat="1" applyFont="1" applyBorder="1"/>
    <xf numFmtId="165" fontId="4" fillId="0" borderId="2" xfId="0" applyNumberFormat="1" applyFont="1" applyBorder="1"/>
    <xf numFmtId="0" fontId="4" fillId="4" borderId="2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/>
    <xf numFmtId="10" fontId="6" fillId="4" borderId="2" xfId="2" applyNumberFormat="1" applyFont="1" applyFill="1" applyBorder="1"/>
    <xf numFmtId="165" fontId="4" fillId="4" borderId="2" xfId="0" applyNumberFormat="1" applyFont="1" applyFill="1" applyBorder="1"/>
    <xf numFmtId="10" fontId="4" fillId="4" borderId="2" xfId="2" applyNumberFormat="1" applyFont="1" applyFill="1" applyBorder="1"/>
    <xf numFmtId="0" fontId="4" fillId="5" borderId="2" xfId="0" applyFont="1" applyFill="1" applyBorder="1" applyAlignment="1">
      <alignment horizontal="center" vertical="center" wrapText="1"/>
    </xf>
    <xf numFmtId="165" fontId="6" fillId="5" borderId="2" xfId="0" applyNumberFormat="1" applyFont="1" applyFill="1" applyBorder="1"/>
    <xf numFmtId="0" fontId="5" fillId="0" borderId="0" xfId="4"/>
    <xf numFmtId="0" fontId="2" fillId="0" borderId="0" xfId="4" applyFont="1"/>
    <xf numFmtId="0" fontId="12" fillId="0" borderId="2" xfId="4" applyFont="1" applyBorder="1"/>
    <xf numFmtId="0" fontId="12" fillId="0" borderId="0" xfId="0" applyFont="1"/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4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0" fontId="13" fillId="7" borderId="2" xfId="4" applyFont="1" applyFill="1" applyBorder="1" applyAlignment="1">
      <alignment vertical="center" wrapText="1"/>
    </xf>
    <xf numFmtId="170" fontId="14" fillId="0" borderId="0" xfId="0" applyNumberFormat="1" applyFont="1" applyAlignment="1">
      <alignment horizontal="right"/>
    </xf>
    <xf numFmtId="0" fontId="6" fillId="0" borderId="0" xfId="0" pivotButton="1" applyFont="1"/>
    <xf numFmtId="0" fontId="8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165" fontId="8" fillId="7" borderId="2" xfId="1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/>
    </xf>
    <xf numFmtId="0" fontId="15" fillId="6" borderId="2" xfId="0" applyFont="1" applyFill="1" applyBorder="1" applyAlignment="1">
      <alignment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2" xfId="4" applyFont="1" applyFill="1" applyBorder="1" applyAlignment="1">
      <alignment vertical="center"/>
    </xf>
    <xf numFmtId="0" fontId="0" fillId="0" borderId="2" xfId="0" applyBorder="1"/>
    <xf numFmtId="171" fontId="0" fillId="0" borderId="2" xfId="0" applyNumberFormat="1" applyBorder="1"/>
    <xf numFmtId="164" fontId="6" fillId="5" borderId="2" xfId="0" applyNumberFormat="1" applyFont="1" applyFill="1" applyBorder="1"/>
    <xf numFmtId="172" fontId="0" fillId="0" borderId="2" xfId="0" applyNumberFormat="1" applyBorder="1"/>
    <xf numFmtId="0" fontId="0" fillId="0" borderId="3" xfId="0" applyBorder="1"/>
    <xf numFmtId="0" fontId="0" fillId="0" borderId="5" xfId="0" applyBorder="1"/>
    <xf numFmtId="43" fontId="0" fillId="0" borderId="5" xfId="0" applyNumberFormat="1" applyBorder="1"/>
    <xf numFmtId="173" fontId="0" fillId="0" borderId="2" xfId="0" applyNumberFormat="1" applyBorder="1"/>
    <xf numFmtId="174" fontId="0" fillId="0" borderId="2" xfId="0" applyNumberFormat="1" applyBorder="1"/>
    <xf numFmtId="9" fontId="6" fillId="0" borderId="0" xfId="2" applyFont="1"/>
    <xf numFmtId="0" fontId="6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3" builtinId="6"/>
    <cellStyle name="Normal" xfId="0" builtinId="0"/>
    <cellStyle name="Normal 2" xfId="4" xr:uid="{F2C31D38-DE11-49DD-A1D7-87F35F3E6561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52917</xdr:rowOff>
    </xdr:from>
    <xdr:to>
      <xdr:col>1</xdr:col>
      <xdr:colOff>811743</xdr:colOff>
      <xdr:row>0</xdr:row>
      <xdr:rowOff>1205441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D7A610-AAE8-4AC2-B015-4EE426A9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52917"/>
          <a:ext cx="1266825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269875</xdr:colOff>
      <xdr:row>0</xdr:row>
      <xdr:rowOff>190500</xdr:rowOff>
    </xdr:from>
    <xdr:ext cx="1438373" cy="422735"/>
    <xdr:pic>
      <xdr:nvPicPr>
        <xdr:cNvPr id="3" name="Imagen 2">
          <a:extLst>
            <a:ext uri="{FF2B5EF4-FFF2-40B4-BE49-F238E27FC236}">
              <a16:creationId xmlns:a16="http://schemas.microsoft.com/office/drawing/2014/main" id="{54912D15-8F48-4B66-84BA-9C8529F34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86375" y="190500"/>
          <a:ext cx="1438373" cy="422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zoomScale="80" zoomScaleNormal="80" workbookViewId="0">
      <selection activeCell="A2" sqref="A2:T2"/>
    </sheetView>
  </sheetViews>
  <sheetFormatPr baseColWidth="10" defaultRowHeight="15" x14ac:dyDescent="0.25"/>
  <cols>
    <col min="1" max="1" width="7.28515625" customWidth="1"/>
    <col min="2" max="2" width="46.140625" customWidth="1"/>
    <col min="3" max="3" width="24.7109375" customWidth="1"/>
    <col min="4" max="4" width="15.140625" bestFit="1" customWidth="1"/>
    <col min="5" max="5" width="16" customWidth="1"/>
    <col min="6" max="6" width="11.42578125" customWidth="1"/>
    <col min="7" max="7" width="13" customWidth="1"/>
    <col min="8" max="8" width="14.140625" customWidth="1"/>
    <col min="9" max="9" width="12.28515625" customWidth="1"/>
    <col min="10" max="10" width="16.5703125" customWidth="1"/>
    <col min="11" max="11" width="16.85546875" customWidth="1"/>
    <col min="12" max="12" width="17" bestFit="1" customWidth="1"/>
    <col min="13" max="15" width="12.7109375" customWidth="1"/>
    <col min="16" max="16" width="12.42578125" bestFit="1" customWidth="1"/>
    <col min="17" max="17" width="12.42578125" customWidth="1"/>
    <col min="19" max="19" width="16" customWidth="1"/>
    <col min="20" max="20" width="13.28515625" customWidth="1"/>
    <col min="23" max="23" width="14.85546875" customWidth="1"/>
    <col min="24" max="24" width="14.5703125" customWidth="1"/>
  </cols>
  <sheetData>
    <row r="1" spans="1:20" ht="100.5" customHeight="1" x14ac:dyDescent="0.25"/>
    <row r="2" spans="1:20" ht="19.5" x14ac:dyDescent="0.3">
      <c r="A2" s="85" t="s">
        <v>168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9.5" x14ac:dyDescent="0.3">
      <c r="A3" s="85" t="s">
        <v>162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0" ht="19.5" x14ac:dyDescent="0.3">
      <c r="A4" s="85" t="s">
        <v>164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0" ht="15.75" x14ac:dyDescent="0.25">
      <c r="A5" s="86" t="s">
        <v>163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20" x14ac:dyDescent="0.25">
      <c r="A6" s="81" t="s">
        <v>208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20" x14ac:dyDescent="0.25">
      <c r="A7" s="81" t="s">
        <v>220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</row>
    <row r="8" spans="1:20" ht="17.25" customHeight="1" x14ac:dyDescent="0.25">
      <c r="B8" s="2"/>
      <c r="G8" s="5">
        <v>0.25</v>
      </c>
      <c r="H8" s="5">
        <v>0.25</v>
      </c>
      <c r="I8" s="5">
        <v>0.3</v>
      </c>
      <c r="J8" s="5">
        <v>0.2</v>
      </c>
      <c r="K8" s="5"/>
      <c r="L8" s="5">
        <v>0.25</v>
      </c>
      <c r="M8" s="5">
        <v>0.25</v>
      </c>
      <c r="N8" s="5">
        <v>0.3</v>
      </c>
      <c r="O8" s="5">
        <v>0.2</v>
      </c>
      <c r="S8" s="87" t="s">
        <v>221</v>
      </c>
      <c r="T8" s="88"/>
    </row>
    <row r="9" spans="1:20" ht="76.5" x14ac:dyDescent="0.25">
      <c r="A9" s="3" t="s">
        <v>77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96</v>
      </c>
      <c r="G9" s="3" t="s">
        <v>4</v>
      </c>
      <c r="H9" s="3" t="s">
        <v>161</v>
      </c>
      <c r="I9" s="13" t="s">
        <v>71</v>
      </c>
      <c r="J9" s="3" t="s">
        <v>76</v>
      </c>
      <c r="K9" s="3" t="s">
        <v>96</v>
      </c>
      <c r="L9" s="13" t="s">
        <v>4</v>
      </c>
      <c r="M9" s="13" t="s">
        <v>78</v>
      </c>
      <c r="N9" s="13" t="s">
        <v>161</v>
      </c>
      <c r="O9" s="13" t="s">
        <v>79</v>
      </c>
      <c r="P9" s="3" t="s">
        <v>101</v>
      </c>
      <c r="Q9" s="44" t="s">
        <v>165</v>
      </c>
      <c r="R9" s="44" t="s">
        <v>80</v>
      </c>
      <c r="S9" s="49" t="s">
        <v>166</v>
      </c>
      <c r="T9" s="49" t="s">
        <v>167</v>
      </c>
    </row>
    <row r="10" spans="1:20" x14ac:dyDescent="0.25">
      <c r="A10" s="36" t="s">
        <v>40</v>
      </c>
      <c r="B10" s="15" t="s">
        <v>41</v>
      </c>
      <c r="C10" s="15" t="s">
        <v>42</v>
      </c>
      <c r="D10" s="15" t="s">
        <v>6</v>
      </c>
      <c r="E10" s="15" t="s">
        <v>43</v>
      </c>
      <c r="F10" s="15">
        <v>0</v>
      </c>
      <c r="G10" s="15">
        <v>1</v>
      </c>
      <c r="H10" s="15">
        <v>1</v>
      </c>
      <c r="I10" s="39">
        <f>VLOOKUP(A10,'Subvencionados U. Estatales'!$B$6:$K$19,10,0)</f>
        <v>7.4968143479597085E-2</v>
      </c>
      <c r="J10" s="16">
        <v>0.12823505524002601</v>
      </c>
      <c r="K10" s="15">
        <v>0</v>
      </c>
      <c r="L10" s="40">
        <f t="shared" ref="L10:L23" si="0">$G$8*$C$46*(G10/$G$38)</f>
        <v>147314.21428571429</v>
      </c>
      <c r="M10" s="41">
        <f t="shared" ref="M10:M23" si="1">$I$8*$C$46*(I10)</f>
        <v>185537.06897301305</v>
      </c>
      <c r="N10" s="42">
        <f t="shared" ref="N10:N23" si="2">$H$8*$C$46*(H10/$H$38)</f>
        <v>171866.58333333331</v>
      </c>
      <c r="O10" s="33">
        <f t="shared" ref="O10:O23" si="3">$J$8*$C$46*J10</f>
        <v>211577.47975357957</v>
      </c>
      <c r="P10" s="33">
        <f>K10+L10+M10+N10+O10</f>
        <v>716295.34634564025</v>
      </c>
      <c r="Q10" s="45">
        <f>ROUND(P10,0)</f>
        <v>716295</v>
      </c>
      <c r="R10" s="46">
        <f t="shared" ref="R10:R37" si="4">Q10/$Q$38</f>
        <v>8.0036582661003094E-2</v>
      </c>
      <c r="S10" s="73">
        <f t="shared" ref="S10:S23" si="5">+ROUND(Q10*$J$42,0)</f>
        <v>587416</v>
      </c>
      <c r="T10" s="50">
        <f t="shared" ref="T10:T23" si="6">+Q10-S10</f>
        <v>128879</v>
      </c>
    </row>
    <row r="11" spans="1:20" x14ac:dyDescent="0.25">
      <c r="A11" s="36" t="s">
        <v>10</v>
      </c>
      <c r="B11" s="15" t="s">
        <v>11</v>
      </c>
      <c r="C11" s="15" t="s">
        <v>12</v>
      </c>
      <c r="D11" s="15" t="s">
        <v>6</v>
      </c>
      <c r="E11" s="15" t="s">
        <v>12</v>
      </c>
      <c r="F11" s="15">
        <v>0</v>
      </c>
      <c r="G11" s="15">
        <v>1</v>
      </c>
      <c r="H11" s="15">
        <v>1</v>
      </c>
      <c r="I11" s="39">
        <f>VLOOKUP(A11,'Subvencionados U. Estatales'!$B$6:$K$19,10,0)</f>
        <v>6.7301252198276915E-2</v>
      </c>
      <c r="J11" s="39">
        <v>9.8511140167966554E-2</v>
      </c>
      <c r="K11" s="15">
        <v>0</v>
      </c>
      <c r="L11" s="40">
        <f t="shared" si="0"/>
        <v>147314.21428571429</v>
      </c>
      <c r="M11" s="41">
        <f t="shared" si="1"/>
        <v>166562.44227896893</v>
      </c>
      <c r="N11" s="42">
        <f t="shared" si="2"/>
        <v>171866.58333333331</v>
      </c>
      <c r="O11" s="14">
        <f t="shared" si="3"/>
        <v>162535.42157701927</v>
      </c>
      <c r="P11" s="33">
        <f t="shared" ref="P11:P37" si="7">K11+L11+M11+N11+O11</f>
        <v>648278.66147503583</v>
      </c>
      <c r="Q11" s="45">
        <f t="shared" ref="Q11:Q37" si="8">ROUND(P11,0)</f>
        <v>648279</v>
      </c>
      <c r="R11" s="46">
        <f t="shared" si="4"/>
        <v>7.2436685682424728E-2</v>
      </c>
      <c r="S11" s="73">
        <f t="shared" si="5"/>
        <v>531638</v>
      </c>
      <c r="T11" s="50">
        <f t="shared" si="6"/>
        <v>116641</v>
      </c>
    </row>
    <row r="12" spans="1:20" x14ac:dyDescent="0.25">
      <c r="A12" s="36" t="s">
        <v>32</v>
      </c>
      <c r="B12" s="15" t="s">
        <v>33</v>
      </c>
      <c r="C12" s="15" t="s">
        <v>34</v>
      </c>
      <c r="D12" s="15" t="s">
        <v>6</v>
      </c>
      <c r="E12" s="15" t="s">
        <v>35</v>
      </c>
      <c r="F12" s="15">
        <v>0</v>
      </c>
      <c r="G12" s="15">
        <v>1</v>
      </c>
      <c r="H12" s="15">
        <v>1</v>
      </c>
      <c r="I12" s="39">
        <f>VLOOKUP(A12,'Subvencionados U. Estatales'!$B$6:$K$19,10,0)</f>
        <v>7.3228191555532465E-2</v>
      </c>
      <c r="J12" s="39">
        <v>5.7869543679365927E-2</v>
      </c>
      <c r="K12" s="15">
        <v>0</v>
      </c>
      <c r="L12" s="40">
        <f t="shared" si="0"/>
        <v>147314.21428571429</v>
      </c>
      <c r="M12" s="41">
        <f t="shared" si="1"/>
        <v>181230.89884312631</v>
      </c>
      <c r="N12" s="42">
        <f t="shared" si="2"/>
        <v>171866.58333333331</v>
      </c>
      <c r="O12" s="14">
        <f t="shared" si="3"/>
        <v>95480.071211824499</v>
      </c>
      <c r="P12" s="33">
        <f t="shared" si="7"/>
        <v>595891.76767399837</v>
      </c>
      <c r="Q12" s="45">
        <f t="shared" si="8"/>
        <v>595892</v>
      </c>
      <c r="R12" s="46">
        <f t="shared" si="4"/>
        <v>6.6583124711229943E-2</v>
      </c>
      <c r="S12" s="73">
        <f t="shared" si="5"/>
        <v>488676</v>
      </c>
      <c r="T12" s="50">
        <f t="shared" si="6"/>
        <v>107216</v>
      </c>
    </row>
    <row r="13" spans="1:20" x14ac:dyDescent="0.25">
      <c r="A13" s="36" t="s">
        <v>20</v>
      </c>
      <c r="B13" s="15" t="s">
        <v>21</v>
      </c>
      <c r="C13" s="15" t="s">
        <v>22</v>
      </c>
      <c r="D13" s="15" t="s">
        <v>6</v>
      </c>
      <c r="E13" s="15" t="s">
        <v>23</v>
      </c>
      <c r="F13" s="15">
        <v>0</v>
      </c>
      <c r="G13" s="15">
        <v>1</v>
      </c>
      <c r="H13" s="15">
        <v>1</v>
      </c>
      <c r="I13" s="39">
        <f>VLOOKUP(A13,'Subvencionados U. Estatales'!$B$6:$K$19,10,0)</f>
        <v>7.1361716222512334E-2</v>
      </c>
      <c r="J13" s="39">
        <v>4.9677862516272486E-2</v>
      </c>
      <c r="K13" s="15">
        <v>0</v>
      </c>
      <c r="L13" s="40">
        <f t="shared" si="0"/>
        <v>147314.21428571429</v>
      </c>
      <c r="M13" s="41">
        <f t="shared" si="1"/>
        <v>176611.59861071184</v>
      </c>
      <c r="N13" s="42">
        <f t="shared" si="2"/>
        <v>171866.58333333331</v>
      </c>
      <c r="O13" s="14">
        <f t="shared" si="3"/>
        <v>81964.459180558304</v>
      </c>
      <c r="P13" s="33">
        <f t="shared" si="7"/>
        <v>577756.85541031777</v>
      </c>
      <c r="Q13" s="45">
        <f t="shared" si="8"/>
        <v>577757</v>
      </c>
      <c r="R13" s="46">
        <f t="shared" si="4"/>
        <v>6.455677603288193E-2</v>
      </c>
      <c r="S13" s="73">
        <f t="shared" si="5"/>
        <v>473804</v>
      </c>
      <c r="T13" s="50">
        <f t="shared" si="6"/>
        <v>103953</v>
      </c>
    </row>
    <row r="14" spans="1:20" x14ac:dyDescent="0.25">
      <c r="A14" s="36" t="s">
        <v>13</v>
      </c>
      <c r="B14" s="15" t="s">
        <v>14</v>
      </c>
      <c r="C14" s="15" t="s">
        <v>15</v>
      </c>
      <c r="D14" s="15" t="s">
        <v>6</v>
      </c>
      <c r="E14" s="15" t="s">
        <v>16</v>
      </c>
      <c r="F14" s="15">
        <v>0</v>
      </c>
      <c r="G14" s="15">
        <v>1</v>
      </c>
      <c r="H14" s="15">
        <v>1</v>
      </c>
      <c r="I14" s="39">
        <f>VLOOKUP(A14,'Subvencionados U. Estatales'!$B$6:$K$19,10,0)</f>
        <v>6.9319215073340212E-2</v>
      </c>
      <c r="J14" s="39">
        <v>3.3864756978445452E-2</v>
      </c>
      <c r="K14" s="15">
        <v>0</v>
      </c>
      <c r="L14" s="40">
        <f t="shared" si="0"/>
        <v>147314.21428571429</v>
      </c>
      <c r="M14" s="41">
        <f t="shared" si="1"/>
        <v>171556.65581765011</v>
      </c>
      <c r="N14" s="42">
        <f t="shared" si="2"/>
        <v>171866.58333333331</v>
      </c>
      <c r="O14" s="14">
        <f t="shared" si="3"/>
        <v>55874.112742071142</v>
      </c>
      <c r="P14" s="33">
        <f t="shared" si="7"/>
        <v>546611.56617876887</v>
      </c>
      <c r="Q14" s="45">
        <f t="shared" si="8"/>
        <v>546612</v>
      </c>
      <c r="R14" s="46">
        <f t="shared" si="4"/>
        <v>6.1076730287795145E-2</v>
      </c>
      <c r="S14" s="73">
        <f t="shared" si="5"/>
        <v>448263</v>
      </c>
      <c r="T14" s="50">
        <f t="shared" si="6"/>
        <v>98349</v>
      </c>
    </row>
    <row r="15" spans="1:20" x14ac:dyDescent="0.25">
      <c r="A15" s="36" t="s">
        <v>46</v>
      </c>
      <c r="B15" s="15" t="s">
        <v>47</v>
      </c>
      <c r="C15" s="15" t="s">
        <v>48</v>
      </c>
      <c r="D15" s="15" t="s">
        <v>6</v>
      </c>
      <c r="E15" s="15" t="s">
        <v>49</v>
      </c>
      <c r="F15" s="15">
        <v>0</v>
      </c>
      <c r="G15" s="15">
        <v>1</v>
      </c>
      <c r="H15" s="15">
        <v>1</v>
      </c>
      <c r="I15" s="39">
        <f>VLOOKUP(A15,'Subvencionados U. Estatales'!$B$6:$K$19,10,0)</f>
        <v>7.4546489480810441E-2</v>
      </c>
      <c r="J15" s="39">
        <v>6.7096615324355152E-2</v>
      </c>
      <c r="K15" s="15">
        <v>0</v>
      </c>
      <c r="L15" s="40">
        <f t="shared" si="0"/>
        <v>147314.21428571429</v>
      </c>
      <c r="M15" s="41">
        <f t="shared" si="1"/>
        <v>184493.52643048076</v>
      </c>
      <c r="N15" s="42">
        <f t="shared" si="2"/>
        <v>171866.58333333331</v>
      </c>
      <c r="O15" s="14">
        <f t="shared" si="3"/>
        <v>110703.99387866781</v>
      </c>
      <c r="P15" s="33">
        <f t="shared" si="7"/>
        <v>614378.31792819616</v>
      </c>
      <c r="Q15" s="45">
        <f t="shared" si="8"/>
        <v>614378</v>
      </c>
      <c r="R15" s="46">
        <f t="shared" si="4"/>
        <v>6.8648693041416964E-2</v>
      </c>
      <c r="S15" s="73">
        <f t="shared" si="5"/>
        <v>503836</v>
      </c>
      <c r="T15" s="50">
        <f t="shared" si="6"/>
        <v>110542</v>
      </c>
    </row>
    <row r="16" spans="1:20" x14ac:dyDescent="0.25">
      <c r="A16" s="36" t="s">
        <v>24</v>
      </c>
      <c r="B16" s="15" t="s">
        <v>25</v>
      </c>
      <c r="C16" s="15" t="s">
        <v>119</v>
      </c>
      <c r="D16" s="15" t="s">
        <v>6</v>
      </c>
      <c r="E16" s="15" t="s">
        <v>27</v>
      </c>
      <c r="F16" s="15">
        <v>0</v>
      </c>
      <c r="G16" s="15">
        <v>1</v>
      </c>
      <c r="H16" s="15">
        <v>1</v>
      </c>
      <c r="I16" s="39">
        <f>VLOOKUP(A16,'Subvencionados U. Estatales'!$B$6:$K$19,10,0)</f>
        <v>6.909290818943252E-2</v>
      </c>
      <c r="J16" s="39">
        <v>0.21627204704906514</v>
      </c>
      <c r="K16" s="15">
        <v>0</v>
      </c>
      <c r="L16" s="40">
        <f t="shared" si="0"/>
        <v>147314.21428571429</v>
      </c>
      <c r="M16" s="41">
        <f t="shared" si="1"/>
        <v>170996.57370837292</v>
      </c>
      <c r="N16" s="42">
        <f t="shared" si="2"/>
        <v>171866.58333333331</v>
      </c>
      <c r="O16" s="14">
        <f t="shared" si="3"/>
        <v>356831.40284955595</v>
      </c>
      <c r="P16" s="33">
        <f t="shared" si="7"/>
        <v>847008.77417697641</v>
      </c>
      <c r="Q16" s="45">
        <f t="shared" si="8"/>
        <v>847009</v>
      </c>
      <c r="R16" s="46">
        <f t="shared" si="4"/>
        <v>9.464215978488412E-2</v>
      </c>
      <c r="S16" s="73">
        <f t="shared" si="5"/>
        <v>694611</v>
      </c>
      <c r="T16" s="50">
        <f t="shared" si="6"/>
        <v>152398</v>
      </c>
    </row>
    <row r="17" spans="1:20" x14ac:dyDescent="0.25">
      <c r="A17" s="36" t="s">
        <v>44</v>
      </c>
      <c r="B17" s="15" t="s">
        <v>45</v>
      </c>
      <c r="C17" s="15" t="s">
        <v>9</v>
      </c>
      <c r="D17" s="15" t="s">
        <v>6</v>
      </c>
      <c r="E17" s="15" t="s">
        <v>9</v>
      </c>
      <c r="F17" s="15">
        <v>0</v>
      </c>
      <c r="G17" s="15">
        <v>1</v>
      </c>
      <c r="H17" s="15">
        <v>1</v>
      </c>
      <c r="I17" s="39">
        <f>VLOOKUP(A17,'Subvencionados U. Estatales'!$B$6:$K$19,10,0)</f>
        <v>7.3135229483816996E-2</v>
      </c>
      <c r="J17" s="39">
        <v>8.3486457841318862E-3</v>
      </c>
      <c r="K17" s="15">
        <v>0</v>
      </c>
      <c r="L17" s="40">
        <f t="shared" si="0"/>
        <v>147314.21428571429</v>
      </c>
      <c r="M17" s="41">
        <f t="shared" si="1"/>
        <v>181000.82898263363</v>
      </c>
      <c r="N17" s="42">
        <f t="shared" si="2"/>
        <v>171866.58333333331</v>
      </c>
      <c r="O17" s="14">
        <f t="shared" si="3"/>
        <v>13774.590973238255</v>
      </c>
      <c r="P17" s="33">
        <f t="shared" si="7"/>
        <v>513956.21757491946</v>
      </c>
      <c r="Q17" s="45">
        <f t="shared" si="8"/>
        <v>513956</v>
      </c>
      <c r="R17" s="46">
        <f t="shared" si="4"/>
        <v>5.7427850087070978E-2</v>
      </c>
      <c r="S17" s="73">
        <f t="shared" si="5"/>
        <v>421483</v>
      </c>
      <c r="T17" s="50">
        <f t="shared" si="6"/>
        <v>92473</v>
      </c>
    </row>
    <row r="18" spans="1:20" x14ac:dyDescent="0.25">
      <c r="A18" s="36" t="s">
        <v>28</v>
      </c>
      <c r="B18" s="15" t="s">
        <v>29</v>
      </c>
      <c r="C18" s="15" t="s">
        <v>30</v>
      </c>
      <c r="D18" s="15" t="s">
        <v>6</v>
      </c>
      <c r="E18" s="15" t="s">
        <v>31</v>
      </c>
      <c r="F18" s="15">
        <v>0</v>
      </c>
      <c r="G18" s="15">
        <v>1</v>
      </c>
      <c r="H18" s="15">
        <v>1</v>
      </c>
      <c r="I18" s="39">
        <f>VLOOKUP(A18,'Subvencionados U. Estatales'!$B$6:$K$19,10,0)</f>
        <v>6.9420755460607775E-2</v>
      </c>
      <c r="J18" s="39">
        <v>1.8494464477034206E-2</v>
      </c>
      <c r="K18" s="15">
        <v>0</v>
      </c>
      <c r="L18" s="40">
        <f t="shared" si="0"/>
        <v>147314.21428571429</v>
      </c>
      <c r="M18" s="41">
        <f t="shared" si="1"/>
        <v>171807.95596944241</v>
      </c>
      <c r="N18" s="42">
        <f t="shared" si="2"/>
        <v>171866.58333333331</v>
      </c>
      <c r="O18" s="14">
        <f t="shared" si="3"/>
        <v>30514.372034376698</v>
      </c>
      <c r="P18" s="33">
        <f t="shared" si="7"/>
        <v>521503.12562286673</v>
      </c>
      <c r="Q18" s="45">
        <f t="shared" si="8"/>
        <v>521503</v>
      </c>
      <c r="R18" s="46">
        <f t="shared" si="4"/>
        <v>5.8271128470059261E-2</v>
      </c>
      <c r="S18" s="73">
        <f t="shared" si="5"/>
        <v>427672</v>
      </c>
      <c r="T18" s="50">
        <f t="shared" si="6"/>
        <v>93831</v>
      </c>
    </row>
    <row r="19" spans="1:20" x14ac:dyDescent="0.25">
      <c r="A19" s="36" t="s">
        <v>36</v>
      </c>
      <c r="B19" s="15" t="s">
        <v>37</v>
      </c>
      <c r="C19" s="15" t="s">
        <v>38</v>
      </c>
      <c r="D19" s="15" t="s">
        <v>6</v>
      </c>
      <c r="E19" s="15" t="s">
        <v>39</v>
      </c>
      <c r="F19" s="15">
        <v>0</v>
      </c>
      <c r="G19" s="15">
        <v>1</v>
      </c>
      <c r="H19" s="15">
        <v>1</v>
      </c>
      <c r="I19" s="39">
        <f>VLOOKUP(A19,'Subvencionados U. Estatales'!$B$6:$K$19,10,0)</f>
        <v>7.3133026895362038E-2</v>
      </c>
      <c r="J19" s="39">
        <v>0.14825524463440204</v>
      </c>
      <c r="K19" s="15">
        <v>0</v>
      </c>
      <c r="L19" s="40">
        <f t="shared" si="0"/>
        <v>147314.21428571429</v>
      </c>
      <c r="M19" s="41">
        <f t="shared" si="1"/>
        <v>180995.37784316132</v>
      </c>
      <c r="N19" s="42">
        <f t="shared" si="2"/>
        <v>171866.58333333331</v>
      </c>
      <c r="O19" s="14">
        <f t="shared" si="3"/>
        <v>244609.17462299694</v>
      </c>
      <c r="P19" s="33">
        <f t="shared" si="7"/>
        <v>744785.35008520586</v>
      </c>
      <c r="Q19" s="45">
        <f t="shared" si="8"/>
        <v>744785</v>
      </c>
      <c r="R19" s="46">
        <f t="shared" si="4"/>
        <v>8.3219966937051346E-2</v>
      </c>
      <c r="S19" s="73">
        <f t="shared" si="5"/>
        <v>610780</v>
      </c>
      <c r="T19" s="50">
        <f t="shared" si="6"/>
        <v>134005</v>
      </c>
    </row>
    <row r="20" spans="1:20" x14ac:dyDescent="0.25">
      <c r="A20" s="36" t="s">
        <v>7</v>
      </c>
      <c r="B20" s="15" t="s">
        <v>8</v>
      </c>
      <c r="C20" s="15" t="s">
        <v>9</v>
      </c>
      <c r="D20" s="15" t="s">
        <v>6</v>
      </c>
      <c r="E20" s="15" t="s">
        <v>9</v>
      </c>
      <c r="F20" s="15">
        <v>0</v>
      </c>
      <c r="G20" s="15">
        <v>1</v>
      </c>
      <c r="H20" s="15">
        <v>1</v>
      </c>
      <c r="I20" s="39">
        <f>VLOOKUP(A20,'Subvencionados U. Estatales'!$B$6:$K$19,10,0)</f>
        <v>6.5628971007522643E-2</v>
      </c>
      <c r="J20" s="39">
        <v>8.3486457841318862E-3</v>
      </c>
      <c r="K20" s="15">
        <v>0</v>
      </c>
      <c r="L20" s="40">
        <f t="shared" si="0"/>
        <v>147314.21428571429</v>
      </c>
      <c r="M20" s="41">
        <f t="shared" si="1"/>
        <v>162423.74901233241</v>
      </c>
      <c r="N20" s="42">
        <f t="shared" si="2"/>
        <v>171866.58333333331</v>
      </c>
      <c r="O20" s="14">
        <f t="shared" si="3"/>
        <v>13774.590973238255</v>
      </c>
      <c r="P20" s="33">
        <f t="shared" si="7"/>
        <v>495379.13760461827</v>
      </c>
      <c r="Q20" s="45">
        <f t="shared" si="8"/>
        <v>495379</v>
      </c>
      <c r="R20" s="46">
        <f t="shared" si="4"/>
        <v>5.535211369899979E-2</v>
      </c>
      <c r="S20" s="73">
        <f t="shared" si="5"/>
        <v>406248</v>
      </c>
      <c r="T20" s="50">
        <f t="shared" si="6"/>
        <v>89131</v>
      </c>
    </row>
    <row r="21" spans="1:20" x14ac:dyDescent="0.25">
      <c r="A21" s="36" t="s">
        <v>17</v>
      </c>
      <c r="B21" s="15" t="s">
        <v>70</v>
      </c>
      <c r="C21" s="15" t="s">
        <v>18</v>
      </c>
      <c r="D21" s="15" t="s">
        <v>6</v>
      </c>
      <c r="E21" s="15" t="s">
        <v>19</v>
      </c>
      <c r="F21" s="15">
        <v>0</v>
      </c>
      <c r="G21" s="15">
        <v>1</v>
      </c>
      <c r="H21" s="15">
        <v>1</v>
      </c>
      <c r="I21" s="39">
        <f>VLOOKUP(A21,'Subvencionados U. Estatales'!$B$6:$K$19,10,0)</f>
        <v>7.3485808419403068E-2</v>
      </c>
      <c r="J21" s="39">
        <v>3.5983059341267012E-2</v>
      </c>
      <c r="K21" s="15">
        <v>0</v>
      </c>
      <c r="L21" s="40">
        <f t="shared" si="0"/>
        <v>147314.21428571429</v>
      </c>
      <c r="M21" s="41">
        <f t="shared" si="1"/>
        <v>181868.46935804214</v>
      </c>
      <c r="N21" s="42">
        <f t="shared" si="2"/>
        <v>171866.58333333331</v>
      </c>
      <c r="O21" s="14">
        <f t="shared" si="3"/>
        <v>59369.140481895804</v>
      </c>
      <c r="P21" s="33">
        <f t="shared" si="7"/>
        <v>560418.40745898557</v>
      </c>
      <c r="Q21" s="45">
        <f t="shared" si="8"/>
        <v>560418</v>
      </c>
      <c r="R21" s="46">
        <f t="shared" si="4"/>
        <v>6.2619369926795565E-2</v>
      </c>
      <c r="S21" s="73">
        <f t="shared" si="5"/>
        <v>459585</v>
      </c>
      <c r="T21" s="50">
        <f t="shared" si="6"/>
        <v>100833</v>
      </c>
    </row>
    <row r="22" spans="1:20" x14ac:dyDescent="0.25">
      <c r="A22" s="36" t="s">
        <v>50</v>
      </c>
      <c r="B22" s="15" t="s">
        <v>51</v>
      </c>
      <c r="C22" s="15" t="s">
        <v>52</v>
      </c>
      <c r="D22" s="15" t="s">
        <v>6</v>
      </c>
      <c r="E22" s="15" t="s">
        <v>53</v>
      </c>
      <c r="F22" s="15">
        <v>0</v>
      </c>
      <c r="G22" s="15">
        <v>1</v>
      </c>
      <c r="H22" s="15">
        <v>0</v>
      </c>
      <c r="I22" s="39">
        <f>VLOOKUP(A22,'Subvencionados U. Estatales'!$B$6:$K$19,10,0)</f>
        <v>6.9645019606897229E-2</v>
      </c>
      <c r="J22" s="39">
        <v>6.0287374860315893E-3</v>
      </c>
      <c r="K22" s="15">
        <v>0</v>
      </c>
      <c r="L22" s="40">
        <f t="shared" si="0"/>
        <v>147314.21428571429</v>
      </c>
      <c r="M22" s="41">
        <f t="shared" si="1"/>
        <v>172362.98255069429</v>
      </c>
      <c r="N22" s="42">
        <f t="shared" si="2"/>
        <v>0</v>
      </c>
      <c r="O22" s="14">
        <f t="shared" si="3"/>
        <v>9946.9297299632526</v>
      </c>
      <c r="P22" s="33">
        <f t="shared" si="7"/>
        <v>329624.12656637182</v>
      </c>
      <c r="Q22" s="45">
        <f t="shared" si="8"/>
        <v>329624</v>
      </c>
      <c r="R22" s="46">
        <f t="shared" si="4"/>
        <v>3.6831163868309126E-2</v>
      </c>
      <c r="S22" s="73">
        <f t="shared" si="5"/>
        <v>270317</v>
      </c>
      <c r="T22" s="50">
        <f t="shared" si="6"/>
        <v>59307</v>
      </c>
    </row>
    <row r="23" spans="1:20" x14ac:dyDescent="0.25">
      <c r="A23" s="36" t="s">
        <v>54</v>
      </c>
      <c r="B23" s="15" t="s">
        <v>55</v>
      </c>
      <c r="C23" s="15" t="s">
        <v>56</v>
      </c>
      <c r="D23" s="15" t="s">
        <v>6</v>
      </c>
      <c r="E23" s="15" t="s">
        <v>57</v>
      </c>
      <c r="F23" s="15">
        <v>0</v>
      </c>
      <c r="G23" s="15">
        <v>1</v>
      </c>
      <c r="H23" s="15">
        <v>0</v>
      </c>
      <c r="I23" s="39">
        <f>VLOOKUP(A23,'Subvencionados U. Estatales'!$B$6:$K$19,10,0)</f>
        <v>7.5733272926888334E-2</v>
      </c>
      <c r="J23" s="39">
        <v>0.12301418153750447</v>
      </c>
      <c r="K23" s="15">
        <v>0</v>
      </c>
      <c r="L23" s="40">
        <f t="shared" si="0"/>
        <v>147314.21428571429</v>
      </c>
      <c r="M23" s="41">
        <f t="shared" si="1"/>
        <v>187430.67162136987</v>
      </c>
      <c r="N23" s="42">
        <f t="shared" si="2"/>
        <v>0</v>
      </c>
      <c r="O23" s="14">
        <f t="shared" si="3"/>
        <v>202963.45999101418</v>
      </c>
      <c r="P23" s="33">
        <f t="shared" si="7"/>
        <v>537708.34589809831</v>
      </c>
      <c r="Q23" s="45">
        <f t="shared" si="8"/>
        <v>537708</v>
      </c>
      <c r="R23" s="46">
        <f t="shared" si="4"/>
        <v>6.0081824931742724E-2</v>
      </c>
      <c r="S23" s="73">
        <f t="shared" si="5"/>
        <v>440961</v>
      </c>
      <c r="T23" s="50">
        <f t="shared" si="6"/>
        <v>96747</v>
      </c>
    </row>
    <row r="24" spans="1:20" x14ac:dyDescent="0.25">
      <c r="A24" s="36" t="s">
        <v>114</v>
      </c>
      <c r="B24" s="15" t="s">
        <v>139</v>
      </c>
      <c r="C24" s="15" t="s">
        <v>117</v>
      </c>
      <c r="D24" s="15" t="s">
        <v>95</v>
      </c>
      <c r="E24" s="15" t="s">
        <v>107</v>
      </c>
      <c r="F24" s="34">
        <v>1</v>
      </c>
      <c r="G24" s="17"/>
      <c r="H24" s="17"/>
      <c r="I24" s="17"/>
      <c r="J24" s="17"/>
      <c r="K24" s="35">
        <v>50000</v>
      </c>
      <c r="L24" s="37"/>
      <c r="M24" s="25"/>
      <c r="N24" s="25"/>
      <c r="O24" s="26"/>
      <c r="P24" s="33">
        <f t="shared" si="7"/>
        <v>50000</v>
      </c>
      <c r="Q24" s="45">
        <f t="shared" si="8"/>
        <v>50000</v>
      </c>
      <c r="R24" s="46">
        <f t="shared" si="4"/>
        <v>5.5868449913096625E-3</v>
      </c>
      <c r="S24" s="73">
        <v>41000</v>
      </c>
      <c r="T24" s="50">
        <f>+Q24-S24</f>
        <v>9000</v>
      </c>
    </row>
    <row r="25" spans="1:20" x14ac:dyDescent="0.25">
      <c r="A25" s="36" t="s">
        <v>116</v>
      </c>
      <c r="B25" s="15" t="s">
        <v>140</v>
      </c>
      <c r="C25" s="15" t="s">
        <v>124</v>
      </c>
      <c r="D25" s="15" t="s">
        <v>95</v>
      </c>
      <c r="E25" s="15" t="s">
        <v>133</v>
      </c>
      <c r="F25" s="34">
        <v>1</v>
      </c>
      <c r="G25" s="17"/>
      <c r="H25" s="17"/>
      <c r="I25" s="17"/>
      <c r="J25" s="17"/>
      <c r="K25" s="35">
        <v>50000</v>
      </c>
      <c r="L25" s="37"/>
      <c r="M25" s="25"/>
      <c r="N25" s="25"/>
      <c r="O25" s="26"/>
      <c r="P25" s="33">
        <f t="shared" si="7"/>
        <v>50000</v>
      </c>
      <c r="Q25" s="45">
        <f t="shared" si="8"/>
        <v>50000</v>
      </c>
      <c r="R25" s="46">
        <f t="shared" si="4"/>
        <v>5.5868449913096625E-3</v>
      </c>
      <c r="S25" s="73">
        <v>41000</v>
      </c>
      <c r="T25" s="50">
        <f t="shared" ref="T25:T37" si="9">+Q25-S25</f>
        <v>9000</v>
      </c>
    </row>
    <row r="26" spans="1:20" x14ac:dyDescent="0.25">
      <c r="A26" s="36" t="s">
        <v>115</v>
      </c>
      <c r="B26" s="15" t="s">
        <v>141</v>
      </c>
      <c r="C26" s="15" t="s">
        <v>118</v>
      </c>
      <c r="D26" s="15" t="s">
        <v>95</v>
      </c>
      <c r="E26" s="15" t="s">
        <v>128</v>
      </c>
      <c r="F26" s="34">
        <v>1</v>
      </c>
      <c r="G26" s="17"/>
      <c r="H26" s="17"/>
      <c r="I26" s="17"/>
      <c r="J26" s="17"/>
      <c r="K26" s="35">
        <v>50000</v>
      </c>
      <c r="L26" s="37"/>
      <c r="M26" s="25"/>
      <c r="N26" s="25"/>
      <c r="O26" s="26"/>
      <c r="P26" s="33">
        <f t="shared" si="7"/>
        <v>50000</v>
      </c>
      <c r="Q26" s="45">
        <f t="shared" si="8"/>
        <v>50000</v>
      </c>
      <c r="R26" s="46">
        <f t="shared" si="4"/>
        <v>5.5868449913096625E-3</v>
      </c>
      <c r="S26" s="73">
        <v>41000</v>
      </c>
      <c r="T26" s="50">
        <f t="shared" si="9"/>
        <v>9000</v>
      </c>
    </row>
    <row r="27" spans="1:20" x14ac:dyDescent="0.25">
      <c r="A27" s="36" t="s">
        <v>136</v>
      </c>
      <c r="B27" s="15" t="s">
        <v>142</v>
      </c>
      <c r="C27" s="15" t="s">
        <v>153</v>
      </c>
      <c r="D27" s="15" t="s">
        <v>95</v>
      </c>
      <c r="E27" s="15" t="s">
        <v>156</v>
      </c>
      <c r="F27" s="34">
        <v>1</v>
      </c>
      <c r="G27" s="17"/>
      <c r="H27" s="17"/>
      <c r="I27" s="17"/>
      <c r="J27" s="17"/>
      <c r="K27" s="35">
        <v>50000</v>
      </c>
      <c r="L27" s="37"/>
      <c r="M27" s="25"/>
      <c r="N27" s="25"/>
      <c r="O27" s="26"/>
      <c r="P27" s="33">
        <f t="shared" si="7"/>
        <v>50000</v>
      </c>
      <c r="Q27" s="45">
        <f t="shared" si="8"/>
        <v>50000</v>
      </c>
      <c r="R27" s="46">
        <f t="shared" si="4"/>
        <v>5.5868449913096625E-3</v>
      </c>
      <c r="S27" s="73">
        <v>41000</v>
      </c>
      <c r="T27" s="50">
        <f t="shared" si="9"/>
        <v>9000</v>
      </c>
    </row>
    <row r="28" spans="1:20" x14ac:dyDescent="0.25">
      <c r="A28" s="36" t="s">
        <v>104</v>
      </c>
      <c r="B28" s="15" t="s">
        <v>143</v>
      </c>
      <c r="C28" s="15" t="s">
        <v>121</v>
      </c>
      <c r="D28" s="15" t="s">
        <v>95</v>
      </c>
      <c r="E28" s="15" t="s">
        <v>130</v>
      </c>
      <c r="F28" s="15">
        <v>1</v>
      </c>
      <c r="G28" s="17"/>
      <c r="H28" s="17"/>
      <c r="I28" s="17"/>
      <c r="J28" s="17"/>
      <c r="K28" s="35">
        <v>50000</v>
      </c>
      <c r="L28" s="37"/>
      <c r="M28" s="25"/>
      <c r="N28" s="25"/>
      <c r="O28" s="26"/>
      <c r="P28" s="33">
        <f t="shared" si="7"/>
        <v>50000</v>
      </c>
      <c r="Q28" s="45">
        <f t="shared" si="8"/>
        <v>50000</v>
      </c>
      <c r="R28" s="46">
        <f t="shared" si="4"/>
        <v>5.5868449913096625E-3</v>
      </c>
      <c r="S28" s="73">
        <v>41000</v>
      </c>
      <c r="T28" s="50">
        <f t="shared" si="9"/>
        <v>9000</v>
      </c>
    </row>
    <row r="29" spans="1:20" x14ac:dyDescent="0.25">
      <c r="A29" s="36" t="s">
        <v>103</v>
      </c>
      <c r="B29" s="15" t="s">
        <v>144</v>
      </c>
      <c r="C29" s="15" t="s">
        <v>120</v>
      </c>
      <c r="D29" s="15" t="s">
        <v>95</v>
      </c>
      <c r="E29" s="15" t="s">
        <v>129</v>
      </c>
      <c r="F29" s="15">
        <v>1</v>
      </c>
      <c r="G29" s="17"/>
      <c r="H29" s="17"/>
      <c r="I29" s="17"/>
      <c r="J29" s="17"/>
      <c r="K29" s="35">
        <v>50000</v>
      </c>
      <c r="L29" s="37"/>
      <c r="M29" s="25"/>
      <c r="N29" s="25"/>
      <c r="O29" s="26"/>
      <c r="P29" s="33">
        <f t="shared" si="7"/>
        <v>50000</v>
      </c>
      <c r="Q29" s="45">
        <f t="shared" si="8"/>
        <v>50000</v>
      </c>
      <c r="R29" s="46">
        <f t="shared" si="4"/>
        <v>5.5868449913096625E-3</v>
      </c>
      <c r="S29" s="73">
        <v>41000</v>
      </c>
      <c r="T29" s="50">
        <f t="shared" si="9"/>
        <v>9000</v>
      </c>
    </row>
    <row r="30" spans="1:20" x14ac:dyDescent="0.25">
      <c r="A30" s="36" t="s">
        <v>106</v>
      </c>
      <c r="B30" s="15" t="s">
        <v>145</v>
      </c>
      <c r="C30" s="15" t="s">
        <v>122</v>
      </c>
      <c r="D30" s="15" t="s">
        <v>95</v>
      </c>
      <c r="E30" s="15" t="s">
        <v>131</v>
      </c>
      <c r="F30" s="15">
        <v>1</v>
      </c>
      <c r="G30" s="17"/>
      <c r="H30" s="17"/>
      <c r="I30" s="17"/>
      <c r="J30" s="17"/>
      <c r="K30" s="35">
        <v>50000</v>
      </c>
      <c r="L30" s="37"/>
      <c r="M30" s="25"/>
      <c r="N30" s="25"/>
      <c r="O30" s="26"/>
      <c r="P30" s="33">
        <f t="shared" si="7"/>
        <v>50000</v>
      </c>
      <c r="Q30" s="45">
        <f t="shared" si="8"/>
        <v>50000</v>
      </c>
      <c r="R30" s="46">
        <f t="shared" si="4"/>
        <v>5.5868449913096625E-3</v>
      </c>
      <c r="S30" s="73">
        <v>41000</v>
      </c>
      <c r="T30" s="50">
        <f t="shared" si="9"/>
        <v>9000</v>
      </c>
    </row>
    <row r="31" spans="1:20" x14ac:dyDescent="0.25">
      <c r="A31" s="36" t="s">
        <v>111</v>
      </c>
      <c r="B31" s="15" t="s">
        <v>146</v>
      </c>
      <c r="C31" s="15" t="s">
        <v>125</v>
      </c>
      <c r="D31" s="15" t="s">
        <v>95</v>
      </c>
      <c r="E31" s="15" t="s">
        <v>108</v>
      </c>
      <c r="F31" s="15">
        <v>1</v>
      </c>
      <c r="G31" s="17"/>
      <c r="H31" s="17"/>
      <c r="I31" s="17"/>
      <c r="J31" s="17"/>
      <c r="K31" s="35">
        <v>50000</v>
      </c>
      <c r="L31" s="37"/>
      <c r="M31" s="25"/>
      <c r="N31" s="25"/>
      <c r="O31" s="26"/>
      <c r="P31" s="33">
        <f t="shared" si="7"/>
        <v>50000</v>
      </c>
      <c r="Q31" s="45">
        <f t="shared" si="8"/>
        <v>50000</v>
      </c>
      <c r="R31" s="46">
        <f t="shared" si="4"/>
        <v>5.5868449913096625E-3</v>
      </c>
      <c r="S31" s="73">
        <v>41000</v>
      </c>
      <c r="T31" s="50">
        <f t="shared" si="9"/>
        <v>9000</v>
      </c>
    </row>
    <row r="32" spans="1:20" x14ac:dyDescent="0.25">
      <c r="A32" s="36" t="s">
        <v>112</v>
      </c>
      <c r="B32" s="15" t="s">
        <v>147</v>
      </c>
      <c r="C32" s="15" t="s">
        <v>119</v>
      </c>
      <c r="D32" s="15" t="s">
        <v>95</v>
      </c>
      <c r="E32" s="15" t="s">
        <v>109</v>
      </c>
      <c r="F32" s="15">
        <v>1</v>
      </c>
      <c r="G32" s="17"/>
      <c r="H32" s="17"/>
      <c r="I32" s="17"/>
      <c r="J32" s="17"/>
      <c r="K32" s="35">
        <v>50000</v>
      </c>
      <c r="L32" s="37"/>
      <c r="M32" s="25"/>
      <c r="N32" s="25"/>
      <c r="O32" s="26"/>
      <c r="P32" s="33">
        <f t="shared" si="7"/>
        <v>50000</v>
      </c>
      <c r="Q32" s="45">
        <f t="shared" si="8"/>
        <v>50000</v>
      </c>
      <c r="R32" s="46">
        <f t="shared" si="4"/>
        <v>5.5868449913096625E-3</v>
      </c>
      <c r="S32" s="73">
        <v>41000</v>
      </c>
      <c r="T32" s="50">
        <f t="shared" si="9"/>
        <v>9000</v>
      </c>
    </row>
    <row r="33" spans="1:20" x14ac:dyDescent="0.25">
      <c r="A33" s="36" t="s">
        <v>105</v>
      </c>
      <c r="B33" s="15" t="s">
        <v>148</v>
      </c>
      <c r="C33" s="15" t="s">
        <v>126</v>
      </c>
      <c r="D33" s="15" t="s">
        <v>95</v>
      </c>
      <c r="E33" s="15" t="s">
        <v>134</v>
      </c>
      <c r="F33" s="15">
        <v>1</v>
      </c>
      <c r="G33" s="17"/>
      <c r="H33" s="17"/>
      <c r="I33" s="17"/>
      <c r="J33" s="17"/>
      <c r="K33" s="35">
        <v>50000</v>
      </c>
      <c r="L33" s="26"/>
      <c r="M33" s="25"/>
      <c r="N33" s="25"/>
      <c r="O33" s="26"/>
      <c r="P33" s="33">
        <f t="shared" si="7"/>
        <v>50000</v>
      </c>
      <c r="Q33" s="45">
        <f t="shared" si="8"/>
        <v>50000</v>
      </c>
      <c r="R33" s="46">
        <f t="shared" si="4"/>
        <v>5.5868449913096625E-3</v>
      </c>
      <c r="S33" s="73">
        <v>41000</v>
      </c>
      <c r="T33" s="50">
        <f t="shared" si="9"/>
        <v>9000</v>
      </c>
    </row>
    <row r="34" spans="1:20" x14ac:dyDescent="0.25">
      <c r="A34" s="36" t="s">
        <v>113</v>
      </c>
      <c r="B34" s="15" t="s">
        <v>149</v>
      </c>
      <c r="C34" s="15" t="s">
        <v>127</v>
      </c>
      <c r="D34" s="15" t="s">
        <v>95</v>
      </c>
      <c r="E34" s="15" t="s">
        <v>110</v>
      </c>
      <c r="F34" s="15">
        <v>1</v>
      </c>
      <c r="G34" s="17"/>
      <c r="H34" s="17"/>
      <c r="I34" s="17"/>
      <c r="J34" s="17"/>
      <c r="K34" s="35">
        <v>50000</v>
      </c>
      <c r="L34" s="26"/>
      <c r="M34" s="25"/>
      <c r="N34" s="25"/>
      <c r="O34" s="26"/>
      <c r="P34" s="33">
        <f t="shared" si="7"/>
        <v>50000</v>
      </c>
      <c r="Q34" s="45">
        <f t="shared" si="8"/>
        <v>50000</v>
      </c>
      <c r="R34" s="46">
        <f t="shared" si="4"/>
        <v>5.5868449913096625E-3</v>
      </c>
      <c r="S34" s="73">
        <v>41000</v>
      </c>
      <c r="T34" s="50">
        <f t="shared" si="9"/>
        <v>9000</v>
      </c>
    </row>
    <row r="35" spans="1:20" x14ac:dyDescent="0.25">
      <c r="A35" s="36" t="s">
        <v>137</v>
      </c>
      <c r="B35" s="15" t="s">
        <v>150</v>
      </c>
      <c r="C35" s="15" t="s">
        <v>154</v>
      </c>
      <c r="D35" s="15" t="s">
        <v>95</v>
      </c>
      <c r="E35" s="15" t="s">
        <v>157</v>
      </c>
      <c r="F35" s="15">
        <v>1</v>
      </c>
      <c r="G35" s="17"/>
      <c r="H35" s="17"/>
      <c r="I35" s="17"/>
      <c r="J35" s="17"/>
      <c r="K35" s="35">
        <v>50000</v>
      </c>
      <c r="L35" s="26"/>
      <c r="M35" s="25"/>
      <c r="N35" s="25"/>
      <c r="O35" s="26"/>
      <c r="P35" s="33">
        <f t="shared" si="7"/>
        <v>50000</v>
      </c>
      <c r="Q35" s="45">
        <f t="shared" si="8"/>
        <v>50000</v>
      </c>
      <c r="R35" s="46">
        <f t="shared" si="4"/>
        <v>5.5868449913096625E-3</v>
      </c>
      <c r="S35" s="73">
        <v>41000</v>
      </c>
      <c r="T35" s="50">
        <f t="shared" si="9"/>
        <v>9000</v>
      </c>
    </row>
    <row r="36" spans="1:20" x14ac:dyDescent="0.25">
      <c r="A36" s="36" t="s">
        <v>138</v>
      </c>
      <c r="B36" s="15" t="s">
        <v>151</v>
      </c>
      <c r="C36" s="15" t="s">
        <v>155</v>
      </c>
      <c r="D36" s="15" t="s">
        <v>95</v>
      </c>
      <c r="E36" s="15" t="s">
        <v>158</v>
      </c>
      <c r="F36" s="15">
        <v>1</v>
      </c>
      <c r="G36" s="17"/>
      <c r="H36" s="17"/>
      <c r="I36" s="17"/>
      <c r="J36" s="17"/>
      <c r="K36" s="35">
        <v>50000</v>
      </c>
      <c r="L36" s="26"/>
      <c r="M36" s="25"/>
      <c r="N36" s="25"/>
      <c r="O36" s="26"/>
      <c r="P36" s="33">
        <f t="shared" si="7"/>
        <v>50000</v>
      </c>
      <c r="Q36" s="45">
        <f t="shared" si="8"/>
        <v>50000</v>
      </c>
      <c r="R36" s="46">
        <f t="shared" si="4"/>
        <v>5.5868449913096625E-3</v>
      </c>
      <c r="S36" s="73">
        <v>41000</v>
      </c>
      <c r="T36" s="50">
        <f t="shared" si="9"/>
        <v>9000</v>
      </c>
    </row>
    <row r="37" spans="1:20" x14ac:dyDescent="0.25">
      <c r="A37" s="36" t="s">
        <v>102</v>
      </c>
      <c r="B37" s="15" t="s">
        <v>152</v>
      </c>
      <c r="C37" s="15" t="s">
        <v>123</v>
      </c>
      <c r="D37" s="15" t="s">
        <v>95</v>
      </c>
      <c r="E37" s="15" t="s">
        <v>132</v>
      </c>
      <c r="F37" s="15">
        <v>1</v>
      </c>
      <c r="G37" s="17"/>
      <c r="H37" s="17"/>
      <c r="I37" s="17"/>
      <c r="J37" s="17"/>
      <c r="K37" s="35">
        <v>50000</v>
      </c>
      <c r="L37" s="26"/>
      <c r="M37" s="25"/>
      <c r="N37" s="25"/>
      <c r="O37" s="26"/>
      <c r="P37" s="33">
        <f t="shared" si="7"/>
        <v>50000</v>
      </c>
      <c r="Q37" s="45">
        <f t="shared" si="8"/>
        <v>50000</v>
      </c>
      <c r="R37" s="46">
        <f t="shared" si="4"/>
        <v>5.5868449913096625E-3</v>
      </c>
      <c r="S37" s="73">
        <v>41000</v>
      </c>
      <c r="T37" s="50">
        <f t="shared" si="9"/>
        <v>9000</v>
      </c>
    </row>
    <row r="38" spans="1:20" x14ac:dyDescent="0.25">
      <c r="A38" s="82" t="s">
        <v>74</v>
      </c>
      <c r="B38" s="83"/>
      <c r="C38" s="83"/>
      <c r="D38" s="83"/>
      <c r="E38" s="84"/>
      <c r="F38" s="43">
        <f>SUM(F10:F37)</f>
        <v>14</v>
      </c>
      <c r="G38" s="43">
        <f t="shared" ref="G38:N38" si="10">SUM(G10:G37)</f>
        <v>14</v>
      </c>
      <c r="H38" s="43">
        <f t="shared" si="10"/>
        <v>12</v>
      </c>
      <c r="I38" s="43">
        <f t="shared" si="10"/>
        <v>1</v>
      </c>
      <c r="J38" s="43">
        <f t="shared" si="10"/>
        <v>0.99999999999999956</v>
      </c>
      <c r="K38" s="43">
        <f t="shared" si="10"/>
        <v>700000</v>
      </c>
      <c r="L38" s="43">
        <f t="shared" si="10"/>
        <v>2062399.0000000002</v>
      </c>
      <c r="M38" s="43">
        <f t="shared" si="10"/>
        <v>2474878.7999999993</v>
      </c>
      <c r="N38" s="43">
        <f t="shared" si="10"/>
        <v>2062398.9999999993</v>
      </c>
      <c r="O38" s="43">
        <f t="shared" ref="O38:R38" si="11">SUM(O10:O37)</f>
        <v>1649919.1999999997</v>
      </c>
      <c r="P38" s="43">
        <f t="shared" si="11"/>
        <v>8949596</v>
      </c>
      <c r="Q38" s="47">
        <f t="shared" si="11"/>
        <v>8949595</v>
      </c>
      <c r="R38" s="48">
        <f t="shared" si="11"/>
        <v>1.0000000000000002</v>
      </c>
      <c r="S38" s="50">
        <f>SUM(S10:S37)</f>
        <v>7339290</v>
      </c>
      <c r="T38" s="50">
        <f>SUM(T10:T37)</f>
        <v>1610305</v>
      </c>
    </row>
    <row r="39" spans="1:20" x14ac:dyDescent="0.25">
      <c r="Q39" s="62">
        <f>+Q38-C44</f>
        <v>-1</v>
      </c>
      <c r="R39" s="62"/>
      <c r="S39" s="62">
        <f>+S38-C42</f>
        <v>-1</v>
      </c>
      <c r="T39" s="62">
        <f>+T38-C43</f>
        <v>0</v>
      </c>
    </row>
    <row r="40" spans="1:20" x14ac:dyDescent="0.25">
      <c r="G40" s="7"/>
      <c r="H40" s="7"/>
      <c r="I40" s="7"/>
      <c r="J40" s="7"/>
      <c r="K40" s="7"/>
      <c r="L40" s="4"/>
      <c r="M40" s="4"/>
      <c r="N40" s="4"/>
      <c r="O40" s="4"/>
      <c r="P40" s="4"/>
      <c r="Q40" s="4"/>
      <c r="R40" s="8"/>
    </row>
    <row r="41" spans="1:20" x14ac:dyDescent="0.25">
      <c r="E41" s="71" t="s">
        <v>211</v>
      </c>
      <c r="F41" s="75" t="s">
        <v>212</v>
      </c>
      <c r="G41" s="71" t="s">
        <v>213</v>
      </c>
      <c r="H41" s="71" t="s">
        <v>218</v>
      </c>
      <c r="I41" s="71" t="s">
        <v>216</v>
      </c>
      <c r="J41" s="76" t="s">
        <v>219</v>
      </c>
      <c r="K41" s="71" t="s">
        <v>214</v>
      </c>
      <c r="L41" s="71" t="s">
        <v>215</v>
      </c>
      <c r="M41" s="71" t="s">
        <v>217</v>
      </c>
    </row>
    <row r="42" spans="1:20" x14ac:dyDescent="0.25">
      <c r="B42" s="18" t="s">
        <v>93</v>
      </c>
      <c r="C42" s="20">
        <v>7339291</v>
      </c>
      <c r="D42" s="80"/>
      <c r="E42" s="72">
        <v>2</v>
      </c>
      <c r="F42" s="75">
        <v>213</v>
      </c>
      <c r="G42" s="74">
        <f>+S24+S25+S26+S27+S28+S29+S30+S31+S32+S33+S34+S35+S36+S37</f>
        <v>574000</v>
      </c>
      <c r="H42" s="79">
        <f>+G42/G44</f>
        <v>0.82</v>
      </c>
      <c r="I42" s="74">
        <f>+C42-G42</f>
        <v>6765291</v>
      </c>
      <c r="J42" s="77">
        <f>+I42/I44</f>
        <v>0.82007543157264917</v>
      </c>
      <c r="K42" s="78">
        <f>+S10+S11+S12+S13+S14+S15+S16+S17+S18+S19+S20+S21+S22+S23</f>
        <v>6765290</v>
      </c>
      <c r="L42" s="78">
        <f>+G42+K42</f>
        <v>7339290</v>
      </c>
      <c r="M42" s="78">
        <f>+C42-L42</f>
        <v>1</v>
      </c>
    </row>
    <row r="43" spans="1:20" x14ac:dyDescent="0.25">
      <c r="B43" s="18" t="s">
        <v>94</v>
      </c>
      <c r="C43" s="20">
        <v>1610305</v>
      </c>
      <c r="D43" s="12"/>
      <c r="E43" s="72">
        <v>2</v>
      </c>
      <c r="F43" s="75">
        <v>404</v>
      </c>
      <c r="G43" s="74">
        <f>+T24+T25+T26+T27+T28+T29+T30+T31+T32+T33+T34+T35+T36+T37</f>
        <v>126000</v>
      </c>
      <c r="H43" s="79">
        <f>1-H42</f>
        <v>0.18000000000000005</v>
      </c>
      <c r="I43" s="74">
        <f>+C43-G43</f>
        <v>1484305</v>
      </c>
      <c r="J43" s="77">
        <f>1-J42</f>
        <v>0.17992456842735083</v>
      </c>
      <c r="K43" s="78">
        <f>+T10+T11+T12+T13+T14+T15+T16+T17+T18+T19+T20+T21+T22+T23</f>
        <v>1484305</v>
      </c>
      <c r="L43" s="78">
        <f>+G43+K43</f>
        <v>1610305</v>
      </c>
      <c r="M43" s="78">
        <f>+C43-L43</f>
        <v>0</v>
      </c>
    </row>
    <row r="44" spans="1:20" x14ac:dyDescent="0.25">
      <c r="B44" s="19" t="s">
        <v>135</v>
      </c>
      <c r="C44" s="21">
        <f>SUM(C42:C43)</f>
        <v>8949596</v>
      </c>
      <c r="D44" s="12"/>
      <c r="E44" s="1"/>
      <c r="F44" s="1"/>
      <c r="G44" s="74">
        <f>SUM(G42:G43)</f>
        <v>700000</v>
      </c>
      <c r="H44" s="71"/>
      <c r="I44" s="74">
        <f>SUM(I42:I43)</f>
        <v>8249596</v>
      </c>
      <c r="K44" s="78">
        <f>SUM(K42:K43)</f>
        <v>8249595</v>
      </c>
      <c r="L44" s="78">
        <f>SUM(L42:L43)</f>
        <v>8949595</v>
      </c>
      <c r="M44" s="78">
        <f>SUM(M42:M43)</f>
        <v>1</v>
      </c>
    </row>
    <row r="45" spans="1:20" x14ac:dyDescent="0.25">
      <c r="B45" s="18" t="s">
        <v>92</v>
      </c>
      <c r="C45" s="20">
        <f>K38</f>
        <v>700000</v>
      </c>
    </row>
    <row r="46" spans="1:20" x14ac:dyDescent="0.25">
      <c r="B46" s="19" t="s">
        <v>97</v>
      </c>
      <c r="C46" s="21">
        <f>C44-C45</f>
        <v>8249596</v>
      </c>
    </row>
    <row r="47" spans="1:20" x14ac:dyDescent="0.25">
      <c r="B47" s="22" t="s">
        <v>4</v>
      </c>
      <c r="C47" s="14">
        <f>C46*G8</f>
        <v>2062399</v>
      </c>
    </row>
    <row r="48" spans="1:20" x14ac:dyDescent="0.25">
      <c r="B48" s="22" t="s">
        <v>161</v>
      </c>
      <c r="C48" s="14">
        <f>C46*H8</f>
        <v>2062399</v>
      </c>
    </row>
    <row r="49" spans="2:3" x14ac:dyDescent="0.25">
      <c r="B49" s="22" t="s">
        <v>71</v>
      </c>
      <c r="C49" s="14">
        <f>C46*I8</f>
        <v>2474878.7999999998</v>
      </c>
    </row>
    <row r="50" spans="2:3" x14ac:dyDescent="0.25">
      <c r="B50" s="22" t="s">
        <v>5</v>
      </c>
      <c r="C50" s="14">
        <f>C46*J8</f>
        <v>1649919.2000000002</v>
      </c>
    </row>
    <row r="51" spans="2:3" x14ac:dyDescent="0.25">
      <c r="B51" s="23" t="s">
        <v>74</v>
      </c>
      <c r="C51" s="24">
        <f>SUM(C47:C50)</f>
        <v>8249596</v>
      </c>
    </row>
    <row r="52" spans="2:3" x14ac:dyDescent="0.25">
      <c r="B52" s="6"/>
    </row>
  </sheetData>
  <autoFilter ref="A9:T9" xr:uid="{00000000-0001-0000-0000-000000000000}"/>
  <sortState xmlns:xlrd2="http://schemas.microsoft.com/office/spreadsheetml/2017/richdata2" ref="A8:J19">
    <sortCondition ref="B8:B19"/>
  </sortState>
  <mergeCells count="8">
    <mergeCell ref="A7:S7"/>
    <mergeCell ref="A38:E38"/>
    <mergeCell ref="A3:S3"/>
    <mergeCell ref="A2:T2"/>
    <mergeCell ref="A6:S6"/>
    <mergeCell ref="A4:S4"/>
    <mergeCell ref="A5:S5"/>
    <mergeCell ref="S8:T8"/>
  </mergeCells>
  <pageMargins left="0.31496062992125984" right="0.31496062992125984" top="0.35433070866141736" bottom="0.15748031496062992" header="0.31496062992125984" footer="0.31496062992125984"/>
  <pageSetup scale="65" fitToWidth="2" fitToHeight="2" orientation="landscape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D22" sqref="D22"/>
    </sheetView>
  </sheetViews>
  <sheetFormatPr baseColWidth="10" defaultRowHeight="15" x14ac:dyDescent="0.25"/>
  <cols>
    <col min="1" max="1" width="33.85546875" bestFit="1" customWidth="1"/>
    <col min="2" max="3" width="10.85546875" customWidth="1"/>
    <col min="4" max="4" width="14.5703125" customWidth="1"/>
    <col min="5" max="5" width="13.42578125" customWidth="1"/>
    <col min="6" max="6" width="13" customWidth="1"/>
    <col min="7" max="7" width="12.42578125" customWidth="1"/>
    <col min="8" max="8" width="13.140625" customWidth="1"/>
    <col min="9" max="9" width="11.5703125" customWidth="1"/>
    <col min="10" max="10" width="12.42578125" customWidth="1"/>
    <col min="11" max="11" width="11.7109375" customWidth="1"/>
    <col min="13" max="13" width="11.85546875" bestFit="1" customWidth="1"/>
  </cols>
  <sheetData>
    <row r="1" spans="1:11" x14ac:dyDescent="0.25">
      <c r="A1" s="12" t="s">
        <v>209</v>
      </c>
      <c r="B1" s="12" t="s">
        <v>210</v>
      </c>
    </row>
    <row r="2" spans="1:11" x14ac:dyDescent="0.25">
      <c r="A2" s="63" t="s">
        <v>81</v>
      </c>
      <c r="B2" s="12" t="s">
        <v>82</v>
      </c>
    </row>
    <row r="3" spans="1:11" x14ac:dyDescent="0.25">
      <c r="A3" s="63" t="s">
        <v>83</v>
      </c>
      <c r="B3" s="12" t="s">
        <v>84</v>
      </c>
    </row>
    <row r="5" spans="1:11" ht="48" x14ac:dyDescent="0.25">
      <c r="A5" s="64" t="s">
        <v>72</v>
      </c>
      <c r="B5" s="64" t="s">
        <v>99</v>
      </c>
      <c r="C5" s="65" t="s">
        <v>85</v>
      </c>
      <c r="D5" s="66" t="s">
        <v>86</v>
      </c>
      <c r="E5" s="66" t="s">
        <v>159</v>
      </c>
      <c r="F5" s="66" t="s">
        <v>98</v>
      </c>
      <c r="G5" s="66" t="s">
        <v>87</v>
      </c>
      <c r="H5" s="66" t="s">
        <v>160</v>
      </c>
      <c r="I5" s="66" t="s">
        <v>73</v>
      </c>
      <c r="J5" s="65" t="s">
        <v>90</v>
      </c>
      <c r="K5" s="65" t="s">
        <v>91</v>
      </c>
    </row>
    <row r="6" spans="1:11" x14ac:dyDescent="0.25">
      <c r="A6" s="9" t="s">
        <v>58</v>
      </c>
      <c r="B6" s="31" t="s">
        <v>40</v>
      </c>
      <c r="C6" s="29">
        <v>2621</v>
      </c>
      <c r="D6" s="29">
        <v>4296</v>
      </c>
      <c r="E6" s="29">
        <v>107</v>
      </c>
      <c r="F6" s="29">
        <v>24</v>
      </c>
      <c r="G6" s="29">
        <v>84</v>
      </c>
      <c r="H6" s="29">
        <f>C6+D6+E6+F6</f>
        <v>7048</v>
      </c>
      <c r="I6" s="29">
        <f>G6+H6</f>
        <v>7132</v>
      </c>
      <c r="J6" s="38">
        <f>H6/I6</f>
        <v>0.98822209758833424</v>
      </c>
      <c r="K6" s="38">
        <f>J6/SUM($J$6:$J$19)</f>
        <v>7.4968143479597085E-2</v>
      </c>
    </row>
    <row r="7" spans="1:11" x14ac:dyDescent="0.25">
      <c r="A7" s="9" t="s">
        <v>59</v>
      </c>
      <c r="B7" s="31" t="s">
        <v>10</v>
      </c>
      <c r="C7" s="29">
        <v>2816</v>
      </c>
      <c r="D7" s="29">
        <v>3688</v>
      </c>
      <c r="E7" s="29">
        <v>13</v>
      </c>
      <c r="F7" s="29">
        <v>32</v>
      </c>
      <c r="G7" s="29">
        <v>833</v>
      </c>
      <c r="H7" s="29">
        <f t="shared" ref="H7:H19" si="0">C7+D7+E7+F7</f>
        <v>6549</v>
      </c>
      <c r="I7" s="29">
        <f t="shared" ref="I7:I19" si="1">G7+H7</f>
        <v>7382</v>
      </c>
      <c r="J7" s="38">
        <f t="shared" ref="J7:J19" si="2">H7/I7</f>
        <v>0.88715795177458678</v>
      </c>
      <c r="K7" s="38">
        <f t="shared" ref="K7:K19" si="3">J7/SUM($J$6:$J$19)</f>
        <v>6.7301252198276915E-2</v>
      </c>
    </row>
    <row r="8" spans="1:11" x14ac:dyDescent="0.25">
      <c r="A8" s="9" t="s">
        <v>60</v>
      </c>
      <c r="B8" s="31" t="s">
        <v>32</v>
      </c>
      <c r="C8" s="29">
        <v>2173</v>
      </c>
      <c r="D8" s="29">
        <v>3514</v>
      </c>
      <c r="E8" s="29">
        <v>4</v>
      </c>
      <c r="F8" s="29">
        <v>649</v>
      </c>
      <c r="G8" s="29">
        <v>228</v>
      </c>
      <c r="H8" s="29">
        <f t="shared" si="0"/>
        <v>6340</v>
      </c>
      <c r="I8" s="29">
        <f t="shared" si="1"/>
        <v>6568</v>
      </c>
      <c r="J8" s="38">
        <f t="shared" si="2"/>
        <v>0.96528623629719856</v>
      </c>
      <c r="K8" s="38">
        <f t="shared" si="3"/>
        <v>7.3228191555532465E-2</v>
      </c>
    </row>
    <row r="9" spans="1:11" x14ac:dyDescent="0.25">
      <c r="A9" s="9" t="s">
        <v>88</v>
      </c>
      <c r="B9" s="31" t="s">
        <v>54</v>
      </c>
      <c r="C9" s="29">
        <v>161</v>
      </c>
      <c r="D9" s="29">
        <v>422</v>
      </c>
      <c r="E9" s="29">
        <v>6</v>
      </c>
      <c r="F9" s="29">
        <v>1</v>
      </c>
      <c r="G9" s="29">
        <v>1</v>
      </c>
      <c r="H9" s="29">
        <f t="shared" si="0"/>
        <v>590</v>
      </c>
      <c r="I9" s="29">
        <f t="shared" si="1"/>
        <v>591</v>
      </c>
      <c r="J9" s="38">
        <f t="shared" si="2"/>
        <v>0.99830795262267347</v>
      </c>
      <c r="K9" s="38">
        <f t="shared" si="3"/>
        <v>7.5733272926888334E-2</v>
      </c>
    </row>
    <row r="10" spans="1:11" x14ac:dyDescent="0.25">
      <c r="A10" s="9" t="s">
        <v>61</v>
      </c>
      <c r="B10" s="31" t="s">
        <v>20</v>
      </c>
      <c r="C10" s="29">
        <v>3550</v>
      </c>
      <c r="D10" s="29">
        <v>6625</v>
      </c>
      <c r="E10" s="29">
        <v>65</v>
      </c>
      <c r="F10" s="29">
        <v>179</v>
      </c>
      <c r="G10" s="29">
        <v>657</v>
      </c>
      <c r="H10" s="29">
        <f t="shared" si="0"/>
        <v>10419</v>
      </c>
      <c r="I10" s="29">
        <f t="shared" si="1"/>
        <v>11076</v>
      </c>
      <c r="J10" s="38">
        <f t="shared" si="2"/>
        <v>0.94068255687974001</v>
      </c>
      <c r="K10" s="38">
        <f t="shared" si="3"/>
        <v>7.1361716222512334E-2</v>
      </c>
    </row>
    <row r="11" spans="1:11" x14ac:dyDescent="0.25">
      <c r="A11" s="9" t="s">
        <v>62</v>
      </c>
      <c r="B11" s="31" t="s">
        <v>13</v>
      </c>
      <c r="C11" s="29">
        <v>1481</v>
      </c>
      <c r="D11" s="29">
        <v>4962</v>
      </c>
      <c r="E11" s="29">
        <v>17</v>
      </c>
      <c r="F11" s="29">
        <v>374</v>
      </c>
      <c r="G11" s="29">
        <v>645</v>
      </c>
      <c r="H11" s="29">
        <f t="shared" si="0"/>
        <v>6834</v>
      </c>
      <c r="I11" s="29">
        <f t="shared" si="1"/>
        <v>7479</v>
      </c>
      <c r="J11" s="38">
        <f t="shared" si="2"/>
        <v>0.9137585238668271</v>
      </c>
      <c r="K11" s="38">
        <f t="shared" si="3"/>
        <v>6.9319215073340212E-2</v>
      </c>
    </row>
    <row r="12" spans="1:11" x14ac:dyDescent="0.25">
      <c r="A12" s="9" t="s">
        <v>63</v>
      </c>
      <c r="B12" s="31" t="s">
        <v>46</v>
      </c>
      <c r="C12" s="29">
        <v>4205</v>
      </c>
      <c r="D12" s="29">
        <v>3725</v>
      </c>
      <c r="E12" s="29">
        <v>56</v>
      </c>
      <c r="F12" s="29">
        <v>63</v>
      </c>
      <c r="G12" s="29">
        <v>142</v>
      </c>
      <c r="H12" s="29">
        <f t="shared" si="0"/>
        <v>8049</v>
      </c>
      <c r="I12" s="29">
        <f t="shared" si="1"/>
        <v>8191</v>
      </c>
      <c r="J12" s="38">
        <f t="shared" si="2"/>
        <v>0.98266389940178245</v>
      </c>
      <c r="K12" s="38">
        <f t="shared" si="3"/>
        <v>7.4546489480810441E-2</v>
      </c>
    </row>
    <row r="13" spans="1:11" x14ac:dyDescent="0.25">
      <c r="A13" s="9" t="s">
        <v>64</v>
      </c>
      <c r="B13" s="31" t="s">
        <v>24</v>
      </c>
      <c r="C13" s="29">
        <v>1426</v>
      </c>
      <c r="D13" s="29">
        <v>1761</v>
      </c>
      <c r="E13" s="29">
        <v>7</v>
      </c>
      <c r="F13" s="29">
        <v>1</v>
      </c>
      <c r="G13" s="29">
        <v>313</v>
      </c>
      <c r="H13" s="29">
        <f t="shared" si="0"/>
        <v>3195</v>
      </c>
      <c r="I13" s="29">
        <f t="shared" si="1"/>
        <v>3508</v>
      </c>
      <c r="J13" s="38">
        <f t="shared" si="2"/>
        <v>0.91077537058152791</v>
      </c>
      <c r="K13" s="38">
        <f t="shared" si="3"/>
        <v>6.909290818943252E-2</v>
      </c>
    </row>
    <row r="14" spans="1:11" x14ac:dyDescent="0.25">
      <c r="A14" s="9" t="s">
        <v>89</v>
      </c>
      <c r="B14" s="31" t="s">
        <v>50</v>
      </c>
      <c r="C14" s="29">
        <v>2009</v>
      </c>
      <c r="D14" s="29">
        <v>2048</v>
      </c>
      <c r="E14" s="29">
        <v>339</v>
      </c>
      <c r="F14" s="29">
        <v>18</v>
      </c>
      <c r="G14" s="29">
        <v>394</v>
      </c>
      <c r="H14" s="29">
        <f t="shared" si="0"/>
        <v>4414</v>
      </c>
      <c r="I14" s="29">
        <f t="shared" si="1"/>
        <v>4808</v>
      </c>
      <c r="J14" s="38">
        <f t="shared" si="2"/>
        <v>0.91805324459234605</v>
      </c>
      <c r="K14" s="38">
        <f t="shared" si="3"/>
        <v>6.9645019606897229E-2</v>
      </c>
    </row>
    <row r="15" spans="1:11" x14ac:dyDescent="0.25">
      <c r="A15" s="9" t="s">
        <v>65</v>
      </c>
      <c r="B15" s="31" t="s">
        <v>44</v>
      </c>
      <c r="C15" s="29">
        <v>2009</v>
      </c>
      <c r="D15" s="29">
        <v>4036</v>
      </c>
      <c r="E15" s="29">
        <v>174</v>
      </c>
      <c r="F15" s="29">
        <v>58</v>
      </c>
      <c r="G15" s="29">
        <v>234</v>
      </c>
      <c r="H15" s="29">
        <f t="shared" si="0"/>
        <v>6277</v>
      </c>
      <c r="I15" s="29">
        <f t="shared" si="1"/>
        <v>6511</v>
      </c>
      <c r="J15" s="38">
        <f t="shared" si="2"/>
        <v>0.96406082015051453</v>
      </c>
      <c r="K15" s="38">
        <f t="shared" si="3"/>
        <v>7.3135229483816996E-2</v>
      </c>
    </row>
    <row r="16" spans="1:11" x14ac:dyDescent="0.25">
      <c r="A16" s="9" t="s">
        <v>66</v>
      </c>
      <c r="B16" s="31" t="s">
        <v>28</v>
      </c>
      <c r="C16" s="29">
        <v>3846</v>
      </c>
      <c r="D16" s="29">
        <v>5604</v>
      </c>
      <c r="E16" s="29">
        <v>203</v>
      </c>
      <c r="F16" s="29">
        <v>15</v>
      </c>
      <c r="G16" s="29">
        <v>897</v>
      </c>
      <c r="H16" s="29">
        <f t="shared" si="0"/>
        <v>9668</v>
      </c>
      <c r="I16" s="29">
        <f t="shared" si="1"/>
        <v>10565</v>
      </c>
      <c r="J16" s="38">
        <f t="shared" si="2"/>
        <v>0.91509701845716995</v>
      </c>
      <c r="K16" s="38">
        <f t="shared" si="3"/>
        <v>6.9420755460607775E-2</v>
      </c>
    </row>
    <row r="17" spans="1:11" x14ac:dyDescent="0.25">
      <c r="A17" s="9" t="s">
        <v>67</v>
      </c>
      <c r="B17" s="31" t="s">
        <v>36</v>
      </c>
      <c r="C17" s="29">
        <v>2246</v>
      </c>
      <c r="D17" s="29">
        <v>5989</v>
      </c>
      <c r="E17" s="29">
        <v>12</v>
      </c>
      <c r="F17" s="29">
        <v>973</v>
      </c>
      <c r="G17" s="29">
        <v>344</v>
      </c>
      <c r="H17" s="29">
        <f t="shared" si="0"/>
        <v>9220</v>
      </c>
      <c r="I17" s="29">
        <f t="shared" si="1"/>
        <v>9564</v>
      </c>
      <c r="J17" s="38">
        <f t="shared" si="2"/>
        <v>0.96403178586365534</v>
      </c>
      <c r="K17" s="38">
        <f t="shared" si="3"/>
        <v>7.3133026895362038E-2</v>
      </c>
    </row>
    <row r="18" spans="1:11" x14ac:dyDescent="0.25">
      <c r="A18" s="9" t="s">
        <v>68</v>
      </c>
      <c r="B18" s="31" t="s">
        <v>7</v>
      </c>
      <c r="C18" s="29">
        <v>2852</v>
      </c>
      <c r="D18" s="29">
        <v>9834</v>
      </c>
      <c r="E18" s="29">
        <v>253</v>
      </c>
      <c r="F18" s="29">
        <v>100</v>
      </c>
      <c r="G18" s="29">
        <v>2033</v>
      </c>
      <c r="H18" s="29">
        <f t="shared" si="0"/>
        <v>13039</v>
      </c>
      <c r="I18" s="29">
        <f t="shared" si="1"/>
        <v>15072</v>
      </c>
      <c r="J18" s="38">
        <f t="shared" si="2"/>
        <v>0.86511411889596601</v>
      </c>
      <c r="K18" s="38">
        <f t="shared" si="3"/>
        <v>6.5628971007522643E-2</v>
      </c>
    </row>
    <row r="19" spans="1:11" x14ac:dyDescent="0.25">
      <c r="A19" s="9" t="s">
        <v>69</v>
      </c>
      <c r="B19" s="9" t="s">
        <v>17</v>
      </c>
      <c r="C19" s="29">
        <v>3417</v>
      </c>
      <c r="D19" s="29">
        <v>6509</v>
      </c>
      <c r="E19" s="29">
        <v>626</v>
      </c>
      <c r="F19" s="29">
        <v>150</v>
      </c>
      <c r="G19" s="29">
        <v>346</v>
      </c>
      <c r="H19" s="29">
        <f t="shared" si="0"/>
        <v>10702</v>
      </c>
      <c r="I19" s="29">
        <f t="shared" si="1"/>
        <v>11048</v>
      </c>
      <c r="J19" s="38">
        <f t="shared" si="2"/>
        <v>0.96868211440984797</v>
      </c>
      <c r="K19" s="38">
        <f t="shared" si="3"/>
        <v>7.3485808419403068E-2</v>
      </c>
    </row>
    <row r="20" spans="1:11" x14ac:dyDescent="0.25">
      <c r="A20" s="27"/>
      <c r="B20" s="28" t="s">
        <v>100</v>
      </c>
      <c r="C20" s="30">
        <f>SUM(C6:C19)</f>
        <v>34812</v>
      </c>
      <c r="D20" s="30">
        <f t="shared" ref="D20:I20" si="4">SUM(D6:D19)</f>
        <v>63013</v>
      </c>
      <c r="E20" s="30">
        <f t="shared" si="4"/>
        <v>1882</v>
      </c>
      <c r="F20" s="30">
        <f t="shared" si="4"/>
        <v>2637</v>
      </c>
      <c r="G20" s="30">
        <f t="shared" si="4"/>
        <v>7151</v>
      </c>
      <c r="H20" s="30">
        <f t="shared" si="4"/>
        <v>102344</v>
      </c>
      <c r="I20" s="30">
        <f t="shared" si="4"/>
        <v>109495</v>
      </c>
      <c r="J20" s="28">
        <f>SUM(J6:J19)</f>
        <v>13.18189369138217</v>
      </c>
      <c r="K20" s="32">
        <f>SUM(K6:K19)</f>
        <v>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7"/>
  <sheetViews>
    <sheetView workbookViewId="0"/>
  </sheetViews>
  <sheetFormatPr baseColWidth="10" defaultRowHeight="15" x14ac:dyDescent="0.25"/>
  <cols>
    <col min="2" max="3" width="16.7109375" bestFit="1" customWidth="1"/>
    <col min="4" max="4" width="15.140625" bestFit="1" customWidth="1"/>
    <col min="5" max="5" width="12.7109375" bestFit="1" customWidth="1"/>
    <col min="6" max="6" width="13.42578125" bestFit="1" customWidth="1"/>
  </cols>
  <sheetData>
    <row r="2" spans="1:7" x14ac:dyDescent="0.25">
      <c r="A2" s="67" t="s">
        <v>99</v>
      </c>
      <c r="B2" s="67" t="s">
        <v>0</v>
      </c>
      <c r="C2" s="67" t="s">
        <v>1</v>
      </c>
      <c r="D2" s="67" t="s">
        <v>2</v>
      </c>
      <c r="E2" s="67" t="s">
        <v>3</v>
      </c>
      <c r="F2" s="67" t="s">
        <v>5</v>
      </c>
      <c r="G2" s="67" t="s">
        <v>75</v>
      </c>
    </row>
    <row r="3" spans="1:7" x14ac:dyDescent="0.25">
      <c r="A3" s="9" t="s">
        <v>40</v>
      </c>
      <c r="B3" s="9" t="s">
        <v>41</v>
      </c>
      <c r="C3" s="9" t="s">
        <v>42</v>
      </c>
      <c r="D3" s="9" t="s">
        <v>6</v>
      </c>
      <c r="E3" s="9" t="s">
        <v>43</v>
      </c>
      <c r="F3" s="10">
        <v>1780.99</v>
      </c>
      <c r="G3" s="9">
        <f>F3/$F$17</f>
        <v>0.12823505524002626</v>
      </c>
    </row>
    <row r="4" spans="1:7" x14ac:dyDescent="0.25">
      <c r="A4" s="9" t="s">
        <v>10</v>
      </c>
      <c r="B4" s="9" t="s">
        <v>11</v>
      </c>
      <c r="C4" s="9" t="s">
        <v>12</v>
      </c>
      <c r="D4" s="9" t="s">
        <v>6</v>
      </c>
      <c r="E4" s="9" t="s">
        <v>12</v>
      </c>
      <c r="F4" s="10">
        <v>1368.17</v>
      </c>
      <c r="G4" s="9">
        <f t="shared" ref="G4:G16" si="0">F4/$F$17</f>
        <v>9.8511140167966554E-2</v>
      </c>
    </row>
    <row r="5" spans="1:7" x14ac:dyDescent="0.25">
      <c r="A5" s="9" t="s">
        <v>32</v>
      </c>
      <c r="B5" s="9" t="s">
        <v>33</v>
      </c>
      <c r="C5" s="9" t="s">
        <v>34</v>
      </c>
      <c r="D5" s="9" t="s">
        <v>6</v>
      </c>
      <c r="E5" s="9" t="s">
        <v>35</v>
      </c>
      <c r="F5" s="10">
        <v>803.72</v>
      </c>
      <c r="G5" s="9">
        <f t="shared" si="0"/>
        <v>5.7869543679365927E-2</v>
      </c>
    </row>
    <row r="6" spans="1:7" x14ac:dyDescent="0.25">
      <c r="A6" s="9" t="s">
        <v>20</v>
      </c>
      <c r="B6" s="9" t="s">
        <v>21</v>
      </c>
      <c r="C6" s="9" t="s">
        <v>22</v>
      </c>
      <c r="D6" s="9" t="s">
        <v>6</v>
      </c>
      <c r="E6" s="9" t="s">
        <v>23</v>
      </c>
      <c r="F6" s="10">
        <v>689.95</v>
      </c>
      <c r="G6" s="9">
        <f t="shared" si="0"/>
        <v>4.9677862516272486E-2</v>
      </c>
    </row>
    <row r="7" spans="1:7" x14ac:dyDescent="0.25">
      <c r="A7" s="9" t="s">
        <v>13</v>
      </c>
      <c r="B7" s="9" t="s">
        <v>14</v>
      </c>
      <c r="C7" s="9" t="s">
        <v>15</v>
      </c>
      <c r="D7" s="9" t="s">
        <v>6</v>
      </c>
      <c r="E7" s="9" t="s">
        <v>16</v>
      </c>
      <c r="F7" s="10">
        <v>470.33</v>
      </c>
      <c r="G7" s="9">
        <f t="shared" si="0"/>
        <v>3.3864756978445446E-2</v>
      </c>
    </row>
    <row r="8" spans="1:7" x14ac:dyDescent="0.25">
      <c r="A8" s="9" t="s">
        <v>46</v>
      </c>
      <c r="B8" s="9" t="s">
        <v>47</v>
      </c>
      <c r="C8" s="9" t="s">
        <v>48</v>
      </c>
      <c r="D8" s="9" t="s">
        <v>6</v>
      </c>
      <c r="E8" s="9" t="s">
        <v>49</v>
      </c>
      <c r="F8" s="10">
        <v>931.87</v>
      </c>
      <c r="G8" s="9">
        <f t="shared" si="0"/>
        <v>6.7096615324355152E-2</v>
      </c>
    </row>
    <row r="9" spans="1:7" x14ac:dyDescent="0.25">
      <c r="A9" s="9" t="s">
        <v>24</v>
      </c>
      <c r="B9" s="9" t="s">
        <v>25</v>
      </c>
      <c r="C9" s="9" t="s">
        <v>26</v>
      </c>
      <c r="D9" s="9" t="s">
        <v>6</v>
      </c>
      <c r="E9" s="9" t="s">
        <v>27</v>
      </c>
      <c r="F9" s="10">
        <v>3003.69</v>
      </c>
      <c r="G9" s="9">
        <f t="shared" si="0"/>
        <v>0.21627204704906514</v>
      </c>
    </row>
    <row r="10" spans="1:7" x14ac:dyDescent="0.25">
      <c r="A10" s="9" t="s">
        <v>44</v>
      </c>
      <c r="B10" s="9" t="s">
        <v>45</v>
      </c>
      <c r="C10" s="9" t="s">
        <v>9</v>
      </c>
      <c r="D10" s="9" t="s">
        <v>6</v>
      </c>
      <c r="E10" s="9" t="s">
        <v>9</v>
      </c>
      <c r="F10" s="10">
        <v>115.95</v>
      </c>
      <c r="G10" s="9">
        <f t="shared" si="0"/>
        <v>8.3486457841318844E-3</v>
      </c>
    </row>
    <row r="11" spans="1:7" x14ac:dyDescent="0.25">
      <c r="A11" s="9" t="s">
        <v>28</v>
      </c>
      <c r="B11" s="9" t="s">
        <v>29</v>
      </c>
      <c r="C11" s="9" t="s">
        <v>30</v>
      </c>
      <c r="D11" s="9" t="s">
        <v>6</v>
      </c>
      <c r="E11" s="9" t="s">
        <v>31</v>
      </c>
      <c r="F11" s="10">
        <v>256.86</v>
      </c>
      <c r="G11" s="9">
        <f t="shared" si="0"/>
        <v>1.8494464477034206E-2</v>
      </c>
    </row>
    <row r="12" spans="1:7" x14ac:dyDescent="0.25">
      <c r="A12" s="9" t="s">
        <v>36</v>
      </c>
      <c r="B12" s="9" t="s">
        <v>37</v>
      </c>
      <c r="C12" s="9" t="s">
        <v>38</v>
      </c>
      <c r="D12" s="9" t="s">
        <v>6</v>
      </c>
      <c r="E12" s="9" t="s">
        <v>39</v>
      </c>
      <c r="F12" s="10">
        <v>2059.04</v>
      </c>
      <c r="G12" s="9">
        <f t="shared" si="0"/>
        <v>0.14825524463440204</v>
      </c>
    </row>
    <row r="13" spans="1:7" x14ac:dyDescent="0.25">
      <c r="A13" s="9" t="s">
        <v>7</v>
      </c>
      <c r="B13" s="9" t="s">
        <v>8</v>
      </c>
      <c r="C13" s="9" t="s">
        <v>9</v>
      </c>
      <c r="D13" s="9" t="s">
        <v>6</v>
      </c>
      <c r="E13" s="9" t="s">
        <v>9</v>
      </c>
      <c r="F13" s="10">
        <v>115.95</v>
      </c>
      <c r="G13" s="9">
        <f t="shared" si="0"/>
        <v>8.3486457841318844E-3</v>
      </c>
    </row>
    <row r="14" spans="1:7" x14ac:dyDescent="0.25">
      <c r="A14" s="9" t="s">
        <v>17</v>
      </c>
      <c r="B14" s="9" t="s">
        <v>70</v>
      </c>
      <c r="C14" s="9" t="s">
        <v>18</v>
      </c>
      <c r="D14" s="9" t="s">
        <v>6</v>
      </c>
      <c r="E14" s="9" t="s">
        <v>19</v>
      </c>
      <c r="F14" s="10">
        <v>499.75</v>
      </c>
      <c r="G14" s="9">
        <f t="shared" si="0"/>
        <v>3.5983059341267006E-2</v>
      </c>
    </row>
    <row r="15" spans="1:7" x14ac:dyDescent="0.25">
      <c r="A15" s="9" t="s">
        <v>50</v>
      </c>
      <c r="B15" s="9" t="s">
        <v>51</v>
      </c>
      <c r="C15" s="9" t="s">
        <v>52</v>
      </c>
      <c r="D15" s="9" t="s">
        <v>6</v>
      </c>
      <c r="E15" s="9" t="s">
        <v>53</v>
      </c>
      <c r="F15" s="10">
        <v>83.73</v>
      </c>
      <c r="G15" s="9">
        <f t="shared" si="0"/>
        <v>6.0287374860315893E-3</v>
      </c>
    </row>
    <row r="16" spans="1:7" x14ac:dyDescent="0.25">
      <c r="A16" s="9" t="s">
        <v>54</v>
      </c>
      <c r="B16" s="9" t="s">
        <v>55</v>
      </c>
      <c r="C16" s="9" t="s">
        <v>56</v>
      </c>
      <c r="D16" s="9" t="s">
        <v>6</v>
      </c>
      <c r="E16" s="9" t="s">
        <v>57</v>
      </c>
      <c r="F16" s="10">
        <v>1708.48</v>
      </c>
      <c r="G16" s="9">
        <f t="shared" si="0"/>
        <v>0.12301418153750447</v>
      </c>
    </row>
    <row r="17" spans="6:7" x14ac:dyDescent="0.25">
      <c r="F17" s="11">
        <f>SUM(F3:F16)</f>
        <v>13888.48</v>
      </c>
      <c r="G17" s="7">
        <f>SUM(G3:G16)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6790C-5FB7-42C8-B72B-E6760223C7B9}">
  <dimension ref="A1:F18"/>
  <sheetViews>
    <sheetView workbookViewId="0">
      <selection activeCell="E22" sqref="E22"/>
    </sheetView>
  </sheetViews>
  <sheetFormatPr baseColWidth="10" defaultColWidth="11.42578125" defaultRowHeight="12.75" x14ac:dyDescent="0.2"/>
  <cols>
    <col min="1" max="1" width="2.7109375" style="51" bestFit="1" customWidth="1"/>
    <col min="2" max="2" width="44.7109375" style="51" bestFit="1" customWidth="1"/>
    <col min="3" max="3" width="9.28515625" style="51" customWidth="1"/>
    <col min="4" max="4" width="9.42578125" style="51" customWidth="1"/>
    <col min="5" max="5" width="23.5703125" style="51" bestFit="1" customWidth="1"/>
    <col min="6" max="6" width="10.5703125" style="51" customWidth="1"/>
    <col min="7" max="16384" width="11.42578125" style="51"/>
  </cols>
  <sheetData>
    <row r="1" spans="1:6" ht="15" x14ac:dyDescent="0.25">
      <c r="B1" s="52" t="s">
        <v>169</v>
      </c>
      <c r="C1" s="52"/>
    </row>
    <row r="2" spans="1:6" ht="15" x14ac:dyDescent="0.25">
      <c r="B2" s="52" t="s">
        <v>207</v>
      </c>
      <c r="C2" s="52"/>
    </row>
    <row r="3" spans="1:6" ht="36" x14ac:dyDescent="0.2">
      <c r="A3" s="54"/>
      <c r="B3" s="59" t="s">
        <v>174</v>
      </c>
      <c r="C3" s="60" t="s">
        <v>175</v>
      </c>
      <c r="D3" s="60" t="s">
        <v>176</v>
      </c>
      <c r="E3" s="60" t="s">
        <v>177</v>
      </c>
      <c r="F3" s="61" t="s">
        <v>206</v>
      </c>
    </row>
    <row r="4" spans="1:6" x14ac:dyDescent="0.2">
      <c r="A4" s="55">
        <v>1</v>
      </c>
      <c r="B4" s="57" t="s">
        <v>178</v>
      </c>
      <c r="C4" s="56" t="s">
        <v>103</v>
      </c>
      <c r="D4" s="56" t="s">
        <v>179</v>
      </c>
      <c r="E4" s="57" t="s">
        <v>180</v>
      </c>
      <c r="F4" s="58" t="s">
        <v>20</v>
      </c>
    </row>
    <row r="5" spans="1:6" x14ac:dyDescent="0.2">
      <c r="A5" s="55">
        <v>2</v>
      </c>
      <c r="B5" s="57" t="s">
        <v>181</v>
      </c>
      <c r="C5" s="56" t="s">
        <v>102</v>
      </c>
      <c r="D5" s="56" t="s">
        <v>179</v>
      </c>
      <c r="E5" s="57" t="s">
        <v>182</v>
      </c>
      <c r="F5" s="58" t="s">
        <v>28</v>
      </c>
    </row>
    <row r="6" spans="1:6" x14ac:dyDescent="0.2">
      <c r="A6" s="55">
        <v>3</v>
      </c>
      <c r="B6" s="57" t="s">
        <v>183</v>
      </c>
      <c r="C6" s="56" t="s">
        <v>104</v>
      </c>
      <c r="D6" s="56" t="s">
        <v>179</v>
      </c>
      <c r="E6" s="57" t="s">
        <v>184</v>
      </c>
      <c r="F6" s="58" t="s">
        <v>13</v>
      </c>
    </row>
    <row r="7" spans="1:6" x14ac:dyDescent="0.2">
      <c r="A7" s="55">
        <v>4</v>
      </c>
      <c r="B7" s="57" t="s">
        <v>185</v>
      </c>
      <c r="C7" s="56" t="s">
        <v>106</v>
      </c>
      <c r="D7" s="56" t="s">
        <v>179</v>
      </c>
      <c r="E7" s="57" t="s">
        <v>186</v>
      </c>
      <c r="F7" s="58" t="s">
        <v>46</v>
      </c>
    </row>
    <row r="8" spans="1:6" x14ac:dyDescent="0.2">
      <c r="A8" s="55">
        <v>5</v>
      </c>
      <c r="B8" s="57" t="s">
        <v>187</v>
      </c>
      <c r="C8" s="56" t="s">
        <v>105</v>
      </c>
      <c r="D8" s="56" t="s">
        <v>179</v>
      </c>
      <c r="E8" s="57" t="s">
        <v>170</v>
      </c>
      <c r="F8" s="58" t="s">
        <v>40</v>
      </c>
    </row>
    <row r="9" spans="1:6" x14ac:dyDescent="0.2">
      <c r="A9" s="55">
        <v>6</v>
      </c>
      <c r="B9" s="57" t="s">
        <v>188</v>
      </c>
      <c r="C9" s="56" t="s">
        <v>114</v>
      </c>
      <c r="D9" s="56" t="s">
        <v>179</v>
      </c>
      <c r="E9" s="57" t="s">
        <v>189</v>
      </c>
      <c r="F9" s="58" t="s">
        <v>10</v>
      </c>
    </row>
    <row r="10" spans="1:6" x14ac:dyDescent="0.2">
      <c r="A10" s="55">
        <v>7</v>
      </c>
      <c r="B10" s="57" t="s">
        <v>190</v>
      </c>
      <c r="C10" s="56" t="s">
        <v>111</v>
      </c>
      <c r="D10" s="56" t="s">
        <v>179</v>
      </c>
      <c r="E10" s="57" t="s">
        <v>191</v>
      </c>
      <c r="F10" s="58" t="s">
        <v>171</v>
      </c>
    </row>
    <row r="11" spans="1:6" x14ac:dyDescent="0.2">
      <c r="A11" s="55">
        <v>8</v>
      </c>
      <c r="B11" s="57" t="s">
        <v>192</v>
      </c>
      <c r="C11" s="56" t="s">
        <v>112</v>
      </c>
      <c r="D11" s="56" t="s">
        <v>179</v>
      </c>
      <c r="E11" s="57" t="s">
        <v>193</v>
      </c>
      <c r="F11" s="58" t="s">
        <v>24</v>
      </c>
    </row>
    <row r="12" spans="1:6" x14ac:dyDescent="0.2">
      <c r="A12" s="55">
        <v>9</v>
      </c>
      <c r="B12" s="57" t="s">
        <v>196</v>
      </c>
      <c r="C12" s="56" t="s">
        <v>113</v>
      </c>
      <c r="D12" s="56" t="s">
        <v>179</v>
      </c>
      <c r="E12" s="57" t="s">
        <v>197</v>
      </c>
      <c r="F12" s="58" t="s">
        <v>44</v>
      </c>
    </row>
    <row r="13" spans="1:6" x14ac:dyDescent="0.2">
      <c r="A13" s="55">
        <v>10</v>
      </c>
      <c r="B13" s="57" t="s">
        <v>198</v>
      </c>
      <c r="C13" s="56" t="s">
        <v>105</v>
      </c>
      <c r="D13" s="56" t="s">
        <v>179</v>
      </c>
      <c r="E13" s="57" t="s">
        <v>199</v>
      </c>
      <c r="F13" s="58" t="s">
        <v>36</v>
      </c>
    </row>
    <row r="14" spans="1:6" x14ac:dyDescent="0.2">
      <c r="A14" s="55">
        <v>11</v>
      </c>
      <c r="B14" s="57" t="s">
        <v>200</v>
      </c>
      <c r="C14" s="56" t="s">
        <v>115</v>
      </c>
      <c r="D14" s="56" t="s">
        <v>179</v>
      </c>
      <c r="E14" s="57" t="s">
        <v>201</v>
      </c>
      <c r="F14" s="58" t="s">
        <v>32</v>
      </c>
    </row>
    <row r="15" spans="1:6" x14ac:dyDescent="0.2">
      <c r="A15" s="55">
        <v>12</v>
      </c>
      <c r="B15" s="57" t="s">
        <v>202</v>
      </c>
      <c r="C15" s="56" t="s">
        <v>138</v>
      </c>
      <c r="D15" s="56" t="s">
        <v>179</v>
      </c>
      <c r="E15" s="57" t="s">
        <v>195</v>
      </c>
      <c r="F15" s="53" t="s">
        <v>173</v>
      </c>
    </row>
    <row r="16" spans="1:6" x14ac:dyDescent="0.2">
      <c r="A16" s="55">
        <v>13</v>
      </c>
      <c r="B16" s="57" t="s">
        <v>203</v>
      </c>
      <c r="C16" s="56" t="s">
        <v>136</v>
      </c>
      <c r="D16" s="56" t="s">
        <v>179</v>
      </c>
      <c r="E16" s="57" t="s">
        <v>186</v>
      </c>
      <c r="F16" s="53" t="s">
        <v>46</v>
      </c>
    </row>
    <row r="17" spans="1:6" x14ac:dyDescent="0.2">
      <c r="A17" s="55">
        <v>14</v>
      </c>
      <c r="B17" s="57" t="s">
        <v>204</v>
      </c>
      <c r="C17" s="56" t="s">
        <v>137</v>
      </c>
      <c r="D17" s="56" t="s">
        <v>179</v>
      </c>
      <c r="E17" s="57" t="s">
        <v>205</v>
      </c>
      <c r="F17" s="53" t="s">
        <v>17</v>
      </c>
    </row>
    <row r="18" spans="1:6" x14ac:dyDescent="0.2">
      <c r="A18" s="55"/>
      <c r="B18" s="68" t="s">
        <v>194</v>
      </c>
      <c r="C18" s="69" t="s">
        <v>172</v>
      </c>
      <c r="D18" s="69" t="s">
        <v>179</v>
      </c>
      <c r="E18" s="68" t="s">
        <v>195</v>
      </c>
      <c r="F18" s="70" t="s">
        <v>173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Distribucion ESR 2023</vt:lpstr>
      <vt:lpstr>Subvencionados U. Estatales</vt:lpstr>
      <vt:lpstr>KM RM</vt:lpstr>
      <vt:lpstr>Oferta Académica CFT Est. 2022</vt:lpstr>
      <vt:lpstr>'Distribucion ESR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2023-01-19T15:59:50Z</cp:lastPrinted>
  <dcterms:created xsi:type="dcterms:W3CDTF">2017-03-28T16:09:36Z</dcterms:created>
  <dcterms:modified xsi:type="dcterms:W3CDTF">2024-03-27T15:05:59Z</dcterms:modified>
</cp:coreProperties>
</file>