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/ESR 2023/"/>
    </mc:Choice>
  </mc:AlternateContent>
  <xr:revisionPtr revIDLastSave="2" documentId="8_{EE551619-E3BD-4287-AB49-0FFD3E259C8E}" xr6:coauthVersionLast="47" xr6:coauthVersionMax="47" xr10:uidLastSave="{96FC2E71-C04D-4B41-98C0-239172568AD4}"/>
  <bookViews>
    <workbookView xWindow="-120" yWindow="-120" windowWidth="20730" windowHeight="11160" xr2:uid="{00000000-000D-0000-FFFF-FFFF00000000}"/>
  </bookViews>
  <sheets>
    <sheet name="Distribución ESR 2023" sheetId="1" r:id="rId1"/>
    <sheet name="Subvencionados CRUCH-Privadas" sheetId="2" r:id="rId2"/>
    <sheet name="KM RM" sheetId="3" r:id="rId3"/>
  </sheets>
  <definedNames>
    <definedName name="_xlnm._FilterDatabase" localSheetId="0" hidden="1">'Distribución ESR 2023'!$A$10:$I$18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" i="1" l="1"/>
  <c r="Q12" i="1"/>
  <c r="R12" i="1" s="1"/>
  <c r="Q13" i="1"/>
  <c r="R13" i="1" s="1"/>
  <c r="Q14" i="1"/>
  <c r="Q15" i="1"/>
  <c r="R15" i="1" s="1"/>
  <c r="Q16" i="1"/>
  <c r="R16" i="1" s="1"/>
  <c r="Q17" i="1"/>
  <c r="R17" i="1" s="1"/>
  <c r="Q18" i="1"/>
  <c r="Q11" i="1"/>
  <c r="R11" i="1" s="1"/>
  <c r="R14" i="1"/>
  <c r="R18" i="1"/>
  <c r="G26" i="1"/>
  <c r="G25" i="1"/>
  <c r="Q19" i="1" l="1"/>
  <c r="G19" i="1"/>
  <c r="C27" i="1"/>
  <c r="C31" i="1" s="1"/>
  <c r="M12" i="1" s="1"/>
  <c r="I6" i="2"/>
  <c r="I7" i="2"/>
  <c r="I8" i="2"/>
  <c r="I9" i="2"/>
  <c r="I10" i="2"/>
  <c r="I11" i="2"/>
  <c r="I12" i="2"/>
  <c r="I13" i="2"/>
  <c r="J13" i="2" s="1"/>
  <c r="H7" i="2"/>
  <c r="H8" i="2"/>
  <c r="J8" i="2" s="1"/>
  <c r="H9" i="2"/>
  <c r="H10" i="2"/>
  <c r="H11" i="2"/>
  <c r="H12" i="2"/>
  <c r="H13" i="2"/>
  <c r="C14" i="2"/>
  <c r="D14" i="2"/>
  <c r="G14" i="2"/>
  <c r="H6" i="2"/>
  <c r="F14" i="2"/>
  <c r="E14" i="2"/>
  <c r="G4" i="3"/>
  <c r="G5" i="3"/>
  <c r="G6" i="3"/>
  <c r="G7" i="3"/>
  <c r="G8" i="3"/>
  <c r="G9" i="3"/>
  <c r="G10" i="3"/>
  <c r="G3" i="3"/>
  <c r="G11" i="3"/>
  <c r="F19" i="1"/>
  <c r="I19" i="1"/>
  <c r="R19" i="1" l="1"/>
  <c r="R20" i="1" s="1"/>
  <c r="Q20" i="1"/>
  <c r="J11" i="2"/>
  <c r="J14" i="2" s="1"/>
  <c r="J7" i="2"/>
  <c r="J10" i="2"/>
  <c r="J6" i="2"/>
  <c r="J12" i="2"/>
  <c r="M11" i="1"/>
  <c r="M15" i="1"/>
  <c r="M18" i="1"/>
  <c r="M14" i="1"/>
  <c r="C28" i="1"/>
  <c r="J13" i="1" s="1"/>
  <c r="M17" i="1"/>
  <c r="M13" i="1"/>
  <c r="M16" i="1"/>
  <c r="C29" i="1"/>
  <c r="K14" i="1" s="1"/>
  <c r="C30" i="1"/>
  <c r="K17" i="1"/>
  <c r="I14" i="2"/>
  <c r="J9" i="2"/>
  <c r="H14" i="2"/>
  <c r="J15" i="1"/>
  <c r="J17" i="1"/>
  <c r="K7" i="2" l="1"/>
  <c r="H12" i="1" s="1"/>
  <c r="L12" i="1" s="1"/>
  <c r="J14" i="1"/>
  <c r="J16" i="1"/>
  <c r="K11" i="1"/>
  <c r="K13" i="1"/>
  <c r="J12" i="1"/>
  <c r="J11" i="1"/>
  <c r="K18" i="1"/>
  <c r="C32" i="1"/>
  <c r="J18" i="1"/>
  <c r="K15" i="1"/>
  <c r="K16" i="1"/>
  <c r="K12" i="1"/>
  <c r="K6" i="2"/>
  <c r="H11" i="1" s="1"/>
  <c r="L11" i="1" s="1"/>
  <c r="K10" i="2"/>
  <c r="H15" i="1" s="1"/>
  <c r="L15" i="1" s="1"/>
  <c r="K12" i="2"/>
  <c r="H17" i="1" s="1"/>
  <c r="L17" i="1" s="1"/>
  <c r="K13" i="2"/>
  <c r="H18" i="1" s="1"/>
  <c r="L18" i="1" s="1"/>
  <c r="K9" i="2"/>
  <c r="H14" i="1" s="1"/>
  <c r="L14" i="1" s="1"/>
  <c r="K8" i="2"/>
  <c r="H13" i="1" s="1"/>
  <c r="L13" i="1" s="1"/>
  <c r="K11" i="2"/>
  <c r="H16" i="1" s="1"/>
  <c r="L16" i="1" s="1"/>
  <c r="J19" i="1" l="1"/>
  <c r="N11" i="1"/>
  <c r="K19" i="1"/>
  <c r="H19" i="1"/>
  <c r="K14" i="2"/>
  <c r="N15" i="1"/>
  <c r="O15" i="1" s="1"/>
  <c r="N17" i="1"/>
  <c r="O17" i="1" s="1"/>
  <c r="M19" i="1"/>
  <c r="L19" i="1"/>
  <c r="N14" i="1"/>
  <c r="O14" i="1" s="1"/>
  <c r="N13" i="1"/>
  <c r="O13" i="1" s="1"/>
  <c r="N18" i="1"/>
  <c r="O18" i="1" s="1"/>
  <c r="N12" i="1"/>
  <c r="O12" i="1" s="1"/>
  <c r="N16" i="1" l="1"/>
  <c r="O16" i="1" s="1"/>
  <c r="O11" i="1" l="1"/>
  <c r="N19" i="1"/>
  <c r="O19" i="1" l="1"/>
  <c r="P11" i="1" l="1"/>
  <c r="P17" i="1"/>
  <c r="P15" i="1"/>
  <c r="P13" i="1"/>
  <c r="P12" i="1"/>
  <c r="P14" i="1"/>
  <c r="P18" i="1"/>
  <c r="P16" i="1"/>
  <c r="P19" i="1" l="1"/>
</calcChain>
</file>

<file path=xl/sharedStrings.xml><?xml version="1.0" encoding="utf-8"?>
<sst xmlns="http://schemas.openxmlformats.org/spreadsheetml/2006/main" count="157" uniqueCount="85">
  <si>
    <t>Instituciones</t>
  </si>
  <si>
    <t>Región</t>
  </si>
  <si>
    <t>Tipo IES</t>
  </si>
  <si>
    <t>Ciudad</t>
  </si>
  <si>
    <t>Universidad Regional</t>
  </si>
  <si>
    <t>Matrícula Subvencionada</t>
  </si>
  <si>
    <t>Km RM</t>
  </si>
  <si>
    <t>CRUCH-PRIVADA</t>
  </si>
  <si>
    <t>UCO</t>
  </si>
  <si>
    <t>U. de Concepción</t>
  </si>
  <si>
    <t>Bío-Bío</t>
  </si>
  <si>
    <t>Concepción</t>
  </si>
  <si>
    <t>UCV</t>
  </si>
  <si>
    <t>P.U. Católica de Valparaíso</t>
  </si>
  <si>
    <t>Valparaíso</t>
  </si>
  <si>
    <t>FSM</t>
  </si>
  <si>
    <t>U. Téc. Federico Sta.Maria</t>
  </si>
  <si>
    <t>AUS</t>
  </si>
  <si>
    <t>U. Austral</t>
  </si>
  <si>
    <t>Los Ríos</t>
  </si>
  <si>
    <t>Valdivia</t>
  </si>
  <si>
    <t>UCN</t>
  </si>
  <si>
    <t>U. Católica del Norte</t>
  </si>
  <si>
    <t>Antofagasta</t>
  </si>
  <si>
    <t>UCM</t>
  </si>
  <si>
    <t>Maule</t>
  </si>
  <si>
    <t>Talca</t>
  </si>
  <si>
    <t>UCT</t>
  </si>
  <si>
    <t>U. Católica de Temuco</t>
  </si>
  <si>
    <t>Araucanía</t>
  </si>
  <si>
    <t>Temuco</t>
  </si>
  <si>
    <t>USC</t>
  </si>
  <si>
    <t>U. C.de la Sant.Concepción</t>
  </si>
  <si>
    <t>PONTIFICIA UNIVERSIDAD CATOLICA DE VALPARAISO</t>
  </si>
  <si>
    <t>UNIVERSIDAD AUSTRAL DE CHILE</t>
  </si>
  <si>
    <t>UNIVERSIDAD CATOLICA DE LA SANTISIMA CONCEPCION</t>
  </si>
  <si>
    <t>UNIVERSIDAD CATOLICA DE TEMUCO</t>
  </si>
  <si>
    <t>UNIVERSIDAD CATOLICA DEL MAULE</t>
  </si>
  <si>
    <t>UNIVERSIDAD CATOLICA DEL NORTE</t>
  </si>
  <si>
    <t>UNIVERSIDAD DE CONCEPCION</t>
  </si>
  <si>
    <t>UNIVERSIDAD TECNICA FEDERICO SANTA MARIA</t>
  </si>
  <si>
    <t>Suma de TOTAL TES</t>
  </si>
  <si>
    <t>U. Católica del Maule</t>
  </si>
  <si>
    <t>% Matrícula Subvencionada</t>
  </si>
  <si>
    <t>Total</t>
  </si>
  <si>
    <t>% KM RM</t>
  </si>
  <si>
    <t>Código</t>
  </si>
  <si>
    <t>% distribución</t>
  </si>
  <si>
    <t>KM RM</t>
  </si>
  <si>
    <t>% Distribución</t>
  </si>
  <si>
    <t>Universidades Privadas CRUCH</t>
  </si>
  <si>
    <t>Suma de TES MUNICIPAL</t>
  </si>
  <si>
    <t>Suma de TES PARTICULAR SUBVENCIONADO</t>
  </si>
  <si>
    <t>Suma de TES PARTICULAR PAGADO</t>
  </si>
  <si>
    <t>Suma de TES CORP_ DE ADM_ DELEGADA</t>
  </si>
  <si>
    <t>% Matrícula Subvencionada por IES</t>
  </si>
  <si>
    <t>% Ajustado</t>
  </si>
  <si>
    <t>Transferencias Corrientes</t>
  </si>
  <si>
    <t>Transferencias de Capital</t>
  </si>
  <si>
    <t>Suma de TES SERVICIO LOCAL EDUCACION</t>
  </si>
  <si>
    <t>Suma de TOTAL TES Subvencionada</t>
  </si>
  <si>
    <t>Código DFI</t>
  </si>
  <si>
    <t>NIVEL GLOBAL</t>
  </si>
  <si>
    <t>Pregrado</t>
  </si>
  <si>
    <t>TIPO DE PLAN DE LA CARRERA</t>
  </si>
  <si>
    <t>Plan Regular</t>
  </si>
  <si>
    <t>Totales</t>
  </si>
  <si>
    <t>Total con decimales M$</t>
  </si>
  <si>
    <t>Ley de Presupuestos 2023</t>
  </si>
  <si>
    <t>Vinculación con el Medio</t>
  </si>
  <si>
    <t>Educación Superior Regional (ESR)</t>
  </si>
  <si>
    <t>Año 2023</t>
  </si>
  <si>
    <t>Miles de pesos</t>
  </si>
  <si>
    <t>Unidad de Anáslisis e Información, DFI-SUBESUP</t>
  </si>
  <si>
    <t>Total ESR
2023
Sin decimales
M$</t>
  </si>
  <si>
    <t>Monto 
ESR  
2023
Transferencias Corrientes 
M$</t>
  </si>
  <si>
    <t>Monto 
ESR
2023
Transferencias de Capital
M$</t>
  </si>
  <si>
    <t xml:space="preserve">Universidades CRUCH G9 </t>
  </si>
  <si>
    <t>AÑO</t>
  </si>
  <si>
    <t>MAT_2022</t>
  </si>
  <si>
    <t>Programa</t>
  </si>
  <si>
    <t>Asign</t>
  </si>
  <si>
    <t>%</t>
  </si>
  <si>
    <t>Dex. N° 196 - 2023</t>
  </si>
  <si>
    <t xml:space="preserve">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</si>
</sst>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00%"/>
    <numFmt numFmtId="167" formatCode="_-* #,##0.0_-;\-* #,##0.0_-;_-* &quot;-&quot;??_-;_-@_-"/>
    <numFmt numFmtId="168" formatCode="0#"/>
    <numFmt numFmtId="169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9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/>
    <xf numFmtId="165" fontId="3" fillId="2" borderId="1" xfId="2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/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/>
    <xf numFmtId="165" fontId="4" fillId="0" borderId="1" xfId="2" applyNumberFormat="1" applyFont="1" applyBorder="1"/>
    <xf numFmtId="41" fontId="4" fillId="0" borderId="1" xfId="3" applyFont="1" applyBorder="1"/>
    <xf numFmtId="0" fontId="3" fillId="0" borderId="1" xfId="0" applyFont="1" applyBorder="1"/>
    <xf numFmtId="41" fontId="3" fillId="0" borderId="1" xfId="3" applyFont="1" applyBorder="1"/>
    <xf numFmtId="9" fontId="3" fillId="0" borderId="1" xfId="1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6" fontId="4" fillId="0" borderId="1" xfId="1" applyNumberFormat="1" applyFont="1" applyBorder="1"/>
    <xf numFmtId="164" fontId="4" fillId="0" borderId="1" xfId="2" applyFont="1" applyBorder="1"/>
    <xf numFmtId="10" fontId="4" fillId="3" borderId="1" xfId="1" applyNumberFormat="1" applyFont="1" applyFill="1" applyBorder="1"/>
    <xf numFmtId="165" fontId="3" fillId="0" borderId="1" xfId="2" applyNumberFormat="1" applyFont="1" applyBorder="1"/>
    <xf numFmtId="164" fontId="3" fillId="0" borderId="1" xfId="2" applyFont="1" applyBorder="1"/>
    <xf numFmtId="164" fontId="3" fillId="3" borderId="1" xfId="2" applyFont="1" applyFill="1" applyBorder="1"/>
    <xf numFmtId="9" fontId="3" fillId="3" borderId="1" xfId="1" applyFont="1" applyFill="1" applyBorder="1"/>
    <xf numFmtId="164" fontId="0" fillId="4" borderId="1" xfId="0" applyNumberFormat="1" applyFill="1" applyBorder="1"/>
    <xf numFmtId="165" fontId="8" fillId="0" borderId="0" xfId="0" applyNumberFormat="1" applyFont="1"/>
    <xf numFmtId="0" fontId="8" fillId="0" borderId="0" xfId="0" applyFont="1"/>
    <xf numFmtId="165" fontId="3" fillId="5" borderId="1" xfId="2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167" fontId="4" fillId="3" borderId="1" xfId="2" applyNumberFormat="1" applyFont="1" applyFill="1" applyBorder="1"/>
    <xf numFmtId="165" fontId="3" fillId="0" borderId="0" xfId="2" applyNumberFormat="1" applyFont="1" applyBorder="1"/>
    <xf numFmtId="164" fontId="3" fillId="0" borderId="0" xfId="2" applyFont="1" applyBorder="1"/>
    <xf numFmtId="164" fontId="3" fillId="0" borderId="0" xfId="2" applyFont="1" applyFill="1" applyBorder="1"/>
    <xf numFmtId="9" fontId="3" fillId="0" borderId="0" xfId="1" applyFont="1" applyFill="1" applyBorder="1"/>
    <xf numFmtId="164" fontId="0" fillId="0" borderId="0" xfId="0" applyNumberFormat="1"/>
    <xf numFmtId="0" fontId="0" fillId="0" borderId="1" xfId="0" applyBorder="1"/>
    <xf numFmtId="168" fontId="0" fillId="0" borderId="1" xfId="0" applyNumberFormat="1" applyBorder="1"/>
    <xf numFmtId="169" fontId="0" fillId="0" borderId="1" xfId="0" applyNumberFormat="1" applyBorder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4">
    <cellStyle name="Millares" xfId="2" builtinId="3"/>
    <cellStyle name="Millares [0]" xfId="3" builtinId="6"/>
    <cellStyle name="Normal" xfId="0" builtinId="0"/>
    <cellStyle name="Porcentaje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43657</xdr:colOff>
      <xdr:row>0</xdr:row>
      <xdr:rowOff>52917</xdr:rowOff>
    </xdr:from>
    <xdr:to>
      <xdr:col>1</xdr:col>
      <xdr:colOff>571501</xdr:colOff>
      <xdr:row>0</xdr:row>
      <xdr:rowOff>1205441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CBA0EB-9B02-44F9-8172-4CE87A2B2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57" y="52917"/>
          <a:ext cx="1289844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16</xdr:col>
      <xdr:colOff>67469</xdr:colOff>
      <xdr:row>0</xdr:row>
      <xdr:rowOff>83344</xdr:rowOff>
    </xdr:from>
    <xdr:ext cx="1438373" cy="422735"/>
    <xdr:pic>
      <xdr:nvPicPr>
        <xdr:cNvPr id="3" name="Imagen 2">
          <a:extLst>
            <a:ext uri="{FF2B5EF4-FFF2-40B4-BE49-F238E27FC236}">
              <a16:creationId xmlns:a16="http://schemas.microsoft.com/office/drawing/2014/main" id="{7E6A3BEE-9458-49F7-BE20-929E9399A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21594" y="83344"/>
          <a:ext cx="1438373" cy="422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zoomScale="80" zoomScaleNormal="80" workbookViewId="0">
      <selection activeCell="A2" sqref="A2:R2"/>
    </sheetView>
  </sheetViews>
  <sheetFormatPr baseColWidth="10" defaultRowHeight="15" x14ac:dyDescent="0.25"/>
  <cols>
    <col min="2" max="2" width="24.7109375" bestFit="1" customWidth="1"/>
    <col min="3" max="3" width="12.42578125" bestFit="1" customWidth="1"/>
    <col min="4" max="4" width="15.7109375" bestFit="1" customWidth="1"/>
    <col min="6" max="7" width="11" customWidth="1"/>
    <col min="8" max="8" width="13" customWidth="1"/>
    <col min="10" max="10" width="11.5703125" bestFit="1" customWidth="1"/>
    <col min="11" max="11" width="11.5703125" customWidth="1"/>
    <col min="12" max="12" width="12.28515625" customWidth="1"/>
    <col min="13" max="13" width="12.5703125" customWidth="1"/>
    <col min="14" max="14" width="13.42578125" bestFit="1" customWidth="1"/>
    <col min="15" max="15" width="13.42578125" customWidth="1"/>
    <col min="17" max="17" width="13.140625" bestFit="1" customWidth="1"/>
    <col min="18" max="18" width="11.7109375" bestFit="1" customWidth="1"/>
  </cols>
  <sheetData>
    <row r="1" spans="1:18" ht="100.5" customHeight="1" x14ac:dyDescent="0.25"/>
    <row r="2" spans="1:18" ht="19.5" x14ac:dyDescent="0.3">
      <c r="A2" s="46" t="s">
        <v>70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19.5" x14ac:dyDescent="0.3">
      <c r="A3" s="46" t="s">
        <v>77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ht="19.5" x14ac:dyDescent="0.3">
      <c r="A4" s="46" t="s">
        <v>71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15.75" x14ac:dyDescent="0.25">
      <c r="A5" s="47" t="s">
        <v>72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x14ac:dyDescent="0.25">
      <c r="A6" s="45" t="s">
        <v>73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x14ac:dyDescent="0.25">
      <c r="A7" s="45" t="s">
        <v>84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1:18" x14ac:dyDescent="0.25">
      <c r="A9" s="3"/>
      <c r="B9" s="5"/>
      <c r="C9" s="3"/>
      <c r="D9" s="3"/>
      <c r="E9" s="3"/>
      <c r="F9" s="1">
        <v>0.25</v>
      </c>
      <c r="G9" s="1">
        <v>0.25</v>
      </c>
      <c r="H9" s="1">
        <v>0.3</v>
      </c>
      <c r="I9" s="1">
        <v>0.2</v>
      </c>
      <c r="J9" s="1">
        <v>0.25</v>
      </c>
      <c r="K9" s="1">
        <v>0.25</v>
      </c>
      <c r="L9" s="1">
        <v>0.3</v>
      </c>
      <c r="M9" s="1">
        <v>0.2</v>
      </c>
      <c r="N9" s="3"/>
      <c r="O9" s="3"/>
      <c r="Q9" s="48" t="s">
        <v>83</v>
      </c>
      <c r="R9" s="49"/>
    </row>
    <row r="10" spans="1:18" ht="76.5" x14ac:dyDescent="0.25">
      <c r="A10" s="2" t="s">
        <v>46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69</v>
      </c>
      <c r="H10" s="2" t="s">
        <v>43</v>
      </c>
      <c r="I10" s="2" t="s">
        <v>45</v>
      </c>
      <c r="J10" s="2" t="s">
        <v>4</v>
      </c>
      <c r="K10" s="2" t="s">
        <v>69</v>
      </c>
      <c r="L10" s="2" t="s">
        <v>5</v>
      </c>
      <c r="M10" s="2" t="s">
        <v>48</v>
      </c>
      <c r="N10" s="2" t="s">
        <v>67</v>
      </c>
      <c r="O10" s="20" t="s">
        <v>74</v>
      </c>
      <c r="P10" s="20" t="s">
        <v>49</v>
      </c>
      <c r="Q10" s="21" t="s">
        <v>75</v>
      </c>
      <c r="R10" s="21" t="s">
        <v>76</v>
      </c>
    </row>
    <row r="11" spans="1:18" x14ac:dyDescent="0.25">
      <c r="A11" s="23" t="s">
        <v>12</v>
      </c>
      <c r="B11" s="6" t="s">
        <v>13</v>
      </c>
      <c r="C11" s="6" t="s">
        <v>14</v>
      </c>
      <c r="D11" s="6" t="s">
        <v>7</v>
      </c>
      <c r="E11" s="6" t="s">
        <v>14</v>
      </c>
      <c r="F11" s="6">
        <v>1</v>
      </c>
      <c r="G11" s="6">
        <v>1</v>
      </c>
      <c r="H11" s="24">
        <f>VLOOKUP(A11,'Subvencionados CRUCH-Privadas'!$B$6:$K$13,10,0)</f>
        <v>0.11262512100534214</v>
      </c>
      <c r="I11" s="24">
        <v>2.638837682465555E-2</v>
      </c>
      <c r="J11" s="15">
        <f t="shared" ref="J11:J18" si="0">$C$28*(F11/$F$19)</f>
        <v>77637.53125</v>
      </c>
      <c r="K11" s="15">
        <f t="shared" ref="K11:K18" si="1">$C$29*(G11/$G$19)</f>
        <v>77637.53125</v>
      </c>
      <c r="L11" s="15">
        <f>$C$30*H11</f>
        <v>83941.788975237898</v>
      </c>
      <c r="M11" s="15">
        <f>$C$31*I11</f>
        <v>13111.861954310216</v>
      </c>
      <c r="N11" s="25">
        <f t="shared" ref="N11:N18" si="2">SUM(J11:M11)</f>
        <v>252328.71342954811</v>
      </c>
      <c r="O11" s="36">
        <f>ROUND(N11,0)</f>
        <v>252329</v>
      </c>
      <c r="P11" s="26">
        <f>O11/$O$19</f>
        <v>0.10156532701443929</v>
      </c>
      <c r="Q11" s="31">
        <f t="shared" ref="Q11:Q18" si="3">+ROUND(O11*$G$25,0)</f>
        <v>181406</v>
      </c>
      <c r="R11" s="31">
        <f>+O11-Q11</f>
        <v>70923</v>
      </c>
    </row>
    <row r="12" spans="1:18" x14ac:dyDescent="0.25">
      <c r="A12" s="23" t="s">
        <v>17</v>
      </c>
      <c r="B12" s="6" t="s">
        <v>18</v>
      </c>
      <c r="C12" s="6" t="s">
        <v>19</v>
      </c>
      <c r="D12" s="6" t="s">
        <v>7</v>
      </c>
      <c r="E12" s="6" t="s">
        <v>20</v>
      </c>
      <c r="F12" s="6">
        <v>1</v>
      </c>
      <c r="G12" s="6">
        <v>1</v>
      </c>
      <c r="H12" s="24">
        <f>VLOOKUP(A12,'Subvencionados CRUCH-Privadas'!$B$6:$K$13,10,0)</f>
        <v>0.12732952462077393</v>
      </c>
      <c r="I12" s="24">
        <v>0.19290028630080244</v>
      </c>
      <c r="J12" s="15">
        <f t="shared" si="0"/>
        <v>77637.53125</v>
      </c>
      <c r="K12" s="15">
        <f t="shared" si="1"/>
        <v>77637.53125</v>
      </c>
      <c r="L12" s="15">
        <f t="shared" ref="L12:L18" si="4">$C$30*H12</f>
        <v>94901.279489212611</v>
      </c>
      <c r="M12" s="15">
        <f t="shared" ref="M12:M18" si="5">$C$31*I12</f>
        <v>95848.332837199981</v>
      </c>
      <c r="N12" s="25">
        <f t="shared" si="2"/>
        <v>346024.67482641258</v>
      </c>
      <c r="O12" s="36">
        <f t="shared" ref="O12:O18" si="6">ROUND(N12,0)</f>
        <v>346025</v>
      </c>
      <c r="P12" s="26">
        <f t="shared" ref="P12:P18" si="7">O12/$O$19</f>
        <v>0.13927904553250461</v>
      </c>
      <c r="Q12" s="31">
        <f t="shared" si="3"/>
        <v>248766</v>
      </c>
      <c r="R12" s="31">
        <f t="shared" ref="R12:R19" si="8">+O12-Q12</f>
        <v>97259</v>
      </c>
    </row>
    <row r="13" spans="1:18" x14ac:dyDescent="0.25">
      <c r="A13" s="23" t="s">
        <v>31</v>
      </c>
      <c r="B13" s="6" t="s">
        <v>32</v>
      </c>
      <c r="C13" s="6" t="s">
        <v>10</v>
      </c>
      <c r="D13" s="6" t="s">
        <v>7</v>
      </c>
      <c r="E13" s="6" t="s">
        <v>11</v>
      </c>
      <c r="F13" s="6">
        <v>1</v>
      </c>
      <c r="G13" s="6">
        <v>1</v>
      </c>
      <c r="H13" s="24">
        <f>VLOOKUP(A13,'Subvencionados CRUCH-Privadas'!$B$6:$K$13,10,0)</f>
        <v>0.13485908819495437</v>
      </c>
      <c r="I13" s="24">
        <v>0.1137351558268358</v>
      </c>
      <c r="J13" s="15">
        <f t="shared" si="0"/>
        <v>77637.53125</v>
      </c>
      <c r="K13" s="15">
        <f t="shared" si="1"/>
        <v>77637.53125</v>
      </c>
      <c r="L13" s="15">
        <f t="shared" si="4"/>
        <v>100513.21607118985</v>
      </c>
      <c r="M13" s="15">
        <f t="shared" si="5"/>
        <v>56512.746974269336</v>
      </c>
      <c r="N13" s="25">
        <f t="shared" si="2"/>
        <v>312301.02554545918</v>
      </c>
      <c r="O13" s="36">
        <f t="shared" si="6"/>
        <v>312301</v>
      </c>
      <c r="P13" s="26">
        <f t="shared" si="7"/>
        <v>0.1257047473415121</v>
      </c>
      <c r="Q13" s="31">
        <f t="shared" si="3"/>
        <v>224521</v>
      </c>
      <c r="R13" s="31">
        <f t="shared" si="8"/>
        <v>87780</v>
      </c>
    </row>
    <row r="14" spans="1:18" x14ac:dyDescent="0.25">
      <c r="A14" s="23" t="s">
        <v>27</v>
      </c>
      <c r="B14" s="6" t="s">
        <v>28</v>
      </c>
      <c r="C14" s="6" t="s">
        <v>29</v>
      </c>
      <c r="D14" s="6" t="s">
        <v>7</v>
      </c>
      <c r="E14" s="6" t="s">
        <v>30</v>
      </c>
      <c r="F14" s="6">
        <v>1</v>
      </c>
      <c r="G14" s="6">
        <v>1</v>
      </c>
      <c r="H14" s="24">
        <f>VLOOKUP(A14,'Subvencionados CRUCH-Privadas'!$B$6:$K$13,10,0)</f>
        <v>0.13811839182266944</v>
      </c>
      <c r="I14" s="24">
        <v>0.15702165235162654</v>
      </c>
      <c r="J14" s="15">
        <f t="shared" si="0"/>
        <v>77637.53125</v>
      </c>
      <c r="K14" s="15">
        <f t="shared" si="1"/>
        <v>77637.53125</v>
      </c>
      <c r="L14" s="15">
        <f t="shared" si="4"/>
        <v>102942.44122878952</v>
      </c>
      <c r="M14" s="15">
        <f t="shared" si="5"/>
        <v>78020.950024806676</v>
      </c>
      <c r="N14" s="25">
        <f t="shared" si="2"/>
        <v>336238.45375359617</v>
      </c>
      <c r="O14" s="36">
        <f t="shared" si="6"/>
        <v>336238</v>
      </c>
      <c r="P14" s="26">
        <f t="shared" si="7"/>
        <v>0.13533966537608058</v>
      </c>
      <c r="Q14" s="31">
        <f t="shared" si="3"/>
        <v>241730</v>
      </c>
      <c r="R14" s="31">
        <f t="shared" si="8"/>
        <v>94508</v>
      </c>
    </row>
    <row r="15" spans="1:18" x14ac:dyDescent="0.25">
      <c r="A15" s="23" t="s">
        <v>24</v>
      </c>
      <c r="B15" s="6" t="s">
        <v>42</v>
      </c>
      <c r="C15" s="6" t="s">
        <v>25</v>
      </c>
      <c r="D15" s="6" t="s">
        <v>7</v>
      </c>
      <c r="E15" s="6" t="s">
        <v>26</v>
      </c>
      <c r="F15" s="6">
        <v>1</v>
      </c>
      <c r="G15" s="6">
        <v>1</v>
      </c>
      <c r="H15" s="24">
        <f>VLOOKUP(A15,'Subvencionados CRUCH-Privadas'!$B$6:$K$13,10,0)</f>
        <v>0.1341146898551196</v>
      </c>
      <c r="I15" s="24">
        <v>5.8457252877800986E-2</v>
      </c>
      <c r="J15" s="15">
        <f t="shared" si="0"/>
        <v>77637.53125</v>
      </c>
      <c r="K15" s="15">
        <f t="shared" si="1"/>
        <v>77637.53125</v>
      </c>
      <c r="L15" s="15">
        <f t="shared" si="4"/>
        <v>99958.400877224689</v>
      </c>
      <c r="M15" s="15">
        <f t="shared" si="5"/>
        <v>29046.251501372331</v>
      </c>
      <c r="N15" s="25">
        <f t="shared" si="2"/>
        <v>284279.71487859701</v>
      </c>
      <c r="O15" s="36">
        <f t="shared" si="6"/>
        <v>284280</v>
      </c>
      <c r="P15" s="26">
        <f t="shared" si="7"/>
        <v>0.11442597229674276</v>
      </c>
      <c r="Q15" s="31">
        <f t="shared" si="3"/>
        <v>204376</v>
      </c>
      <c r="R15" s="31">
        <f t="shared" si="8"/>
        <v>79904</v>
      </c>
    </row>
    <row r="16" spans="1:18" x14ac:dyDescent="0.25">
      <c r="A16" s="23" t="s">
        <v>21</v>
      </c>
      <c r="B16" s="6" t="s">
        <v>22</v>
      </c>
      <c r="C16" s="6" t="s">
        <v>23</v>
      </c>
      <c r="D16" s="6" t="s">
        <v>7</v>
      </c>
      <c r="E16" s="6" t="s">
        <v>23</v>
      </c>
      <c r="F16" s="6">
        <v>1</v>
      </c>
      <c r="G16" s="6">
        <v>1</v>
      </c>
      <c r="H16" s="24">
        <f>VLOOKUP(A16,'Subvencionados CRUCH-Privadas'!$B$6:$K$13,10,0)</f>
        <v>0.11911647196900485</v>
      </c>
      <c r="I16" s="24">
        <v>0.31137374316678729</v>
      </c>
      <c r="J16" s="15">
        <f t="shared" si="0"/>
        <v>77637.53125</v>
      </c>
      <c r="K16" s="15">
        <f t="shared" si="1"/>
        <v>77637.53125</v>
      </c>
      <c r="L16" s="15">
        <f t="shared" si="4"/>
        <v>88779.92462288028</v>
      </c>
      <c r="M16" s="15">
        <f t="shared" si="5"/>
        <v>154715.44777946192</v>
      </c>
      <c r="N16" s="25">
        <f t="shared" si="2"/>
        <v>398770.43490234221</v>
      </c>
      <c r="O16" s="36">
        <f t="shared" si="6"/>
        <v>398770</v>
      </c>
      <c r="P16" s="26">
        <f t="shared" si="7"/>
        <v>0.1605095151708601</v>
      </c>
      <c r="Q16" s="31">
        <f t="shared" si="3"/>
        <v>286686</v>
      </c>
      <c r="R16" s="31">
        <f t="shared" si="8"/>
        <v>112084</v>
      </c>
    </row>
    <row r="17" spans="1:18" x14ac:dyDescent="0.25">
      <c r="A17" s="23" t="s">
        <v>8</v>
      </c>
      <c r="B17" s="6" t="s">
        <v>9</v>
      </c>
      <c r="C17" s="6" t="s">
        <v>10</v>
      </c>
      <c r="D17" s="6" t="s">
        <v>7</v>
      </c>
      <c r="E17" s="6" t="s">
        <v>11</v>
      </c>
      <c r="F17" s="6">
        <v>1</v>
      </c>
      <c r="G17" s="6">
        <v>1</v>
      </c>
      <c r="H17" s="24">
        <f>VLOOKUP(A17,'Subvencionados CRUCH-Privadas'!$B$6:$K$13,10,0)</f>
        <v>0.12437682571115644</v>
      </c>
      <c r="I17" s="24">
        <v>0.1137351558268358</v>
      </c>
      <c r="J17" s="15">
        <f t="shared" si="0"/>
        <v>77637.53125</v>
      </c>
      <c r="K17" s="15">
        <f t="shared" si="1"/>
        <v>77637.53125</v>
      </c>
      <c r="L17" s="15">
        <f t="shared" si="4"/>
        <v>92700.573052086824</v>
      </c>
      <c r="M17" s="15">
        <f t="shared" si="5"/>
        <v>56512.746974269336</v>
      </c>
      <c r="N17" s="25">
        <f t="shared" si="2"/>
        <v>304488.38252635614</v>
      </c>
      <c r="O17" s="36">
        <f t="shared" si="6"/>
        <v>304488</v>
      </c>
      <c r="P17" s="26">
        <f t="shared" si="7"/>
        <v>0.12255992490745254</v>
      </c>
      <c r="Q17" s="31">
        <f t="shared" si="3"/>
        <v>218904</v>
      </c>
      <c r="R17" s="31">
        <f t="shared" si="8"/>
        <v>85584</v>
      </c>
    </row>
    <row r="18" spans="1:18" x14ac:dyDescent="0.25">
      <c r="A18" s="23" t="s">
        <v>15</v>
      </c>
      <c r="B18" s="6" t="s">
        <v>16</v>
      </c>
      <c r="C18" s="6" t="s">
        <v>14</v>
      </c>
      <c r="D18" s="6" t="s">
        <v>7</v>
      </c>
      <c r="E18" s="6" t="s">
        <v>14</v>
      </c>
      <c r="F18" s="6">
        <v>1</v>
      </c>
      <c r="G18" s="6">
        <v>1</v>
      </c>
      <c r="H18" s="24">
        <f>VLOOKUP(A18,'Subvencionados CRUCH-Privadas'!$B$6:$K$13,10,0)</f>
        <v>0.10945988682097921</v>
      </c>
      <c r="I18" s="24">
        <v>2.638837682465555E-2</v>
      </c>
      <c r="J18" s="15">
        <f t="shared" si="0"/>
        <v>77637.53125</v>
      </c>
      <c r="K18" s="15">
        <f t="shared" si="1"/>
        <v>77637.53125</v>
      </c>
      <c r="L18" s="15">
        <f t="shared" si="4"/>
        <v>81582.675683378257</v>
      </c>
      <c r="M18" s="15">
        <f t="shared" si="5"/>
        <v>13111.861954310216</v>
      </c>
      <c r="N18" s="25">
        <f t="shared" si="2"/>
        <v>249969.60013768845</v>
      </c>
      <c r="O18" s="36">
        <f t="shared" si="6"/>
        <v>249970</v>
      </c>
      <c r="P18" s="26">
        <f t="shared" si="7"/>
        <v>0.100615802360408</v>
      </c>
      <c r="Q18" s="31">
        <f t="shared" si="3"/>
        <v>179710</v>
      </c>
      <c r="R18" s="31">
        <f t="shared" si="8"/>
        <v>70260</v>
      </c>
    </row>
    <row r="19" spans="1:18" x14ac:dyDescent="0.25">
      <c r="A19" s="6"/>
      <c r="B19" s="6"/>
      <c r="C19" s="6"/>
      <c r="D19" s="6"/>
      <c r="E19" s="6"/>
      <c r="F19" s="17">
        <f t="shared" ref="F19:I19" si="9">SUM(F11:F18)</f>
        <v>8</v>
      </c>
      <c r="G19" s="17">
        <f t="shared" si="9"/>
        <v>8</v>
      </c>
      <c r="H19" s="17">
        <f t="shared" si="9"/>
        <v>0.99999999999999989</v>
      </c>
      <c r="I19" s="17">
        <f t="shared" si="9"/>
        <v>1</v>
      </c>
      <c r="J19" s="27">
        <f t="shared" ref="J19:P19" si="10">SUM(J11:J18)</f>
        <v>621100.25</v>
      </c>
      <c r="K19" s="27">
        <f t="shared" si="10"/>
        <v>621100.25</v>
      </c>
      <c r="L19" s="27">
        <f t="shared" si="10"/>
        <v>745320.29999999993</v>
      </c>
      <c r="M19" s="27">
        <f t="shared" si="10"/>
        <v>496880.19999999995</v>
      </c>
      <c r="N19" s="28">
        <f t="shared" si="10"/>
        <v>2484401</v>
      </c>
      <c r="O19" s="29">
        <f t="shared" si="10"/>
        <v>2484401</v>
      </c>
      <c r="P19" s="30">
        <f t="shared" si="10"/>
        <v>1</v>
      </c>
      <c r="Q19" s="31">
        <f>SUM(Q11:Q18)</f>
        <v>1786099</v>
      </c>
      <c r="R19" s="31">
        <f t="shared" si="8"/>
        <v>698302</v>
      </c>
    </row>
    <row r="20" spans="1:18" x14ac:dyDescent="0.25">
      <c r="A20" s="3"/>
      <c r="B20" s="3"/>
      <c r="C20" s="3"/>
      <c r="D20" s="3"/>
      <c r="E20" s="3"/>
      <c r="F20" s="4"/>
      <c r="G20" s="4"/>
      <c r="H20" s="4"/>
      <c r="I20" s="4"/>
      <c r="J20" s="37"/>
      <c r="K20" s="37"/>
      <c r="L20" s="37"/>
      <c r="M20" s="37"/>
      <c r="N20" s="38"/>
      <c r="O20" s="32">
        <f>+O19-C27</f>
        <v>0</v>
      </c>
      <c r="P20" s="33"/>
      <c r="Q20" s="32">
        <f>+Q19-C25</f>
        <v>0</v>
      </c>
      <c r="R20" s="32">
        <f>+R19-C26</f>
        <v>0</v>
      </c>
    </row>
    <row r="21" spans="1:18" x14ac:dyDescent="0.25">
      <c r="A21" s="3"/>
      <c r="B21" s="3"/>
      <c r="C21" s="3"/>
      <c r="D21" s="3"/>
      <c r="E21" s="3"/>
      <c r="F21" s="4"/>
      <c r="G21" s="4"/>
      <c r="H21" s="4"/>
      <c r="I21" s="4"/>
      <c r="J21" s="37"/>
      <c r="K21" s="37"/>
      <c r="L21" s="37"/>
      <c r="M21" s="37"/>
      <c r="N21" s="38"/>
      <c r="O21" s="39"/>
      <c r="P21" s="40"/>
      <c r="Q21" s="41"/>
    </row>
    <row r="22" spans="1:18" x14ac:dyDescent="0.25">
      <c r="A22" s="3"/>
      <c r="B22" s="3"/>
      <c r="C22" s="3"/>
      <c r="D22" s="3"/>
      <c r="E22" s="3"/>
      <c r="F22" s="4"/>
      <c r="G22" s="4"/>
      <c r="H22" s="4"/>
      <c r="I22" s="4"/>
      <c r="J22" s="37"/>
      <c r="K22" s="37"/>
      <c r="L22" s="37"/>
      <c r="M22" s="37"/>
      <c r="N22" s="38"/>
      <c r="O22" s="39"/>
      <c r="P22" s="40"/>
      <c r="Q22" s="41"/>
    </row>
    <row r="23" spans="1:18" x14ac:dyDescent="0.25">
      <c r="A23" s="3"/>
      <c r="B23" s="3"/>
      <c r="C23" s="3"/>
      <c r="D23" s="3"/>
      <c r="E23" s="3"/>
      <c r="F23" s="4"/>
      <c r="G23" s="4"/>
      <c r="H23" s="4"/>
      <c r="I23" s="4"/>
      <c r="J23" s="37"/>
      <c r="K23" s="37"/>
      <c r="L23" s="37"/>
      <c r="M23" s="37"/>
      <c r="N23" s="38"/>
      <c r="O23" s="39"/>
      <c r="P23" s="40"/>
      <c r="Q23" s="41"/>
    </row>
    <row r="24" spans="1:18" x14ac:dyDescent="0.25">
      <c r="E24" s="42" t="s">
        <v>80</v>
      </c>
      <c r="F24" s="42" t="s">
        <v>81</v>
      </c>
      <c r="G24" s="42" t="s">
        <v>82</v>
      </c>
    </row>
    <row r="25" spans="1:18" x14ac:dyDescent="0.25">
      <c r="B25" s="6" t="s">
        <v>57</v>
      </c>
      <c r="C25" s="15">
        <v>1786099</v>
      </c>
      <c r="E25" s="43">
        <v>3</v>
      </c>
      <c r="F25" s="42">
        <v>213</v>
      </c>
      <c r="G25" s="44">
        <f>+C25/C27</f>
        <v>0.71892540696932583</v>
      </c>
    </row>
    <row r="26" spans="1:18" x14ac:dyDescent="0.25">
      <c r="B26" s="6" t="s">
        <v>58</v>
      </c>
      <c r="C26" s="15">
        <v>698302</v>
      </c>
      <c r="E26" s="43">
        <v>3</v>
      </c>
      <c r="F26" s="42">
        <v>404</v>
      </c>
      <c r="G26" s="44">
        <f>1-G25</f>
        <v>0.28107459303067417</v>
      </c>
    </row>
    <row r="27" spans="1:18" x14ac:dyDescent="0.25">
      <c r="B27" s="9" t="s">
        <v>68</v>
      </c>
      <c r="C27" s="10">
        <f>SUM(C25:C26)</f>
        <v>2484401</v>
      </c>
    </row>
    <row r="28" spans="1:18" x14ac:dyDescent="0.25">
      <c r="B28" s="11" t="s">
        <v>4</v>
      </c>
      <c r="C28" s="12">
        <f>C27*F9</f>
        <v>621100.25</v>
      </c>
    </row>
    <row r="29" spans="1:18" x14ac:dyDescent="0.25">
      <c r="B29" s="11" t="s">
        <v>69</v>
      </c>
      <c r="C29" s="12">
        <f>C27*G9</f>
        <v>621100.25</v>
      </c>
    </row>
    <row r="30" spans="1:18" x14ac:dyDescent="0.25">
      <c r="B30" s="11" t="s">
        <v>43</v>
      </c>
      <c r="C30" s="12">
        <f>C27*H9</f>
        <v>745320.29999999993</v>
      </c>
    </row>
    <row r="31" spans="1:18" x14ac:dyDescent="0.25">
      <c r="B31" s="11" t="s">
        <v>6</v>
      </c>
      <c r="C31" s="12">
        <f>C27*I9</f>
        <v>496880.2</v>
      </c>
    </row>
    <row r="32" spans="1:18" x14ac:dyDescent="0.25">
      <c r="B32" s="13" t="s">
        <v>44</v>
      </c>
      <c r="C32" s="14">
        <f>SUM(C28:C31)</f>
        <v>2484401</v>
      </c>
    </row>
  </sheetData>
  <mergeCells count="7">
    <mergeCell ref="Q9:R9"/>
    <mergeCell ref="A7:R7"/>
    <mergeCell ref="A2:R2"/>
    <mergeCell ref="A3:R3"/>
    <mergeCell ref="A4:R4"/>
    <mergeCell ref="A5:R5"/>
    <mergeCell ref="A6:R6"/>
  </mergeCells>
  <conditionalFormatting sqref="Q11:Q18">
    <cfRule type="cellIs" dxfId="0" priority="1" operator="lessThan">
      <formula>0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scale="5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C23" sqref="C23"/>
    </sheetView>
  </sheetViews>
  <sheetFormatPr baseColWidth="10" defaultRowHeight="15" x14ac:dyDescent="0.25"/>
  <cols>
    <col min="1" max="1" width="51.140625" bestFit="1" customWidth="1"/>
    <col min="2" max="2" width="12.85546875" customWidth="1"/>
    <col min="3" max="3" width="10.42578125" customWidth="1"/>
    <col min="4" max="11" width="12.7109375" customWidth="1"/>
    <col min="14" max="14" width="11.85546875" bestFit="1" customWidth="1"/>
  </cols>
  <sheetData>
    <row r="1" spans="1:11" x14ac:dyDescent="0.25">
      <c r="A1" s="3" t="s">
        <v>78</v>
      </c>
      <c r="B1" s="3" t="s">
        <v>79</v>
      </c>
    </row>
    <row r="2" spans="1:11" x14ac:dyDescent="0.25">
      <c r="A2" s="3" t="s">
        <v>62</v>
      </c>
      <c r="B2" s="3" t="s">
        <v>63</v>
      </c>
    </row>
    <row r="3" spans="1:11" x14ac:dyDescent="0.25">
      <c r="A3" s="3" t="s">
        <v>64</v>
      </c>
      <c r="B3" s="3" t="s">
        <v>65</v>
      </c>
    </row>
    <row r="4" spans="1:11" x14ac:dyDescent="0.25">
      <c r="A4" s="7"/>
      <c r="B4" s="7"/>
      <c r="C4" s="8"/>
      <c r="D4" s="8"/>
      <c r="E4" s="8"/>
      <c r="F4" s="8"/>
      <c r="G4" s="8"/>
      <c r="H4" s="8"/>
      <c r="I4" s="8"/>
    </row>
    <row r="5" spans="1:11" ht="51" x14ac:dyDescent="0.25">
      <c r="A5" s="34" t="s">
        <v>50</v>
      </c>
      <c r="B5" s="34" t="s">
        <v>61</v>
      </c>
      <c r="C5" s="22" t="s">
        <v>51</v>
      </c>
      <c r="D5" s="34" t="s">
        <v>52</v>
      </c>
      <c r="E5" s="34" t="s">
        <v>54</v>
      </c>
      <c r="F5" s="34" t="s">
        <v>59</v>
      </c>
      <c r="G5" s="34" t="s">
        <v>53</v>
      </c>
      <c r="H5" s="34" t="s">
        <v>60</v>
      </c>
      <c r="I5" s="34" t="s">
        <v>41</v>
      </c>
      <c r="J5" s="22" t="s">
        <v>55</v>
      </c>
      <c r="K5" s="22" t="s">
        <v>56</v>
      </c>
    </row>
    <row r="6" spans="1:11" x14ac:dyDescent="0.25">
      <c r="A6" s="6" t="s">
        <v>33</v>
      </c>
      <c r="B6" s="6" t="s">
        <v>12</v>
      </c>
      <c r="C6" s="16">
        <v>2527</v>
      </c>
      <c r="D6" s="16">
        <v>10495</v>
      </c>
      <c r="E6" s="16">
        <v>260</v>
      </c>
      <c r="F6" s="16">
        <v>83</v>
      </c>
      <c r="G6" s="16">
        <v>3347</v>
      </c>
      <c r="H6" s="16">
        <f t="shared" ref="H6:H13" si="0">C6+D6+E6+F6</f>
        <v>13365</v>
      </c>
      <c r="I6" s="16">
        <f t="shared" ref="I6:I13" si="1">SUM(C6:G6)</f>
        <v>16712</v>
      </c>
      <c r="J6" s="6">
        <f>H6/I6</f>
        <v>0.79972474868358068</v>
      </c>
      <c r="K6" s="6">
        <f>J6/$J$14</f>
        <v>0.11262512100534214</v>
      </c>
    </row>
    <row r="7" spans="1:11" x14ac:dyDescent="0.25">
      <c r="A7" s="6" t="s">
        <v>34</v>
      </c>
      <c r="B7" s="6" t="s">
        <v>17</v>
      </c>
      <c r="C7" s="16">
        <v>6247</v>
      </c>
      <c r="D7" s="16">
        <v>9259</v>
      </c>
      <c r="E7" s="16">
        <v>92</v>
      </c>
      <c r="F7" s="16">
        <v>49</v>
      </c>
      <c r="G7" s="16">
        <v>1659</v>
      </c>
      <c r="H7" s="16">
        <f t="shared" si="0"/>
        <v>15647</v>
      </c>
      <c r="I7" s="16">
        <f t="shared" si="1"/>
        <v>17306</v>
      </c>
      <c r="J7" s="6">
        <f t="shared" ref="J7:J13" si="2">H7/I7</f>
        <v>0.90413729342424598</v>
      </c>
      <c r="K7" s="6">
        <f t="shared" ref="K7:K13" si="3">J7/$J$14</f>
        <v>0.12732952462077393</v>
      </c>
    </row>
    <row r="8" spans="1:11" x14ac:dyDescent="0.25">
      <c r="A8" s="6" t="s">
        <v>35</v>
      </c>
      <c r="B8" s="6" t="s">
        <v>31</v>
      </c>
      <c r="C8" s="16">
        <v>4217</v>
      </c>
      <c r="D8" s="16">
        <v>6003</v>
      </c>
      <c r="E8" s="16">
        <v>611</v>
      </c>
      <c r="F8" s="16">
        <v>259</v>
      </c>
      <c r="G8" s="16">
        <v>491</v>
      </c>
      <c r="H8" s="16">
        <f t="shared" si="0"/>
        <v>11090</v>
      </c>
      <c r="I8" s="16">
        <f t="shared" si="1"/>
        <v>11581</v>
      </c>
      <c r="J8" s="6">
        <f t="shared" si="2"/>
        <v>0.95760297038252307</v>
      </c>
      <c r="K8" s="6">
        <f t="shared" si="3"/>
        <v>0.13485908819495437</v>
      </c>
    </row>
    <row r="9" spans="1:11" x14ac:dyDescent="0.25">
      <c r="A9" s="6" t="s">
        <v>36</v>
      </c>
      <c r="B9" s="6" t="s">
        <v>27</v>
      </c>
      <c r="C9" s="16">
        <v>4194</v>
      </c>
      <c r="D9" s="16">
        <v>6100</v>
      </c>
      <c r="E9" s="16">
        <v>207</v>
      </c>
      <c r="F9" s="16">
        <v>298</v>
      </c>
      <c r="G9" s="16">
        <v>212</v>
      </c>
      <c r="H9" s="16">
        <f t="shared" si="0"/>
        <v>10799</v>
      </c>
      <c r="I9" s="16">
        <f t="shared" si="1"/>
        <v>11011</v>
      </c>
      <c r="J9" s="6">
        <f t="shared" si="2"/>
        <v>0.98074652620107161</v>
      </c>
      <c r="K9" s="6">
        <f t="shared" si="3"/>
        <v>0.13811839182266944</v>
      </c>
    </row>
    <row r="10" spans="1:11" x14ac:dyDescent="0.25">
      <c r="A10" s="6" t="s">
        <v>37</v>
      </c>
      <c r="B10" s="6" t="s">
        <v>24</v>
      </c>
      <c r="C10" s="16">
        <v>4362</v>
      </c>
      <c r="D10" s="16">
        <v>6032</v>
      </c>
      <c r="E10" s="16">
        <v>248</v>
      </c>
      <c r="F10" s="16">
        <v>23</v>
      </c>
      <c r="G10" s="16">
        <v>534</v>
      </c>
      <c r="H10" s="16">
        <f t="shared" si="0"/>
        <v>10665</v>
      </c>
      <c r="I10" s="16">
        <f t="shared" si="1"/>
        <v>11199</v>
      </c>
      <c r="J10" s="6">
        <f t="shared" si="2"/>
        <v>0.9523171711759979</v>
      </c>
      <c r="K10" s="6">
        <f t="shared" si="3"/>
        <v>0.1341146898551196</v>
      </c>
    </row>
    <row r="11" spans="1:11" x14ac:dyDescent="0.25">
      <c r="A11" s="6" t="s">
        <v>38</v>
      </c>
      <c r="B11" s="6" t="s">
        <v>21</v>
      </c>
      <c r="C11" s="16">
        <v>2508</v>
      </c>
      <c r="D11" s="16">
        <v>6111</v>
      </c>
      <c r="E11" s="16">
        <v>17</v>
      </c>
      <c r="F11" s="16">
        <v>284</v>
      </c>
      <c r="G11" s="16">
        <v>1626</v>
      </c>
      <c r="H11" s="16">
        <f t="shared" si="0"/>
        <v>8920</v>
      </c>
      <c r="I11" s="16">
        <f t="shared" si="1"/>
        <v>10546</v>
      </c>
      <c r="J11" s="6">
        <f t="shared" si="2"/>
        <v>0.84581831974208233</v>
      </c>
      <c r="K11" s="6">
        <f t="shared" si="3"/>
        <v>0.11911647196900485</v>
      </c>
    </row>
    <row r="12" spans="1:11" x14ac:dyDescent="0.25">
      <c r="A12" s="6" t="s">
        <v>39</v>
      </c>
      <c r="B12" s="6" t="s">
        <v>8</v>
      </c>
      <c r="C12" s="16">
        <v>7479</v>
      </c>
      <c r="D12" s="16">
        <v>15612</v>
      </c>
      <c r="E12" s="16">
        <v>589</v>
      </c>
      <c r="F12" s="16">
        <v>329</v>
      </c>
      <c r="G12" s="16">
        <v>3176</v>
      </c>
      <c r="H12" s="16">
        <f t="shared" si="0"/>
        <v>24009</v>
      </c>
      <c r="I12" s="16">
        <f t="shared" si="1"/>
        <v>27185</v>
      </c>
      <c r="J12" s="6">
        <f t="shared" si="2"/>
        <v>0.88317086628655506</v>
      </c>
      <c r="K12" s="6">
        <f t="shared" si="3"/>
        <v>0.12437682571115644</v>
      </c>
    </row>
    <row r="13" spans="1:11" x14ac:dyDescent="0.25">
      <c r="A13" s="6" t="s">
        <v>40</v>
      </c>
      <c r="B13" s="6" t="s">
        <v>15</v>
      </c>
      <c r="C13" s="16">
        <v>3315</v>
      </c>
      <c r="D13" s="16">
        <v>10351</v>
      </c>
      <c r="E13" s="16">
        <v>695</v>
      </c>
      <c r="F13" s="16">
        <v>179</v>
      </c>
      <c r="G13" s="16">
        <v>4167</v>
      </c>
      <c r="H13" s="16">
        <f t="shared" si="0"/>
        <v>14540</v>
      </c>
      <c r="I13" s="16">
        <f t="shared" si="1"/>
        <v>18707</v>
      </c>
      <c r="J13" s="6">
        <f t="shared" si="2"/>
        <v>0.77724915806917194</v>
      </c>
      <c r="K13" s="6">
        <f t="shared" si="3"/>
        <v>0.10945988682097921</v>
      </c>
    </row>
    <row r="14" spans="1:11" x14ac:dyDescent="0.25">
      <c r="A14" s="4"/>
      <c r="B14" s="17" t="s">
        <v>66</v>
      </c>
      <c r="C14" s="18">
        <f>SUM(C6:C13)</f>
        <v>34849</v>
      </c>
      <c r="D14" s="18">
        <f t="shared" ref="D14:I14" si="4">SUM(D6:D13)</f>
        <v>69963</v>
      </c>
      <c r="E14" s="18">
        <f>SUM(E6:E13)</f>
        <v>2719</v>
      </c>
      <c r="F14" s="18">
        <f>SUM(F6:F13)</f>
        <v>1504</v>
      </c>
      <c r="G14" s="18">
        <f t="shared" si="4"/>
        <v>15212</v>
      </c>
      <c r="H14" s="18">
        <f>SUM(H6:H13)</f>
        <v>109035</v>
      </c>
      <c r="I14" s="18">
        <f t="shared" si="4"/>
        <v>124247</v>
      </c>
      <c r="J14" s="17">
        <f>SUM(J6:J13)</f>
        <v>7.100767053965229</v>
      </c>
      <c r="K14" s="19">
        <f>SUM(K6:K13)</f>
        <v>0.99999999999999989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1"/>
  <sheetViews>
    <sheetView workbookViewId="0">
      <selection activeCell="E16" sqref="E16"/>
    </sheetView>
  </sheetViews>
  <sheetFormatPr baseColWidth="10" defaultRowHeight="15" x14ac:dyDescent="0.25"/>
  <cols>
    <col min="1" max="1" width="7.7109375" customWidth="1"/>
    <col min="2" max="2" width="24.7109375" bestFit="1" customWidth="1"/>
    <col min="4" max="4" width="16.85546875" customWidth="1"/>
    <col min="7" max="7" width="13.140625" customWidth="1"/>
  </cols>
  <sheetData>
    <row r="2" spans="1:7" x14ac:dyDescent="0.25">
      <c r="A2" s="35" t="s">
        <v>46</v>
      </c>
      <c r="B2" s="35" t="s">
        <v>0</v>
      </c>
      <c r="C2" s="35" t="s">
        <v>1</v>
      </c>
      <c r="D2" s="35" t="s">
        <v>2</v>
      </c>
      <c r="E2" s="35" t="s">
        <v>3</v>
      </c>
      <c r="F2" s="35" t="s">
        <v>6</v>
      </c>
      <c r="G2" s="35" t="s">
        <v>47</v>
      </c>
    </row>
    <row r="3" spans="1:7" x14ac:dyDescent="0.25">
      <c r="A3" s="6" t="s">
        <v>12</v>
      </c>
      <c r="B3" s="6" t="s">
        <v>13</v>
      </c>
      <c r="C3" s="6" t="s">
        <v>14</v>
      </c>
      <c r="D3" s="6" t="s">
        <v>7</v>
      </c>
      <c r="E3" s="6" t="s">
        <v>14</v>
      </c>
      <c r="F3" s="6">
        <v>115.95</v>
      </c>
      <c r="G3" s="6">
        <f>F3/$F$11</f>
        <v>2.638837682465555E-2</v>
      </c>
    </row>
    <row r="4" spans="1:7" x14ac:dyDescent="0.25">
      <c r="A4" s="6" t="s">
        <v>17</v>
      </c>
      <c r="B4" s="6" t="s">
        <v>18</v>
      </c>
      <c r="C4" s="6" t="s">
        <v>19</v>
      </c>
      <c r="D4" s="6" t="s">
        <v>7</v>
      </c>
      <c r="E4" s="6" t="s">
        <v>20</v>
      </c>
      <c r="F4" s="6">
        <v>847.6</v>
      </c>
      <c r="G4" s="6">
        <f t="shared" ref="G4:G10" si="0">F4/$F$11</f>
        <v>0.19290028630080244</v>
      </c>
    </row>
    <row r="5" spans="1:7" x14ac:dyDescent="0.25">
      <c r="A5" s="6" t="s">
        <v>31</v>
      </c>
      <c r="B5" s="6" t="s">
        <v>32</v>
      </c>
      <c r="C5" s="6" t="s">
        <v>10</v>
      </c>
      <c r="D5" s="6" t="s">
        <v>7</v>
      </c>
      <c r="E5" s="6" t="s">
        <v>11</v>
      </c>
      <c r="F5" s="6">
        <v>499.75</v>
      </c>
      <c r="G5" s="6">
        <f t="shared" si="0"/>
        <v>0.1137351558268358</v>
      </c>
    </row>
    <row r="6" spans="1:7" x14ac:dyDescent="0.25">
      <c r="A6" s="6" t="s">
        <v>27</v>
      </c>
      <c r="B6" s="6" t="s">
        <v>28</v>
      </c>
      <c r="C6" s="6" t="s">
        <v>29</v>
      </c>
      <c r="D6" s="6" t="s">
        <v>7</v>
      </c>
      <c r="E6" s="6" t="s">
        <v>30</v>
      </c>
      <c r="F6" s="6">
        <v>689.95</v>
      </c>
      <c r="G6" s="6">
        <f t="shared" si="0"/>
        <v>0.15702165235162654</v>
      </c>
    </row>
    <row r="7" spans="1:7" x14ac:dyDescent="0.25">
      <c r="A7" s="6" t="s">
        <v>24</v>
      </c>
      <c r="B7" s="6" t="s">
        <v>42</v>
      </c>
      <c r="C7" s="6" t="s">
        <v>25</v>
      </c>
      <c r="D7" s="6" t="s">
        <v>7</v>
      </c>
      <c r="E7" s="6" t="s">
        <v>26</v>
      </c>
      <c r="F7" s="6">
        <v>256.86</v>
      </c>
      <c r="G7" s="6">
        <f t="shared" si="0"/>
        <v>5.8457252877800986E-2</v>
      </c>
    </row>
    <row r="8" spans="1:7" x14ac:dyDescent="0.25">
      <c r="A8" s="6" t="s">
        <v>21</v>
      </c>
      <c r="B8" s="6" t="s">
        <v>22</v>
      </c>
      <c r="C8" s="6" t="s">
        <v>23</v>
      </c>
      <c r="D8" s="6" t="s">
        <v>7</v>
      </c>
      <c r="E8" s="6" t="s">
        <v>23</v>
      </c>
      <c r="F8" s="6">
        <v>1368.17</v>
      </c>
      <c r="G8" s="6">
        <f t="shared" si="0"/>
        <v>0.31137374316678729</v>
      </c>
    </row>
    <row r="9" spans="1:7" x14ac:dyDescent="0.25">
      <c r="A9" s="6" t="s">
        <v>8</v>
      </c>
      <c r="B9" s="6" t="s">
        <v>9</v>
      </c>
      <c r="C9" s="6" t="s">
        <v>10</v>
      </c>
      <c r="D9" s="6" t="s">
        <v>7</v>
      </c>
      <c r="E9" s="6" t="s">
        <v>11</v>
      </c>
      <c r="F9" s="6">
        <v>499.75</v>
      </c>
      <c r="G9" s="6">
        <f t="shared" si="0"/>
        <v>0.1137351558268358</v>
      </c>
    </row>
    <row r="10" spans="1:7" x14ac:dyDescent="0.25">
      <c r="A10" s="6" t="s">
        <v>15</v>
      </c>
      <c r="B10" s="6" t="s">
        <v>16</v>
      </c>
      <c r="C10" s="6" t="s">
        <v>14</v>
      </c>
      <c r="D10" s="6" t="s">
        <v>7</v>
      </c>
      <c r="E10" s="6" t="s">
        <v>14</v>
      </c>
      <c r="F10" s="6">
        <v>115.95</v>
      </c>
      <c r="G10" s="6">
        <f t="shared" si="0"/>
        <v>2.638837682465555E-2</v>
      </c>
    </row>
    <row r="11" spans="1:7" x14ac:dyDescent="0.25">
      <c r="A11" s="3"/>
      <c r="B11" s="3"/>
      <c r="C11" s="3"/>
      <c r="D11" s="3"/>
      <c r="E11" s="3"/>
      <c r="F11" s="3">
        <v>4393.9800000000005</v>
      </c>
      <c r="G11" s="3">
        <f>SUM(G3:G10)</f>
        <v>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Distribución ESR 2023</vt:lpstr>
      <vt:lpstr>Subvencionados CRUCH-Privadas</vt:lpstr>
      <vt:lpstr>KM 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2023-01-19T20:19:21Z</cp:lastPrinted>
  <dcterms:created xsi:type="dcterms:W3CDTF">2017-03-28T16:10:45Z</dcterms:created>
  <dcterms:modified xsi:type="dcterms:W3CDTF">2024-03-27T15:06:18Z</dcterms:modified>
</cp:coreProperties>
</file>