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4/AIUE/ParaWeb/"/>
    </mc:Choice>
  </mc:AlternateContent>
  <xr:revisionPtr revIDLastSave="298" documentId="8_{5A9B30F2-6841-4F7D-8B7D-1E4DC5855234}" xr6:coauthVersionLast="47" xr6:coauthVersionMax="47" xr10:uidLastSave="{2E3FDE43-6671-4211-8716-611D01D94ED3}"/>
  <bookViews>
    <workbookView xWindow="-120" yWindow="-120" windowWidth="20730" windowHeight="11160" tabRatio="839" xr2:uid="{00000000-000D-0000-FFFF-FFFF00000000}"/>
  </bookViews>
  <sheets>
    <sheet name="Montos AIUE 2024" sheetId="4" r:id="rId1"/>
    <sheet name="Montos Anticipo AIUE 2024 " sheetId="18" r:id="rId2"/>
    <sheet name="Categorías" sheetId="1" r:id="rId3"/>
    <sheet name="Valores" sheetId="2" r:id="rId4"/>
    <sheet name="Indicadores" sheetId="3" r:id="rId5"/>
    <sheet name="Publicaciones" sheetId="5" r:id="rId6"/>
    <sheet name="Acreditación" sheetId="6" r:id="rId7"/>
    <sheet name="Doctorado JC " sheetId="7" r:id="rId8"/>
    <sheet name="Programas Doct. Acreditados " sheetId="8" r:id="rId9"/>
    <sheet name="Académicos JC " sheetId="9" r:id="rId10"/>
    <sheet name="Matrícula Regular Pre " sheetId="10" r:id="rId11"/>
    <sheet name="Refuerzo" sheetId="12" r:id="rId12"/>
    <sheet name="Pedagogía" sheetId="13" r:id="rId13"/>
    <sheet name="Género" sheetId="14" r:id="rId14"/>
    <sheet name="Indicadores Género" sheetId="16" r:id="rId15"/>
  </sheets>
  <definedNames>
    <definedName name="_xlnm._FilterDatabase" localSheetId="9" hidden="1">'Académicos JC '!$A$2:$C$20</definedName>
    <definedName name="_xlnm._FilterDatabase" localSheetId="2" hidden="1">Categorías!$A$4:$AB$23</definedName>
    <definedName name="_xlnm._FilterDatabase" localSheetId="7" hidden="1">'Doctorado JC '!$A$2:$C$20</definedName>
    <definedName name="_xlnm._FilterDatabase" localSheetId="4" hidden="1">Indicadores!$A$1:$AI$20</definedName>
    <definedName name="_xlnm._FilterDatabase" localSheetId="0" hidden="1">'Montos AIUE 2024'!$A$14:$AJ$49</definedName>
    <definedName name="_xlnm._FilterDatabase" localSheetId="1" hidden="1">'Montos Anticipo AIUE 2024 '!$A$8:$B$33</definedName>
    <definedName name="_xlnm._FilterDatabase" localSheetId="12" hidden="1">Pedagogía!$A$14:$AB$34</definedName>
    <definedName name="_xlnm._FilterDatabase" localSheetId="3" hidden="1">Valores!$A$1:$Y$26</definedName>
    <definedName name="_xlnm.Print_Area" localSheetId="0">'Montos AIUE 2024'!$A$1:$AI$38</definedName>
    <definedName name="_xlnm.Print_Area" localSheetId="11">Refuerzo!$A$29:$F$33</definedName>
    <definedName name="_xlnm.Print_Titles" localSheetId="0">'Montos AIUE 2024'!$B:$B</definedName>
    <definedName name="_xlnm.Print_Titles" localSheetId="1">'Montos Anticipo AIUE 2024 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4" l="1"/>
  <c r="AD33" i="4"/>
  <c r="C53" i="4" s="1"/>
  <c r="AC33" i="4"/>
  <c r="B53" i="4" s="1"/>
  <c r="V31" i="4"/>
  <c r="W31" i="4"/>
  <c r="V32" i="4"/>
  <c r="W32" i="4"/>
  <c r="J4" i="14" l="1"/>
  <c r="D4" i="14"/>
  <c r="I29" i="16"/>
  <c r="I54" i="16"/>
  <c r="Q15" i="13" l="1"/>
  <c r="K15" i="13"/>
  <c r="F15" i="13"/>
  <c r="J23" i="14" l="1"/>
  <c r="J38" i="4"/>
  <c r="B33" i="1" s="1"/>
  <c r="H38" i="4"/>
  <c r="B24" i="7" s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3" i="8"/>
  <c r="D3" i="8"/>
  <c r="U31" i="4"/>
  <c r="U32" i="4"/>
  <c r="B24" i="5" l="1"/>
  <c r="B24" i="8"/>
  <c r="B24" i="9"/>
  <c r="B24" i="6"/>
  <c r="B24" i="10"/>
  <c r="H14" i="18" l="1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C37" i="18"/>
  <c r="C38" i="18" s="1"/>
  <c r="B39" i="18"/>
  <c r="B41" i="18"/>
  <c r="B43" i="18" s="1"/>
  <c r="B42" i="18"/>
  <c r="I24" i="18" l="1"/>
  <c r="J24" i="18" s="1"/>
  <c r="I21" i="18"/>
  <c r="J21" i="18" s="1"/>
  <c r="I25" i="18"/>
  <c r="J25" i="18" s="1"/>
  <c r="I29" i="18"/>
  <c r="J29" i="18" s="1"/>
  <c r="I16" i="18"/>
  <c r="J16" i="18" s="1"/>
  <c r="I20" i="18"/>
  <c r="J20" i="18" s="1"/>
  <c r="I28" i="18"/>
  <c r="J28" i="18" s="1"/>
  <c r="I17" i="18"/>
  <c r="J17" i="18" s="1"/>
  <c r="I30" i="18"/>
  <c r="J30" i="18" s="1"/>
  <c r="I26" i="18"/>
  <c r="J26" i="18" s="1"/>
  <c r="I22" i="18"/>
  <c r="J22" i="18" s="1"/>
  <c r="I18" i="18"/>
  <c r="J18" i="18" s="1"/>
  <c r="I31" i="18"/>
  <c r="J31" i="18" s="1"/>
  <c r="I27" i="18"/>
  <c r="J27" i="18" s="1"/>
  <c r="I23" i="18"/>
  <c r="J23" i="18" s="1"/>
  <c r="I19" i="18"/>
  <c r="J19" i="18" s="1"/>
  <c r="I15" i="18"/>
  <c r="J15" i="18" s="1"/>
  <c r="I14" i="18"/>
  <c r="H32" i="18"/>
  <c r="K23" i="18" l="1"/>
  <c r="L23" i="18" s="1"/>
  <c r="K25" i="18"/>
  <c r="L25" i="18" s="1"/>
  <c r="J14" i="18"/>
  <c r="I32" i="18"/>
  <c r="K27" i="18"/>
  <c r="L27" i="18" s="1"/>
  <c r="K26" i="18"/>
  <c r="L26" i="18" s="1"/>
  <c r="K20" i="18"/>
  <c r="L20" i="18"/>
  <c r="K21" i="18"/>
  <c r="L21" i="18"/>
  <c r="K28" i="18"/>
  <c r="L28" i="18"/>
  <c r="K15" i="18"/>
  <c r="L15" i="18" s="1"/>
  <c r="K31" i="18"/>
  <c r="L31" i="18" s="1"/>
  <c r="K30" i="18"/>
  <c r="L30" i="18"/>
  <c r="K16" i="18"/>
  <c r="L16" i="18"/>
  <c r="K22" i="18"/>
  <c r="L22" i="18" s="1"/>
  <c r="K19" i="18"/>
  <c r="L19" i="18" s="1"/>
  <c r="K18" i="18"/>
  <c r="L18" i="18"/>
  <c r="K17" i="18"/>
  <c r="L17" i="18"/>
  <c r="K29" i="18"/>
  <c r="L29" i="18"/>
  <c r="K24" i="18"/>
  <c r="L24" i="18"/>
  <c r="J32" i="18" l="1"/>
  <c r="J33" i="18" s="1"/>
  <c r="K14" i="18"/>
  <c r="K32" i="18" s="1"/>
  <c r="D37" i="18" s="1"/>
  <c r="E37" i="18" s="1"/>
  <c r="L14" i="18"/>
  <c r="L32" i="18" s="1"/>
  <c r="D38" i="18" s="1"/>
  <c r="E38" i="18" s="1"/>
  <c r="R6" i="12" l="1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5" i="12"/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4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5" i="14"/>
  <c r="B4" i="14"/>
  <c r="AB17" i="13" l="1"/>
  <c r="AB23" i="13"/>
  <c r="AB25" i="13" l="1"/>
  <c r="AB20" i="13"/>
  <c r="AB22" i="13"/>
  <c r="AB19" i="13"/>
  <c r="AB16" i="13"/>
  <c r="AB26" i="13"/>
  <c r="AB28" i="13"/>
  <c r="AB18" i="13"/>
  <c r="AB21" i="13"/>
  <c r="AB30" i="13"/>
  <c r="AB27" i="13"/>
  <c r="AB29" i="13"/>
  <c r="AB24" i="13"/>
  <c r="AB15" i="13"/>
  <c r="C22" i="14" l="1"/>
  <c r="E12" i="14" l="1"/>
  <c r="G12" i="14" s="1"/>
  <c r="E4" i="14"/>
  <c r="G4" i="14" s="1"/>
  <c r="E16" i="14"/>
  <c r="G16" i="14" s="1"/>
  <c r="E15" i="14"/>
  <c r="G15" i="14" s="1"/>
  <c r="E14" i="14"/>
  <c r="G14" i="14" s="1"/>
  <c r="E5" i="14"/>
  <c r="G5" i="14" s="1"/>
  <c r="E13" i="14"/>
  <c r="G13" i="14" s="1"/>
  <c r="E17" i="14"/>
  <c r="G17" i="14" s="1"/>
  <c r="E10" i="14"/>
  <c r="G10" i="14" s="1"/>
  <c r="E9" i="14"/>
  <c r="G9" i="14" s="1"/>
  <c r="E21" i="14"/>
  <c r="G21" i="14" s="1"/>
  <c r="E7" i="14"/>
  <c r="G7" i="14" s="1"/>
  <c r="E11" i="14"/>
  <c r="G11" i="14" s="1"/>
  <c r="E20" i="14"/>
  <c r="G20" i="14" s="1"/>
  <c r="E8" i="14"/>
  <c r="G8" i="14" s="1"/>
  <c r="E19" i="14"/>
  <c r="G19" i="14" s="1"/>
  <c r="E18" i="14"/>
  <c r="G18" i="14" s="1"/>
  <c r="E6" i="14"/>
  <c r="G6" i="14" s="1"/>
  <c r="B22" i="14"/>
  <c r="D10" i="14" s="1"/>
  <c r="F10" i="14" s="1"/>
  <c r="H10" i="14" s="1"/>
  <c r="J10" i="14" s="1"/>
  <c r="G22" i="14" l="1"/>
  <c r="E22" i="14"/>
  <c r="D16" i="14"/>
  <c r="F16" i="14" s="1"/>
  <c r="H16" i="14" s="1"/>
  <c r="J16" i="14" s="1"/>
  <c r="D13" i="14"/>
  <c r="F13" i="14" s="1"/>
  <c r="H13" i="14" s="1"/>
  <c r="J13" i="14" s="1"/>
  <c r="D17" i="14"/>
  <c r="F17" i="14" s="1"/>
  <c r="H17" i="14" s="1"/>
  <c r="J17" i="14" s="1"/>
  <c r="D18" i="14"/>
  <c r="F18" i="14" s="1"/>
  <c r="H18" i="14" s="1"/>
  <c r="J18" i="14" s="1"/>
  <c r="D9" i="14"/>
  <c r="F9" i="14" s="1"/>
  <c r="H9" i="14" s="1"/>
  <c r="J9" i="14" s="1"/>
  <c r="D7" i="14"/>
  <c r="F7" i="14" s="1"/>
  <c r="H7" i="14" s="1"/>
  <c r="J7" i="14" s="1"/>
  <c r="D6" i="14"/>
  <c r="F6" i="14" s="1"/>
  <c r="H6" i="14" s="1"/>
  <c r="J6" i="14" s="1"/>
  <c r="D8" i="14"/>
  <c r="F8" i="14" s="1"/>
  <c r="H8" i="14" s="1"/>
  <c r="J8" i="14" s="1"/>
  <c r="D5" i="14"/>
  <c r="F5" i="14" s="1"/>
  <c r="H5" i="14" s="1"/>
  <c r="J5" i="14" s="1"/>
  <c r="D12" i="14"/>
  <c r="F12" i="14" s="1"/>
  <c r="H12" i="14" s="1"/>
  <c r="J12" i="14" s="1"/>
  <c r="F4" i="14"/>
  <c r="D14" i="14"/>
  <c r="F14" i="14" s="1"/>
  <c r="H14" i="14" s="1"/>
  <c r="J14" i="14" s="1"/>
  <c r="D15" i="14"/>
  <c r="F15" i="14" s="1"/>
  <c r="H15" i="14" s="1"/>
  <c r="J15" i="14" s="1"/>
  <c r="D21" i="14"/>
  <c r="F21" i="14" s="1"/>
  <c r="H21" i="14" s="1"/>
  <c r="J21" i="14" s="1"/>
  <c r="D19" i="14"/>
  <c r="F19" i="14" s="1"/>
  <c r="H19" i="14" s="1"/>
  <c r="J19" i="14" s="1"/>
  <c r="D20" i="14"/>
  <c r="F20" i="14" s="1"/>
  <c r="H20" i="14" s="1"/>
  <c r="J20" i="14" s="1"/>
  <c r="D11" i="14"/>
  <c r="F11" i="14" s="1"/>
  <c r="H11" i="14" s="1"/>
  <c r="J11" i="14" s="1"/>
  <c r="S31" i="13"/>
  <c r="S32" i="13"/>
  <c r="T32" i="13" s="1"/>
  <c r="N33" i="13"/>
  <c r="O33" i="13"/>
  <c r="P33" i="13"/>
  <c r="Q20" i="13"/>
  <c r="Q22" i="13"/>
  <c r="Q19" i="13"/>
  <c r="Q18" i="13"/>
  <c r="Q16" i="13"/>
  <c r="Q21" i="13"/>
  <c r="Q31" i="13"/>
  <c r="Q17" i="13"/>
  <c r="Q32" i="13"/>
  <c r="M31" i="13"/>
  <c r="M32" i="13"/>
  <c r="H31" i="13"/>
  <c r="H32" i="13"/>
  <c r="F22" i="14" l="1"/>
  <c r="H4" i="14"/>
  <c r="T31" i="13"/>
  <c r="Q33" i="13"/>
  <c r="R18" i="13" s="1"/>
  <c r="D22" i="14"/>
  <c r="K20" i="13"/>
  <c r="K22" i="13"/>
  <c r="K19" i="13"/>
  <c r="K18" i="13"/>
  <c r="K16" i="13"/>
  <c r="K21" i="13"/>
  <c r="K17" i="13"/>
  <c r="R22" i="13" l="1"/>
  <c r="R21" i="13"/>
  <c r="R20" i="13"/>
  <c r="R19" i="13"/>
  <c r="R16" i="13"/>
  <c r="R15" i="13"/>
  <c r="R17" i="13"/>
  <c r="H22" i="14"/>
  <c r="J22" i="14" s="1"/>
  <c r="K33" i="13"/>
  <c r="H24" i="13"/>
  <c r="F26" i="13"/>
  <c r="E22" i="13"/>
  <c r="S22" i="13" s="1"/>
  <c r="E21" i="13"/>
  <c r="E18" i="13"/>
  <c r="E15" i="13"/>
  <c r="E16" i="13"/>
  <c r="E17" i="13"/>
  <c r="S17" i="13" s="1"/>
  <c r="I33" i="13"/>
  <c r="C33" i="13"/>
  <c r="D33" i="13"/>
  <c r="E19" i="13"/>
  <c r="E20" i="13"/>
  <c r="S20" i="13" s="1"/>
  <c r="S15" i="13" l="1"/>
  <c r="R31" i="13"/>
  <c r="R32" i="13"/>
  <c r="L15" i="13"/>
  <c r="L16" i="13"/>
  <c r="L19" i="13"/>
  <c r="L21" i="13"/>
  <c r="L18" i="13"/>
  <c r="L20" i="13"/>
  <c r="M17" i="13"/>
  <c r="M22" i="13"/>
  <c r="S19" i="13"/>
  <c r="M19" i="13"/>
  <c r="F24" i="13"/>
  <c r="S26" i="13"/>
  <c r="M26" i="13"/>
  <c r="M15" i="13"/>
  <c r="M28" i="13"/>
  <c r="S28" i="13"/>
  <c r="S18" i="13"/>
  <c r="M18" i="13"/>
  <c r="F28" i="13"/>
  <c r="M25" i="13"/>
  <c r="S25" i="13"/>
  <c r="M20" i="13"/>
  <c r="S24" i="13"/>
  <c r="M24" i="13"/>
  <c r="M27" i="13"/>
  <c r="S27" i="13"/>
  <c r="M30" i="13"/>
  <c r="S30" i="13"/>
  <c r="H28" i="13"/>
  <c r="L31" i="13"/>
  <c r="L32" i="13"/>
  <c r="S23" i="13"/>
  <c r="M23" i="13"/>
  <c r="M29" i="13"/>
  <c r="S29" i="13"/>
  <c r="H26" i="13"/>
  <c r="F22" i="13"/>
  <c r="S21" i="13"/>
  <c r="M21" i="13"/>
  <c r="S16" i="13"/>
  <c r="M16" i="13"/>
  <c r="L22" i="13"/>
  <c r="L17" i="13"/>
  <c r="H25" i="13"/>
  <c r="F25" i="13"/>
  <c r="H23" i="13"/>
  <c r="F23" i="13"/>
  <c r="F19" i="13"/>
  <c r="H30" i="13"/>
  <c r="F30" i="13"/>
  <c r="F29" i="13"/>
  <c r="H29" i="13"/>
  <c r="H27" i="13"/>
  <c r="F27" i="13"/>
  <c r="H15" i="13"/>
  <c r="F20" i="13"/>
  <c r="F17" i="13"/>
  <c r="F18" i="13"/>
  <c r="F16" i="13"/>
  <c r="F21" i="13"/>
  <c r="R33" i="13" l="1"/>
  <c r="S33" i="13"/>
  <c r="H21" i="13"/>
  <c r="T21" i="13" s="1"/>
  <c r="H20" i="13"/>
  <c r="H19" i="13"/>
  <c r="H18" i="13"/>
  <c r="H22" i="13"/>
  <c r="T24" i="13"/>
  <c r="T23" i="13"/>
  <c r="T25" i="13"/>
  <c r="T27" i="13"/>
  <c r="T29" i="13"/>
  <c r="T28" i="13"/>
  <c r="T26" i="13"/>
  <c r="T30" i="13"/>
  <c r="F33" i="13"/>
  <c r="G25" i="13" s="1"/>
  <c r="H17" i="13"/>
  <c r="H16" i="13"/>
  <c r="T19" i="13" l="1"/>
  <c r="T16" i="13"/>
  <c r="T20" i="13"/>
  <c r="T17" i="13"/>
  <c r="T22" i="13"/>
  <c r="T15" i="13"/>
  <c r="T18" i="13"/>
  <c r="G22" i="13"/>
  <c r="G20" i="13"/>
  <c r="G16" i="13"/>
  <c r="G19" i="13"/>
  <c r="G21" i="13"/>
  <c r="G18" i="13"/>
  <c r="G27" i="13"/>
  <c r="G29" i="13"/>
  <c r="G15" i="13"/>
  <c r="G17" i="13"/>
  <c r="G23" i="13"/>
  <c r="G30" i="13"/>
  <c r="G31" i="13"/>
  <c r="G32" i="13"/>
  <c r="G28" i="13"/>
  <c r="G24" i="13"/>
  <c r="G26" i="13"/>
  <c r="T33" i="13" l="1"/>
  <c r="U30" i="13" s="1"/>
  <c r="G33" i="13"/>
  <c r="U32" i="13"/>
  <c r="U24" i="13"/>
  <c r="U18" i="13"/>
  <c r="U26" i="13"/>
  <c r="U20" i="13" l="1"/>
  <c r="U28" i="13"/>
  <c r="U25" i="13"/>
  <c r="U15" i="13"/>
  <c r="U29" i="13"/>
  <c r="U19" i="13"/>
  <c r="U23" i="13"/>
  <c r="U31" i="13"/>
  <c r="U17" i="13"/>
  <c r="U27" i="13"/>
  <c r="U21" i="13"/>
  <c r="U22" i="13"/>
  <c r="U16" i="13"/>
  <c r="G5" i="12"/>
  <c r="U33" i="13" l="1"/>
  <c r="G6" i="12"/>
  <c r="G14" i="12"/>
  <c r="G20" i="12"/>
  <c r="G7" i="12"/>
  <c r="G8" i="12"/>
  <c r="G18" i="12"/>
  <c r="G9" i="12"/>
  <c r="G16" i="12"/>
  <c r="G15" i="12"/>
  <c r="D23" i="12"/>
  <c r="E15" i="12" l="1"/>
  <c r="E9" i="12"/>
  <c r="E16" i="12"/>
  <c r="E13" i="12"/>
  <c r="E23" i="12"/>
  <c r="E17" i="12"/>
  <c r="E6" i="12"/>
  <c r="E18" i="12"/>
  <c r="E21" i="12"/>
  <c r="E22" i="12"/>
  <c r="E7" i="12"/>
  <c r="E19" i="12"/>
  <c r="E11" i="12"/>
  <c r="E8" i="12"/>
  <c r="E20" i="12"/>
  <c r="E10" i="12"/>
  <c r="E12" i="12"/>
  <c r="E14" i="12"/>
  <c r="E5" i="12"/>
  <c r="G11" i="12"/>
  <c r="G19" i="12"/>
  <c r="G21" i="12"/>
  <c r="G13" i="12"/>
  <c r="G10" i="12"/>
  <c r="G22" i="12"/>
  <c r="G17" i="12"/>
  <c r="G12" i="12"/>
  <c r="F23" i="12"/>
  <c r="G23" i="12" l="1"/>
  <c r="G24" i="12"/>
  <c r="H16" i="12" l="1"/>
  <c r="I16" i="12" s="1"/>
  <c r="H17" i="12"/>
  <c r="I17" i="12" s="1"/>
  <c r="H7" i="12"/>
  <c r="I7" i="12" s="1"/>
  <c r="H22" i="12"/>
  <c r="I22" i="12" s="1"/>
  <c r="H6" i="12"/>
  <c r="I6" i="12" s="1"/>
  <c r="H18" i="12"/>
  <c r="I18" i="12" s="1"/>
  <c r="H19" i="12"/>
  <c r="I19" i="12" s="1"/>
  <c r="H9" i="12"/>
  <c r="I9" i="12" s="1"/>
  <c r="H8" i="12"/>
  <c r="I8" i="12" s="1"/>
  <c r="H20" i="12"/>
  <c r="I20" i="12" s="1"/>
  <c r="H21" i="12"/>
  <c r="I21" i="12" s="1"/>
  <c r="H10" i="12"/>
  <c r="I10" i="12" s="1"/>
  <c r="H13" i="12"/>
  <c r="I13" i="12" s="1"/>
  <c r="H11" i="12"/>
  <c r="I11" i="12" s="1"/>
  <c r="H5" i="12"/>
  <c r="I5" i="12" s="1"/>
  <c r="H12" i="12"/>
  <c r="I12" i="12" s="1"/>
  <c r="H15" i="12"/>
  <c r="I15" i="12" s="1"/>
  <c r="H14" i="12"/>
  <c r="I14" i="12" s="1"/>
  <c r="I23" i="12" l="1"/>
  <c r="J21" i="12" s="1"/>
  <c r="K21" i="12" s="1"/>
  <c r="J12" i="12" l="1"/>
  <c r="K12" i="12" s="1"/>
  <c r="J6" i="12"/>
  <c r="K6" i="12" s="1"/>
  <c r="J15" i="12"/>
  <c r="K15" i="12" s="1"/>
  <c r="J16" i="12"/>
  <c r="K16" i="12" s="1"/>
  <c r="J18" i="12"/>
  <c r="K18" i="12" s="1"/>
  <c r="J10" i="12"/>
  <c r="K10" i="12" s="1"/>
  <c r="J13" i="12"/>
  <c r="K13" i="12" s="1"/>
  <c r="J14" i="12"/>
  <c r="K14" i="12" s="1"/>
  <c r="J22" i="12"/>
  <c r="K22" i="12" s="1"/>
  <c r="J17" i="12"/>
  <c r="K17" i="12" s="1"/>
  <c r="J19" i="12"/>
  <c r="K19" i="12" s="1"/>
  <c r="J7" i="12"/>
  <c r="K7" i="12" s="1"/>
  <c r="J9" i="12"/>
  <c r="K9" i="12" s="1"/>
  <c r="J11" i="12"/>
  <c r="K11" i="12" s="1"/>
  <c r="J20" i="12"/>
  <c r="K20" i="12" s="1"/>
  <c r="J8" i="12"/>
  <c r="K8" i="12" s="1"/>
  <c r="J5" i="12"/>
  <c r="K5" i="12" s="1"/>
  <c r="K23" i="12" l="1"/>
  <c r="J23" i="12"/>
  <c r="U22" i="2" l="1"/>
  <c r="V22" i="2"/>
  <c r="N6" i="3"/>
  <c r="N5" i="3" l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5" i="1"/>
  <c r="U23" i="1"/>
  <c r="X22" i="2" l="1"/>
  <c r="Y22" i="2"/>
  <c r="C21" i="7" l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5" i="1"/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5" i="1"/>
  <c r="I23" i="1"/>
  <c r="J23" i="1"/>
  <c r="K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O23" i="1" l="1"/>
  <c r="C20" i="2" l="1"/>
  <c r="C21" i="3" s="1"/>
  <c r="C21" i="2"/>
  <c r="C22" i="3" s="1"/>
  <c r="B20" i="2"/>
  <c r="B21" i="2"/>
  <c r="A20" i="2"/>
  <c r="A21" i="3" s="1"/>
  <c r="A21" i="2"/>
  <c r="A22" i="3" s="1"/>
  <c r="D23" i="1"/>
  <c r="P22" i="3" l="1"/>
  <c r="M22" i="3"/>
  <c r="L22" i="3"/>
  <c r="K22" i="3"/>
  <c r="P21" i="3"/>
  <c r="I21" i="3"/>
  <c r="K21" i="3"/>
  <c r="F22" i="3"/>
  <c r="J22" i="3"/>
  <c r="O22" i="3"/>
  <c r="Z22" i="3" s="1" a="1"/>
  <c r="Z22" i="3" s="1"/>
  <c r="B22" i="3"/>
  <c r="O21" i="3"/>
  <c r="Z21" i="3" s="1" a="1"/>
  <c r="Z21" i="3" s="1"/>
  <c r="B21" i="3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C19" i="2"/>
  <c r="C20" i="3" s="1"/>
  <c r="B19" i="2"/>
  <c r="A19" i="2"/>
  <c r="A20" i="3" s="1"/>
  <c r="A30" i="4" s="1"/>
  <c r="C18" i="2"/>
  <c r="C19" i="3" s="1"/>
  <c r="B18" i="2"/>
  <c r="A18" i="2"/>
  <c r="A19" i="3" s="1"/>
  <c r="C17" i="2"/>
  <c r="C18" i="3" s="1"/>
  <c r="B17" i="2"/>
  <c r="A17" i="2"/>
  <c r="A18" i="3" s="1"/>
  <c r="C16" i="2"/>
  <c r="C17" i="3" s="1"/>
  <c r="B16" i="2"/>
  <c r="A16" i="2"/>
  <c r="A17" i="3" s="1"/>
  <c r="C15" i="2"/>
  <c r="C16" i="3" s="1"/>
  <c r="B15" i="2"/>
  <c r="A15" i="2"/>
  <c r="A16" i="3" s="1"/>
  <c r="C14" i="2"/>
  <c r="C15" i="3" s="1"/>
  <c r="C25" i="4" s="1"/>
  <c r="B14" i="2"/>
  <c r="A14" i="2"/>
  <c r="A15" i="3" s="1"/>
  <c r="C13" i="2"/>
  <c r="C14" i="3" s="1"/>
  <c r="B13" i="2"/>
  <c r="A13" i="2"/>
  <c r="A14" i="3" s="1"/>
  <c r="A24" i="4" s="1"/>
  <c r="C12" i="2"/>
  <c r="C13" i="3" s="1"/>
  <c r="C23" i="4" s="1"/>
  <c r="B12" i="2"/>
  <c r="A12" i="2"/>
  <c r="A13" i="3" s="1"/>
  <c r="A23" i="4" s="1"/>
  <c r="C11" i="2"/>
  <c r="C12" i="3" s="1"/>
  <c r="B11" i="2"/>
  <c r="A11" i="2"/>
  <c r="A12" i="3" s="1"/>
  <c r="A22" i="4" s="1"/>
  <c r="C10" i="2"/>
  <c r="C11" i="3" s="1"/>
  <c r="B10" i="2"/>
  <c r="A10" i="2"/>
  <c r="A11" i="3" s="1"/>
  <c r="C9" i="2"/>
  <c r="C10" i="3" s="1"/>
  <c r="C20" i="4" s="1"/>
  <c r="B9" i="2"/>
  <c r="A9" i="2"/>
  <c r="A10" i="3" s="1"/>
  <c r="A20" i="4" s="1"/>
  <c r="C8" i="2"/>
  <c r="C9" i="3" s="1"/>
  <c r="B8" i="2"/>
  <c r="A8" i="2"/>
  <c r="A9" i="3" s="1"/>
  <c r="C7" i="2"/>
  <c r="C8" i="3" s="1"/>
  <c r="B7" i="2"/>
  <c r="A7" i="2"/>
  <c r="A8" i="3" s="1"/>
  <c r="C6" i="2"/>
  <c r="C7" i="3" s="1"/>
  <c r="C17" i="4" s="1"/>
  <c r="B6" i="2"/>
  <c r="A6" i="2"/>
  <c r="A7" i="3" s="1"/>
  <c r="C5" i="2"/>
  <c r="C6" i="3" s="1"/>
  <c r="C16" i="4" s="1"/>
  <c r="B5" i="2"/>
  <c r="A5" i="2"/>
  <c r="A6" i="3" s="1"/>
  <c r="C4" i="2"/>
  <c r="C5" i="3" s="1"/>
  <c r="B4" i="2"/>
  <c r="A4" i="2"/>
  <c r="A5" i="3" s="1"/>
  <c r="D38" i="4"/>
  <c r="AB33" i="4"/>
  <c r="G33" i="4"/>
  <c r="F38" i="4" s="1"/>
  <c r="E33" i="4"/>
  <c r="AI32" i="4"/>
  <c r="F32" i="4"/>
  <c r="AI31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P8" i="3" l="1"/>
  <c r="K8" i="3"/>
  <c r="P12" i="3"/>
  <c r="P16" i="3"/>
  <c r="P20" i="3"/>
  <c r="M5" i="3"/>
  <c r="P5" i="3"/>
  <c r="P13" i="3"/>
  <c r="P6" i="3"/>
  <c r="P10" i="3"/>
  <c r="P14" i="3"/>
  <c r="P18" i="3"/>
  <c r="P9" i="3"/>
  <c r="P17" i="3"/>
  <c r="P7" i="3"/>
  <c r="K7" i="3"/>
  <c r="P11" i="3"/>
  <c r="P15" i="3"/>
  <c r="P19" i="3"/>
  <c r="G22" i="3"/>
  <c r="L21" i="3"/>
  <c r="O16" i="3"/>
  <c r="F21" i="3"/>
  <c r="AA22" i="3" a="1"/>
  <c r="AA22" i="3" s="1"/>
  <c r="N21" i="3"/>
  <c r="H22" i="3"/>
  <c r="I22" i="3"/>
  <c r="G21" i="3"/>
  <c r="AA21" i="3" a="1"/>
  <c r="AA21" i="3" s="1"/>
  <c r="A26" i="4"/>
  <c r="M21" i="3"/>
  <c r="W21" i="1"/>
  <c r="Y22" i="1"/>
  <c r="O10" i="3"/>
  <c r="H21" i="3"/>
  <c r="N22" i="3"/>
  <c r="O15" i="3"/>
  <c r="J21" i="3"/>
  <c r="H23" i="1"/>
  <c r="S23" i="1"/>
  <c r="W22" i="1"/>
  <c r="G23" i="1"/>
  <c r="N23" i="1"/>
  <c r="R23" i="1"/>
  <c r="E23" i="1"/>
  <c r="P23" i="1"/>
  <c r="T23" i="1"/>
  <c r="F23" i="1"/>
  <c r="M23" i="1"/>
  <c r="Q23" i="1"/>
  <c r="Y21" i="1"/>
  <c r="Z23" i="1"/>
  <c r="C21" i="6"/>
  <c r="I7" i="6"/>
  <c r="F33" i="4"/>
  <c r="E38" i="4" s="1"/>
  <c r="B43" i="4" s="1"/>
  <c r="I38" i="4" s="1"/>
  <c r="K38" i="4" s="1"/>
  <c r="C27" i="4"/>
  <c r="A17" i="4"/>
  <c r="A21" i="4"/>
  <c r="C24" i="4"/>
  <c r="A29" i="4"/>
  <c r="O18" i="3"/>
  <c r="Z18" i="3" s="1" a="1"/>
  <c r="Z18" i="3" s="1"/>
  <c r="C19" i="4"/>
  <c r="A28" i="4"/>
  <c r="A15" i="4"/>
  <c r="F18" i="3"/>
  <c r="C29" i="4"/>
  <c r="C21" i="4"/>
  <c r="A25" i="4"/>
  <c r="A27" i="4"/>
  <c r="C28" i="4"/>
  <c r="A19" i="4"/>
  <c r="C15" i="4"/>
  <c r="A18" i="4"/>
  <c r="B11" i="3"/>
  <c r="B21" i="4" s="1"/>
  <c r="B12" i="3"/>
  <c r="B22" i="4" s="1"/>
  <c r="B13" i="3"/>
  <c r="B23" i="4" s="1"/>
  <c r="B5" i="3"/>
  <c r="B6" i="3"/>
  <c r="B16" i="4" s="1"/>
  <c r="AI16" i="4" s="1"/>
  <c r="B7" i="3"/>
  <c r="B17" i="4" s="1"/>
  <c r="B8" i="3"/>
  <c r="B18" i="4" s="1"/>
  <c r="B9" i="3"/>
  <c r="B19" i="4" s="1"/>
  <c r="B15" i="3"/>
  <c r="B25" i="4" s="1"/>
  <c r="B16" i="3"/>
  <c r="B26" i="4" s="1"/>
  <c r="B17" i="3"/>
  <c r="B27" i="4" s="1"/>
  <c r="B19" i="3"/>
  <c r="B29" i="4" s="1"/>
  <c r="B10" i="3"/>
  <c r="B20" i="4" s="1"/>
  <c r="B14" i="3"/>
  <c r="B24" i="4" s="1"/>
  <c r="B18" i="3"/>
  <c r="B28" i="4" s="1"/>
  <c r="B20" i="3"/>
  <c r="B30" i="4" s="1"/>
  <c r="F3" i="6"/>
  <c r="F21" i="6" s="1"/>
  <c r="A16" i="4"/>
  <c r="C18" i="4"/>
  <c r="C26" i="4"/>
  <c r="C22" i="4"/>
  <c r="C30" i="4"/>
  <c r="I11" i="6"/>
  <c r="I19" i="6"/>
  <c r="I10" i="6"/>
  <c r="I18" i="6"/>
  <c r="I4" i="6"/>
  <c r="I5" i="6"/>
  <c r="I12" i="6"/>
  <c r="I13" i="6"/>
  <c r="I15" i="6"/>
  <c r="I20" i="6"/>
  <c r="Y5" i="1"/>
  <c r="E3" i="8" s="1"/>
  <c r="G21" i="6"/>
  <c r="C21" i="5"/>
  <c r="D7" i="5" s="1"/>
  <c r="H3" i="6"/>
  <c r="H21" i="6" s="1"/>
  <c r="E21" i="6"/>
  <c r="I6" i="6"/>
  <c r="I8" i="6"/>
  <c r="I9" i="6"/>
  <c r="D21" i="8"/>
  <c r="C21" i="9"/>
  <c r="D7" i="9" s="1"/>
  <c r="C21" i="10"/>
  <c r="D13" i="10" s="1"/>
  <c r="I14" i="6"/>
  <c r="I16" i="6"/>
  <c r="I17" i="6"/>
  <c r="D15" i="7"/>
  <c r="D21" i="6"/>
  <c r="V28" i="4" l="1"/>
  <c r="W28" i="4"/>
  <c r="V27" i="4"/>
  <c r="W27" i="4"/>
  <c r="V18" i="4"/>
  <c r="W18" i="4"/>
  <c r="W23" i="4"/>
  <c r="V23" i="4"/>
  <c r="V24" i="4"/>
  <c r="W24" i="4"/>
  <c r="V22" i="4"/>
  <c r="W22" i="4"/>
  <c r="V26" i="4"/>
  <c r="W26" i="4"/>
  <c r="V20" i="4"/>
  <c r="W20" i="4"/>
  <c r="W25" i="4"/>
  <c r="V25" i="4"/>
  <c r="V16" i="4"/>
  <c r="W16" i="4"/>
  <c r="V21" i="4"/>
  <c r="W21" i="4"/>
  <c r="W17" i="4"/>
  <c r="V17" i="4"/>
  <c r="V30" i="4"/>
  <c r="W30" i="4"/>
  <c r="W29" i="4"/>
  <c r="V29" i="4"/>
  <c r="W19" i="4"/>
  <c r="V19" i="4"/>
  <c r="B29" i="12"/>
  <c r="B48" i="4"/>
  <c r="U24" i="4"/>
  <c r="U26" i="4"/>
  <c r="U17" i="4"/>
  <c r="U22" i="4"/>
  <c r="U20" i="4"/>
  <c r="U25" i="4"/>
  <c r="U16" i="4"/>
  <c r="U21" i="4"/>
  <c r="U30" i="4"/>
  <c r="U29" i="4"/>
  <c r="U19" i="4"/>
  <c r="U28" i="4"/>
  <c r="U27" i="4"/>
  <c r="U18" i="4"/>
  <c r="U23" i="4"/>
  <c r="AA21" i="1"/>
  <c r="AB21" i="1" s="1"/>
  <c r="E19" i="8"/>
  <c r="AA22" i="1"/>
  <c r="D21" i="2" s="1"/>
  <c r="D22" i="3" s="1"/>
  <c r="E22" i="3" s="1"/>
  <c r="E20" i="8"/>
  <c r="K9" i="3"/>
  <c r="K10" i="3"/>
  <c r="K17" i="3"/>
  <c r="K14" i="3"/>
  <c r="K16" i="3"/>
  <c r="K19" i="3"/>
  <c r="K5" i="3"/>
  <c r="L22" i="2"/>
  <c r="M22" i="2"/>
  <c r="K12" i="3"/>
  <c r="K6" i="3"/>
  <c r="K11" i="3"/>
  <c r="K18" i="3"/>
  <c r="K20" i="3"/>
  <c r="K15" i="3"/>
  <c r="K13" i="3"/>
  <c r="E15" i="7"/>
  <c r="K27" i="4" s="1"/>
  <c r="E7" i="9"/>
  <c r="M19" i="4" s="1"/>
  <c r="E13" i="10"/>
  <c r="N25" i="4" s="1"/>
  <c r="M12" i="3"/>
  <c r="AI30" i="4"/>
  <c r="AI29" i="4"/>
  <c r="AI21" i="4"/>
  <c r="AI22" i="4"/>
  <c r="AI28" i="4"/>
  <c r="AI27" i="4"/>
  <c r="AI24" i="4"/>
  <c r="AI18" i="4"/>
  <c r="E7" i="5"/>
  <c r="I19" i="4" s="1"/>
  <c r="M15" i="3"/>
  <c r="M11" i="3"/>
  <c r="I7" i="3"/>
  <c r="G12" i="3"/>
  <c r="Q22" i="2"/>
  <c r="M14" i="3"/>
  <c r="L15" i="3"/>
  <c r="M8" i="3"/>
  <c r="M19" i="3"/>
  <c r="J12" i="3"/>
  <c r="X23" i="1"/>
  <c r="Y18" i="1"/>
  <c r="Y20" i="1"/>
  <c r="L23" i="1"/>
  <c r="I8" i="3"/>
  <c r="L7" i="3"/>
  <c r="F5" i="3"/>
  <c r="E22" i="2"/>
  <c r="G7" i="3"/>
  <c r="L12" i="3"/>
  <c r="V23" i="1"/>
  <c r="D6" i="9"/>
  <c r="I6" i="3"/>
  <c r="K22" i="2"/>
  <c r="AA18" i="3" a="1"/>
  <c r="AA18" i="3" s="1"/>
  <c r="S22" i="2"/>
  <c r="P22" i="2"/>
  <c r="F22" i="2"/>
  <c r="W22" i="2"/>
  <c r="J22" i="2"/>
  <c r="I22" i="2"/>
  <c r="G22" i="2"/>
  <c r="O22" i="2"/>
  <c r="R22" i="2"/>
  <c r="G9" i="3"/>
  <c r="I5" i="3"/>
  <c r="H22" i="2"/>
  <c r="G16" i="3"/>
  <c r="N13" i="3"/>
  <c r="L5" i="3"/>
  <c r="N22" i="2"/>
  <c r="O14" i="3"/>
  <c r="M7" i="3"/>
  <c r="L13" i="3"/>
  <c r="W11" i="1"/>
  <c r="Y8" i="1"/>
  <c r="I12" i="3"/>
  <c r="J9" i="3"/>
  <c r="W15" i="1"/>
  <c r="J11" i="3"/>
  <c r="W7" i="1"/>
  <c r="Y19" i="1"/>
  <c r="D16" i="10"/>
  <c r="W19" i="1"/>
  <c r="Y14" i="1"/>
  <c r="Y10" i="1"/>
  <c r="D20" i="10"/>
  <c r="D8" i="10"/>
  <c r="D19" i="9"/>
  <c r="D4" i="10"/>
  <c r="D15" i="5"/>
  <c r="E15" i="5" s="1"/>
  <c r="I27" i="4" s="1"/>
  <c r="I10" i="3"/>
  <c r="J6" i="3"/>
  <c r="J18" i="3"/>
  <c r="I18" i="3"/>
  <c r="N9" i="3"/>
  <c r="Y6" i="1"/>
  <c r="O20" i="3"/>
  <c r="Z20" i="3" s="1" a="1"/>
  <c r="Z20" i="3" s="1"/>
  <c r="I16" i="3"/>
  <c r="D11" i="10"/>
  <c r="J20" i="3"/>
  <c r="G5" i="3"/>
  <c r="J5" i="3"/>
  <c r="G14" i="3"/>
  <c r="Y16" i="1"/>
  <c r="Y12" i="1"/>
  <c r="G6" i="3"/>
  <c r="J13" i="3"/>
  <c r="I9" i="3"/>
  <c r="M10" i="3"/>
  <c r="F9" i="3"/>
  <c r="J10" i="3"/>
  <c r="L10" i="3"/>
  <c r="G8" i="3"/>
  <c r="L14" i="3"/>
  <c r="AA14" i="3" a="1"/>
  <c r="AA14" i="3" s="1"/>
  <c r="AI19" i="4"/>
  <c r="AI17" i="4"/>
  <c r="G20" i="3"/>
  <c r="M13" i="3"/>
  <c r="F13" i="3"/>
  <c r="F14" i="3"/>
  <c r="H20" i="3"/>
  <c r="H16" i="3"/>
  <c r="J8" i="3"/>
  <c r="H8" i="3"/>
  <c r="N12" i="3"/>
  <c r="F16" i="3"/>
  <c r="F12" i="3"/>
  <c r="L18" i="3"/>
  <c r="L8" i="3"/>
  <c r="H12" i="3"/>
  <c r="G11" i="3"/>
  <c r="L9" i="3"/>
  <c r="L16" i="3"/>
  <c r="M17" i="3"/>
  <c r="J7" i="3"/>
  <c r="H17" i="3"/>
  <c r="H11" i="3"/>
  <c r="H7" i="3"/>
  <c r="J17" i="3"/>
  <c r="F8" i="3"/>
  <c r="N11" i="3"/>
  <c r="F6" i="3"/>
  <c r="H18" i="3"/>
  <c r="I20" i="3"/>
  <c r="I14" i="3"/>
  <c r="L20" i="3"/>
  <c r="N17" i="3"/>
  <c r="M6" i="3"/>
  <c r="I17" i="3"/>
  <c r="AI26" i="4"/>
  <c r="I11" i="3"/>
  <c r="AA15" i="3" a="1"/>
  <c r="AA15" i="3" s="1"/>
  <c r="F15" i="3"/>
  <c r="N7" i="3"/>
  <c r="L19" i="3"/>
  <c r="M18" i="3"/>
  <c r="G15" i="3"/>
  <c r="I19" i="3"/>
  <c r="N15" i="3"/>
  <c r="H9" i="3"/>
  <c r="H15" i="3"/>
  <c r="G17" i="3"/>
  <c r="F7" i="3"/>
  <c r="F10" i="3"/>
  <c r="L6" i="3"/>
  <c r="J16" i="3"/>
  <c r="H6" i="3"/>
  <c r="J15" i="3"/>
  <c r="N8" i="3"/>
  <c r="L11" i="3"/>
  <c r="G13" i="3"/>
  <c r="AI25" i="4"/>
  <c r="N10" i="3"/>
  <c r="H10" i="3"/>
  <c r="I13" i="3"/>
  <c r="F11" i="3"/>
  <c r="AA13" i="3" a="1"/>
  <c r="AA13" i="3" s="1"/>
  <c r="M16" i="3"/>
  <c r="L17" i="3"/>
  <c r="H5" i="3"/>
  <c r="I15" i="3"/>
  <c r="M9" i="3"/>
  <c r="H13" i="3"/>
  <c r="F17" i="3"/>
  <c r="F20" i="3"/>
  <c r="N18" i="3"/>
  <c r="N14" i="3"/>
  <c r="W20" i="1"/>
  <c r="W16" i="1"/>
  <c r="W12" i="1"/>
  <c r="G18" i="3"/>
  <c r="J14" i="3"/>
  <c r="Z15" i="3" a="1"/>
  <c r="Z15" i="3" s="1"/>
  <c r="W9" i="1"/>
  <c r="H14" i="3"/>
  <c r="W18" i="1"/>
  <c r="W14" i="1"/>
  <c r="W10" i="1"/>
  <c r="W5" i="1"/>
  <c r="G10" i="3"/>
  <c r="F19" i="3"/>
  <c r="N16" i="3"/>
  <c r="AI20" i="4"/>
  <c r="AI23" i="4"/>
  <c r="N20" i="3"/>
  <c r="H19" i="3"/>
  <c r="G19" i="3"/>
  <c r="J19" i="3"/>
  <c r="N19" i="3"/>
  <c r="M20" i="3"/>
  <c r="B15" i="4"/>
  <c r="AI15" i="4" s="1"/>
  <c r="Y17" i="1"/>
  <c r="W13" i="1"/>
  <c r="Y11" i="1"/>
  <c r="W8" i="1"/>
  <c r="W6" i="1"/>
  <c r="D18" i="5"/>
  <c r="E18" i="5" s="1"/>
  <c r="I30" i="4" s="1"/>
  <c r="D13" i="5"/>
  <c r="E13" i="5" s="1"/>
  <c r="I25" i="4" s="1"/>
  <c r="D19" i="5"/>
  <c r="E19" i="5" s="1"/>
  <c r="I31" i="4" s="1"/>
  <c r="I3" i="6"/>
  <c r="I21" i="6" s="1"/>
  <c r="J8" i="6" s="1"/>
  <c r="W17" i="1"/>
  <c r="D14" i="5"/>
  <c r="E14" i="5" s="1"/>
  <c r="I26" i="4" s="1"/>
  <c r="D10" i="5"/>
  <c r="E10" i="5" s="1"/>
  <c r="I22" i="4" s="1"/>
  <c r="D3" i="5"/>
  <c r="E3" i="5" s="1"/>
  <c r="D6" i="5"/>
  <c r="E6" i="5" s="1"/>
  <c r="I18" i="4" s="1"/>
  <c r="Y15" i="1"/>
  <c r="Y9" i="1"/>
  <c r="Y13" i="1"/>
  <c r="D18" i="9"/>
  <c r="Y7" i="1"/>
  <c r="D5" i="7"/>
  <c r="D11" i="9"/>
  <c r="D7" i="7"/>
  <c r="D10" i="9"/>
  <c r="D14" i="9"/>
  <c r="D3" i="9"/>
  <c r="D16" i="7"/>
  <c r="D19" i="7"/>
  <c r="D18" i="10"/>
  <c r="D10" i="10"/>
  <c r="D14" i="10"/>
  <c r="D6" i="10"/>
  <c r="D20" i="7"/>
  <c r="D4" i="7"/>
  <c r="D15" i="10"/>
  <c r="D17" i="7"/>
  <c r="D8" i="7"/>
  <c r="D17" i="5"/>
  <c r="E17" i="5" s="1"/>
  <c r="I29" i="4" s="1"/>
  <c r="D9" i="5"/>
  <c r="E9" i="5" s="1"/>
  <c r="I21" i="4" s="1"/>
  <c r="D20" i="5"/>
  <c r="E20" i="5" s="1"/>
  <c r="I32" i="4" s="1"/>
  <c r="D12" i="5"/>
  <c r="E12" i="5" s="1"/>
  <c r="I24" i="4" s="1"/>
  <c r="D4" i="5"/>
  <c r="E4" i="5" s="1"/>
  <c r="I16" i="4" s="1"/>
  <c r="D16" i="5"/>
  <c r="E16" i="5" s="1"/>
  <c r="I28" i="4" s="1"/>
  <c r="D8" i="5"/>
  <c r="E8" i="5" s="1"/>
  <c r="I20" i="4" s="1"/>
  <c r="D5" i="5"/>
  <c r="E5" i="5" s="1"/>
  <c r="I17" i="4" s="1"/>
  <c r="D11" i="7"/>
  <c r="D12" i="10"/>
  <c r="D18" i="7"/>
  <c r="D10" i="7"/>
  <c r="D14" i="7"/>
  <c r="D6" i="7"/>
  <c r="D9" i="7"/>
  <c r="D17" i="10"/>
  <c r="D3" i="7"/>
  <c r="D19" i="10"/>
  <c r="D3" i="10"/>
  <c r="D13" i="7"/>
  <c r="D5" i="10"/>
  <c r="D17" i="9"/>
  <c r="D13" i="9"/>
  <c r="D9" i="9"/>
  <c r="D5" i="9"/>
  <c r="D16" i="9"/>
  <c r="D8" i="9"/>
  <c r="D20" i="9"/>
  <c r="D4" i="9"/>
  <c r="D12" i="9"/>
  <c r="D12" i="7"/>
  <c r="D7" i="10"/>
  <c r="D15" i="9"/>
  <c r="D11" i="5"/>
  <c r="E11" i="5" s="1"/>
  <c r="I23" i="4" s="1"/>
  <c r="D9" i="10"/>
  <c r="U15" i="4" l="1"/>
  <c r="W15" i="4"/>
  <c r="W33" i="4" s="1"/>
  <c r="C52" i="4" s="1"/>
  <c r="V15" i="4"/>
  <c r="V33" i="4" s="1"/>
  <c r="B52" i="4" s="1"/>
  <c r="B33" i="12"/>
  <c r="B32" i="12"/>
  <c r="B31" i="12"/>
  <c r="B30" i="12"/>
  <c r="U33" i="4"/>
  <c r="E8" i="9"/>
  <c r="M20" i="4" s="1"/>
  <c r="E10" i="9"/>
  <c r="M22" i="4" s="1"/>
  <c r="E6" i="9"/>
  <c r="M18" i="4" s="1"/>
  <c r="E13" i="9"/>
  <c r="M25" i="4" s="1"/>
  <c r="D20" i="2"/>
  <c r="D21" i="3" s="1"/>
  <c r="E21" i="3" s="1"/>
  <c r="E13" i="7"/>
  <c r="K25" i="4" s="1"/>
  <c r="E10" i="7"/>
  <c r="K22" i="4" s="1"/>
  <c r="E8" i="7"/>
  <c r="K20" i="4" s="1"/>
  <c r="E9" i="10"/>
  <c r="N21" i="4" s="1"/>
  <c r="E6" i="10"/>
  <c r="N18" i="4" s="1"/>
  <c r="E12" i="9"/>
  <c r="M24" i="4" s="1"/>
  <c r="E16" i="9"/>
  <c r="M28" i="4" s="1"/>
  <c r="E17" i="9"/>
  <c r="M29" i="4" s="1"/>
  <c r="E18" i="9"/>
  <c r="M30" i="4" s="1"/>
  <c r="E12" i="7"/>
  <c r="K24" i="4" s="1"/>
  <c r="E9" i="7"/>
  <c r="K21" i="4" s="1"/>
  <c r="E6" i="7"/>
  <c r="K18" i="4" s="1"/>
  <c r="E7" i="7"/>
  <c r="K19" i="4" s="1"/>
  <c r="E18" i="7"/>
  <c r="K30" i="4" s="1"/>
  <c r="E17" i="7"/>
  <c r="K29" i="4" s="1"/>
  <c r="E14" i="7"/>
  <c r="K26" i="4" s="1"/>
  <c r="E11" i="7"/>
  <c r="K23" i="4" s="1"/>
  <c r="E4" i="7"/>
  <c r="K16" i="4" s="1"/>
  <c r="E15" i="9"/>
  <c r="M27" i="4" s="1"/>
  <c r="E4" i="9"/>
  <c r="M16" i="4" s="1"/>
  <c r="E5" i="9"/>
  <c r="M17" i="4" s="1"/>
  <c r="E3" i="9"/>
  <c r="M15" i="4" s="1"/>
  <c r="E11" i="9"/>
  <c r="M23" i="4" s="1"/>
  <c r="E20" i="9"/>
  <c r="M32" i="4" s="1"/>
  <c r="E9" i="9"/>
  <c r="M21" i="4" s="1"/>
  <c r="E14" i="9"/>
  <c r="M26" i="4" s="1"/>
  <c r="E7" i="10"/>
  <c r="N19" i="4" s="1"/>
  <c r="K8" i="6"/>
  <c r="J20" i="4" s="1"/>
  <c r="E20" i="7"/>
  <c r="K32" i="4" s="1"/>
  <c r="E5" i="7"/>
  <c r="K17" i="4" s="1"/>
  <c r="E19" i="7"/>
  <c r="K31" i="4" s="1"/>
  <c r="E16" i="7"/>
  <c r="K28" i="4" s="1"/>
  <c r="AB22" i="1"/>
  <c r="AA6" i="1"/>
  <c r="AB6" i="1" s="1"/>
  <c r="E4" i="8"/>
  <c r="AA14" i="1"/>
  <c r="D13" i="2" s="1"/>
  <c r="D14" i="3" s="1"/>
  <c r="D24" i="4" s="1"/>
  <c r="E12" i="8"/>
  <c r="AA15" i="1"/>
  <c r="D14" i="2" s="1"/>
  <c r="D15" i="3" s="1"/>
  <c r="E13" i="8"/>
  <c r="AA11" i="1"/>
  <c r="D10" i="2" s="1"/>
  <c r="D11" i="3" s="1"/>
  <c r="E9" i="8"/>
  <c r="AA17" i="1"/>
  <c r="AB17" i="1" s="1"/>
  <c r="E15" i="8"/>
  <c r="AA12" i="1"/>
  <c r="AB12" i="1" s="1"/>
  <c r="E10" i="8"/>
  <c r="AA19" i="1"/>
  <c r="D18" i="2" s="1"/>
  <c r="D19" i="3" s="1"/>
  <c r="E17" i="8"/>
  <c r="AA16" i="1"/>
  <c r="D15" i="2" s="1"/>
  <c r="D16" i="3" s="1"/>
  <c r="E14" i="8"/>
  <c r="AA9" i="1"/>
  <c r="D8" i="2" s="1"/>
  <c r="D9" i="3" s="1"/>
  <c r="E7" i="8"/>
  <c r="AA13" i="1"/>
  <c r="AB13" i="1" s="1"/>
  <c r="E11" i="8"/>
  <c r="AA20" i="1"/>
  <c r="AB20" i="1" s="1"/>
  <c r="E18" i="8"/>
  <c r="AA7" i="1"/>
  <c r="AB7" i="1" s="1"/>
  <c r="E5" i="8"/>
  <c r="AA8" i="1"/>
  <c r="D7" i="2" s="1"/>
  <c r="D8" i="3" s="1"/>
  <c r="D18" i="4" s="1"/>
  <c r="E6" i="8"/>
  <c r="AA18" i="1"/>
  <c r="D17" i="2" s="1"/>
  <c r="D18" i="3" s="1"/>
  <c r="E18" i="3" s="1"/>
  <c r="E16" i="8"/>
  <c r="AA10" i="1"/>
  <c r="AB10" i="1" s="1"/>
  <c r="E8" i="8"/>
  <c r="E4" i="10"/>
  <c r="N16" i="4" s="1"/>
  <c r="E19" i="9"/>
  <c r="M31" i="4" s="1"/>
  <c r="E19" i="10"/>
  <c r="N31" i="4" s="1"/>
  <c r="E12" i="10"/>
  <c r="N24" i="4" s="1"/>
  <c r="E15" i="10"/>
  <c r="N27" i="4" s="1"/>
  <c r="E14" i="10"/>
  <c r="N26" i="4" s="1"/>
  <c r="E5" i="10"/>
  <c r="N17" i="4" s="1"/>
  <c r="E10" i="10"/>
  <c r="N22" i="4" s="1"/>
  <c r="E11" i="10"/>
  <c r="N23" i="4" s="1"/>
  <c r="E8" i="10"/>
  <c r="N20" i="4" s="1"/>
  <c r="E17" i="10"/>
  <c r="N29" i="4" s="1"/>
  <c r="E18" i="10"/>
  <c r="N30" i="4" s="1"/>
  <c r="E20" i="10"/>
  <c r="N32" i="4" s="1"/>
  <c r="E16" i="10"/>
  <c r="N28" i="4" s="1"/>
  <c r="C21" i="8"/>
  <c r="H33" i="4"/>
  <c r="G38" i="4" s="1"/>
  <c r="AB14" i="1"/>
  <c r="Y23" i="1"/>
  <c r="D5" i="2"/>
  <c r="D6" i="3" s="1"/>
  <c r="D16" i="4" s="1"/>
  <c r="W23" i="1"/>
  <c r="AB16" i="1"/>
  <c r="AA19" i="3" a="1"/>
  <c r="AA19" i="3" s="1"/>
  <c r="J3" i="6"/>
  <c r="K3" i="6" s="1"/>
  <c r="J9" i="6"/>
  <c r="K9" i="6" s="1"/>
  <c r="J21" i="4" s="1"/>
  <c r="J6" i="6"/>
  <c r="K6" i="6" s="1"/>
  <c r="J18" i="4" s="1"/>
  <c r="J14" i="6"/>
  <c r="K14" i="6" s="1"/>
  <c r="J26" i="4" s="1"/>
  <c r="J16" i="6"/>
  <c r="K16" i="6" s="1"/>
  <c r="J28" i="4" s="1"/>
  <c r="D21" i="7"/>
  <c r="E3" i="7"/>
  <c r="E21" i="5"/>
  <c r="I15" i="4"/>
  <c r="D21" i="10"/>
  <c r="E3" i="10"/>
  <c r="AA5" i="1"/>
  <c r="D21" i="9"/>
  <c r="E14" i="3"/>
  <c r="D21" i="5"/>
  <c r="J10" i="6"/>
  <c r="K10" i="6" s="1"/>
  <c r="J22" i="4" s="1"/>
  <c r="J20" i="6"/>
  <c r="K20" i="6" s="1"/>
  <c r="J32" i="4" s="1"/>
  <c r="J18" i="6"/>
  <c r="K18" i="6" s="1"/>
  <c r="J30" i="4" s="1"/>
  <c r="J19" i="6"/>
  <c r="K19" i="6" s="1"/>
  <c r="J31" i="4" s="1"/>
  <c r="J7" i="6"/>
  <c r="K7" i="6" s="1"/>
  <c r="J19" i="4" s="1"/>
  <c r="J12" i="6"/>
  <c r="K12" i="6" s="1"/>
  <c r="J24" i="4" s="1"/>
  <c r="J15" i="6"/>
  <c r="K15" i="6" s="1"/>
  <c r="J27" i="4" s="1"/>
  <c r="J11" i="6"/>
  <c r="K11" i="6" s="1"/>
  <c r="J23" i="4" s="1"/>
  <c r="J13" i="6"/>
  <c r="K13" i="6" s="1"/>
  <c r="J25" i="4" s="1"/>
  <c r="J5" i="6"/>
  <c r="K5" i="6" s="1"/>
  <c r="J17" i="4" s="1"/>
  <c r="J4" i="6"/>
  <c r="K4" i="6" s="1"/>
  <c r="J16" i="4" s="1"/>
  <c r="J17" i="6"/>
  <c r="K17" i="6" s="1"/>
  <c r="J29" i="4" s="1"/>
  <c r="AB9" i="1" l="1"/>
  <c r="D16" i="2"/>
  <c r="D17" i="3" s="1"/>
  <c r="M33" i="4"/>
  <c r="E21" i="9"/>
  <c r="AB19" i="1"/>
  <c r="AB15" i="1"/>
  <c r="D19" i="2"/>
  <c r="D20" i="3" s="1"/>
  <c r="E20" i="3" s="1"/>
  <c r="D9" i="2"/>
  <c r="D10" i="3" s="1"/>
  <c r="E10" i="3" s="1"/>
  <c r="D6" i="2"/>
  <c r="D7" i="3" s="1"/>
  <c r="E7" i="3" s="1"/>
  <c r="E16" i="3"/>
  <c r="D26" i="4"/>
  <c r="D11" i="2"/>
  <c r="D12" i="3" s="1"/>
  <c r="E12" i="3" s="1"/>
  <c r="AB8" i="1"/>
  <c r="D28" i="4"/>
  <c r="D12" i="2"/>
  <c r="D13" i="3" s="1"/>
  <c r="E13" i="3" s="1"/>
  <c r="AB11" i="1"/>
  <c r="E21" i="8"/>
  <c r="F6" i="8" s="1"/>
  <c r="G6" i="8" s="1"/>
  <c r="L18" i="4" s="1"/>
  <c r="O18" i="4" s="1"/>
  <c r="P18" i="4" s="1"/>
  <c r="AB18" i="1"/>
  <c r="E8" i="3"/>
  <c r="E6" i="3"/>
  <c r="E19" i="3"/>
  <c r="D29" i="4"/>
  <c r="D27" i="4"/>
  <c r="E17" i="3"/>
  <c r="D21" i="4"/>
  <c r="E11" i="3"/>
  <c r="D19" i="4"/>
  <c r="E9" i="3"/>
  <c r="E15" i="3"/>
  <c r="D25" i="4"/>
  <c r="E21" i="10"/>
  <c r="N15" i="4"/>
  <c r="N33" i="4" s="1"/>
  <c r="D4" i="2"/>
  <c r="D5" i="3" s="1"/>
  <c r="AB5" i="1"/>
  <c r="J21" i="6"/>
  <c r="K21" i="6"/>
  <c r="J15" i="4"/>
  <c r="J33" i="4" s="1"/>
  <c r="I33" i="4"/>
  <c r="E21" i="7"/>
  <c r="K15" i="4"/>
  <c r="K33" i="4" s="1"/>
  <c r="B27" i="1" l="1"/>
  <c r="D17" i="4"/>
  <c r="D20" i="4"/>
  <c r="D22" i="4"/>
  <c r="D23" i="4"/>
  <c r="D30" i="4"/>
  <c r="F16" i="8"/>
  <c r="G16" i="8" s="1"/>
  <c r="L28" i="4" s="1"/>
  <c r="O28" i="4" s="1"/>
  <c r="P28" i="4" s="1"/>
  <c r="F7" i="8"/>
  <c r="G7" i="8" s="1"/>
  <c r="L19" i="4" s="1"/>
  <c r="O19" i="4" s="1"/>
  <c r="P19" i="4" s="1"/>
  <c r="F13" i="8"/>
  <c r="G13" i="8" s="1"/>
  <c r="L25" i="4" s="1"/>
  <c r="O25" i="4" s="1"/>
  <c r="P25" i="4" s="1"/>
  <c r="F15" i="8"/>
  <c r="G15" i="8" s="1"/>
  <c r="L27" i="4" s="1"/>
  <c r="O27" i="4" s="1"/>
  <c r="P27" i="4" s="1"/>
  <c r="F3" i="8"/>
  <c r="G3" i="8" s="1"/>
  <c r="L15" i="4" s="1"/>
  <c r="O15" i="4" s="1"/>
  <c r="P15" i="4" s="1"/>
  <c r="F8" i="8"/>
  <c r="G8" i="8" s="1"/>
  <c r="L20" i="4" s="1"/>
  <c r="O20" i="4" s="1"/>
  <c r="P20" i="4" s="1"/>
  <c r="F18" i="8"/>
  <c r="G18" i="8" s="1"/>
  <c r="L30" i="4" s="1"/>
  <c r="O30" i="4" s="1"/>
  <c r="P30" i="4" s="1"/>
  <c r="F12" i="8"/>
  <c r="G12" i="8" s="1"/>
  <c r="L24" i="4" s="1"/>
  <c r="O24" i="4" s="1"/>
  <c r="P24" i="4" s="1"/>
  <c r="F5" i="8"/>
  <c r="G5" i="8" s="1"/>
  <c r="L17" i="4" s="1"/>
  <c r="O17" i="4" s="1"/>
  <c r="P17" i="4" s="1"/>
  <c r="F17" i="8"/>
  <c r="G17" i="8" s="1"/>
  <c r="L29" i="4" s="1"/>
  <c r="O29" i="4" s="1"/>
  <c r="P29" i="4" s="1"/>
  <c r="F14" i="8"/>
  <c r="G14" i="8" s="1"/>
  <c r="L26" i="4" s="1"/>
  <c r="O26" i="4" s="1"/>
  <c r="P26" i="4" s="1"/>
  <c r="F10" i="8"/>
  <c r="G10" i="8" s="1"/>
  <c r="L22" i="4" s="1"/>
  <c r="O22" i="4" s="1"/>
  <c r="P22" i="4" s="1"/>
  <c r="F4" i="8"/>
  <c r="G4" i="8" s="1"/>
  <c r="L16" i="4" s="1"/>
  <c r="O16" i="4" s="1"/>
  <c r="P16" i="4" s="1"/>
  <c r="F9" i="8"/>
  <c r="G9" i="8" s="1"/>
  <c r="L21" i="4" s="1"/>
  <c r="O21" i="4" s="1"/>
  <c r="P21" i="4" s="1"/>
  <c r="F11" i="8"/>
  <c r="G11" i="8" s="1"/>
  <c r="L23" i="4" s="1"/>
  <c r="O23" i="4" s="1"/>
  <c r="P23" i="4" s="1"/>
  <c r="F20" i="8"/>
  <c r="G20" i="8" s="1"/>
  <c r="L32" i="4" s="1"/>
  <c r="O32" i="4" s="1"/>
  <c r="P32" i="4" s="1"/>
  <c r="F19" i="8"/>
  <c r="G19" i="8" s="1"/>
  <c r="L31" i="4" s="1"/>
  <c r="O31" i="4" s="1"/>
  <c r="P31" i="4" s="1"/>
  <c r="B29" i="1"/>
  <c r="B28" i="1"/>
  <c r="E5" i="3"/>
  <c r="AA20" i="3" s="1" a="1"/>
  <c r="AA20" i="3" s="1"/>
  <c r="D15" i="4"/>
  <c r="F21" i="8" l="1"/>
  <c r="G21" i="8"/>
  <c r="L33" i="4"/>
  <c r="C27" i="1"/>
  <c r="AA10" i="3" a="1"/>
  <c r="AA10" i="3" s="1"/>
  <c r="AA8" i="3" a="1"/>
  <c r="AA8" i="3" s="1"/>
  <c r="AA16" i="3" a="1"/>
  <c r="AA16" i="3" s="1"/>
  <c r="B30" i="1"/>
  <c r="U22" i="3" a="1"/>
  <c r="U22" i="3" s="1"/>
  <c r="T21" i="3" a="1"/>
  <c r="T21" i="3" s="1"/>
  <c r="W21" i="3" a="1"/>
  <c r="W21" i="3" s="1"/>
  <c r="R22" i="3" a="1"/>
  <c r="R22" i="3" s="1"/>
  <c r="S22" i="3" a="1"/>
  <c r="S22" i="3" s="1"/>
  <c r="V22" i="3" a="1"/>
  <c r="V22" i="3" s="1"/>
  <c r="T22" i="3" a="1"/>
  <c r="T22" i="3" s="1"/>
  <c r="S21" i="3" a="1"/>
  <c r="S21" i="3" s="1"/>
  <c r="R21" i="3" a="1"/>
  <c r="R21" i="3" s="1"/>
  <c r="W22" i="3" a="1"/>
  <c r="W22" i="3" s="1"/>
  <c r="Y21" i="3" a="1"/>
  <c r="Y21" i="3" s="1"/>
  <c r="Y22" i="3" a="1"/>
  <c r="Y22" i="3" s="1"/>
  <c r="Q21" i="3" a="1"/>
  <c r="Q21" i="3" s="1"/>
  <c r="X22" i="3" a="1"/>
  <c r="X22" i="3" s="1"/>
  <c r="V21" i="3" a="1"/>
  <c r="V21" i="3" s="1"/>
  <c r="U21" i="3" a="1"/>
  <c r="U21" i="3" s="1"/>
  <c r="X21" i="3" a="1"/>
  <c r="X21" i="3" s="1"/>
  <c r="Q22" i="3" a="1"/>
  <c r="Q22" i="3" s="1"/>
  <c r="C29" i="1"/>
  <c r="C28" i="1"/>
  <c r="Q5" i="3" a="1"/>
  <c r="Q5" i="3" s="1"/>
  <c r="T5" i="3" a="1"/>
  <c r="T5" i="3" s="1"/>
  <c r="X5" i="3" a="1"/>
  <c r="X5" i="3" s="1"/>
  <c r="V5" i="3" a="1"/>
  <c r="V5" i="3" s="1"/>
  <c r="T12" i="3" a="1"/>
  <c r="T12" i="3" s="1"/>
  <c r="U5" i="3" a="1"/>
  <c r="U5" i="3" s="1"/>
  <c r="R19" i="3" a="1"/>
  <c r="R19" i="3" s="1"/>
  <c r="R6" i="3" a="1"/>
  <c r="R6" i="3" s="1"/>
  <c r="X19" i="3" a="1"/>
  <c r="X19" i="3" s="1"/>
  <c r="AA5" i="3" a="1"/>
  <c r="AA5" i="3" s="1"/>
  <c r="W13" i="3" a="1"/>
  <c r="W13" i="3" s="1"/>
  <c r="T6" i="3" a="1"/>
  <c r="T6" i="3" s="1"/>
  <c r="U11" i="3" a="1"/>
  <c r="U11" i="3" s="1"/>
  <c r="V19" i="3" a="1"/>
  <c r="V19" i="3" s="1"/>
  <c r="S11" i="3" a="1"/>
  <c r="S11" i="3" s="1"/>
  <c r="V9" i="3" a="1"/>
  <c r="V9" i="3" s="1"/>
  <c r="R11" i="3" a="1"/>
  <c r="R11" i="3" s="1"/>
  <c r="S13" i="3" a="1"/>
  <c r="S13" i="3" s="1"/>
  <c r="W9" i="3" a="1"/>
  <c r="W9" i="3" s="1"/>
  <c r="X6" i="3" a="1"/>
  <c r="X6" i="3" s="1"/>
  <c r="T15" i="3" a="1"/>
  <c r="T15" i="3" s="1"/>
  <c r="R5" i="3" a="1"/>
  <c r="R5" i="3" s="1"/>
  <c r="Y5" i="3" a="1"/>
  <c r="Y5" i="3" s="1"/>
  <c r="Y8" i="3" a="1"/>
  <c r="Y8" i="3" s="1"/>
  <c r="V16" i="3" a="1"/>
  <c r="V16" i="3" s="1"/>
  <c r="S5" i="3" a="1"/>
  <c r="S5" i="3" s="1"/>
  <c r="U6" i="3" a="1"/>
  <c r="U6" i="3" s="1"/>
  <c r="S9" i="3" a="1"/>
  <c r="S9" i="3" s="1"/>
  <c r="U16" i="3" a="1"/>
  <c r="U16" i="3" s="1"/>
  <c r="T19" i="3" a="1"/>
  <c r="T19" i="3" s="1"/>
  <c r="S6" i="3" a="1"/>
  <c r="S6" i="3" s="1"/>
  <c r="X9" i="3" a="1"/>
  <c r="X9" i="3" s="1"/>
  <c r="S16" i="3" a="1"/>
  <c r="S16" i="3" s="1"/>
  <c r="U19" i="3" a="1"/>
  <c r="U19" i="3" s="1"/>
  <c r="U9" i="3" a="1"/>
  <c r="U9" i="3" s="1"/>
  <c r="X7" i="3" a="1"/>
  <c r="X7" i="3" s="1"/>
  <c r="W5" i="3" a="1"/>
  <c r="W5" i="3" s="1"/>
  <c r="W11" i="3" a="1"/>
  <c r="W11" i="3" s="1"/>
  <c r="S15" i="3" a="1"/>
  <c r="S15" i="3" s="1"/>
  <c r="T7" i="3" a="1"/>
  <c r="T7" i="3" s="1"/>
  <c r="Y9" i="3" a="1"/>
  <c r="Y9" i="3" s="1"/>
  <c r="T16" i="3" a="1"/>
  <c r="T16" i="3" s="1"/>
  <c r="V7" i="3" a="1"/>
  <c r="V7" i="3" s="1"/>
  <c r="AA12" i="3" a="1"/>
  <c r="AA12" i="3" s="1"/>
  <c r="Q12" i="3" a="1"/>
  <c r="Q12" i="3" s="1"/>
  <c r="X15" i="3" a="1"/>
  <c r="X15" i="3" s="1"/>
  <c r="X8" i="3" a="1"/>
  <c r="X8" i="3" s="1"/>
  <c r="X16" i="3" a="1"/>
  <c r="X16" i="3" s="1"/>
  <c r="R17" i="3" a="1"/>
  <c r="R17" i="3" s="1"/>
  <c r="X20" i="3" a="1"/>
  <c r="X20" i="3" s="1"/>
  <c r="Y20" i="3" a="1"/>
  <c r="Y20" i="3" s="1"/>
  <c r="Q6" i="3" a="1"/>
  <c r="Q6" i="3" s="1"/>
  <c r="W19" i="3" a="1"/>
  <c r="W19" i="3" s="1"/>
  <c r="Q13" i="3" a="1"/>
  <c r="Q13" i="3" s="1"/>
  <c r="R7" i="3" a="1"/>
  <c r="R7" i="3" s="1"/>
  <c r="V11" i="3" a="1"/>
  <c r="V11" i="3" s="1"/>
  <c r="W20" i="3" a="1"/>
  <c r="W20" i="3" s="1"/>
  <c r="T17" i="3" a="1"/>
  <c r="T17" i="3" s="1"/>
  <c r="W17" i="3" a="1"/>
  <c r="W17" i="3" s="1"/>
  <c r="R9" i="3" a="1"/>
  <c r="R9" i="3" s="1"/>
  <c r="Y19" i="3" a="1"/>
  <c r="Y19" i="3" s="1"/>
  <c r="U8" i="3" a="1"/>
  <c r="U8" i="3" s="1"/>
  <c r="Q20" i="3" a="1"/>
  <c r="Q20" i="3" s="1"/>
  <c r="T13" i="3" a="1"/>
  <c r="T13" i="3" s="1"/>
  <c r="U20" i="3" a="1"/>
  <c r="U20" i="3" s="1"/>
  <c r="S17" i="3" a="1"/>
  <c r="S17" i="3" s="1"/>
  <c r="S19" i="3" a="1"/>
  <c r="S19" i="3" s="1"/>
  <c r="Q15" i="3" a="1"/>
  <c r="Q15" i="3" s="1"/>
  <c r="Y7" i="3" a="1"/>
  <c r="Y7" i="3" s="1"/>
  <c r="R16" i="3" a="1"/>
  <c r="R16" i="3" s="1"/>
  <c r="Y16" i="3" a="1"/>
  <c r="Y16" i="3" s="1"/>
  <c r="W12" i="3" a="1"/>
  <c r="W12" i="3" s="1"/>
  <c r="U12" i="3" a="1"/>
  <c r="U12" i="3" s="1"/>
  <c r="S8" i="3" a="1"/>
  <c r="S8" i="3" s="1"/>
  <c r="Q8" i="3" a="1"/>
  <c r="Q8" i="3" s="1"/>
  <c r="R20" i="3" a="1"/>
  <c r="R20" i="3" s="1"/>
  <c r="W6" i="3" a="1"/>
  <c r="W6" i="3" s="1"/>
  <c r="U15" i="3" a="1"/>
  <c r="U15" i="3" s="1"/>
  <c r="V13" i="3" a="1"/>
  <c r="V13" i="3" s="1"/>
  <c r="V17" i="3" a="1"/>
  <c r="V17" i="3" s="1"/>
  <c r="V6" i="3" a="1"/>
  <c r="V6" i="3" s="1"/>
  <c r="Y15" i="3" a="1"/>
  <c r="Y15" i="3" s="1"/>
  <c r="X11" i="3" a="1"/>
  <c r="X11" i="3" s="1"/>
  <c r="Q19" i="3" a="1"/>
  <c r="Q19" i="3" s="1"/>
  <c r="Y13" i="3" a="1"/>
  <c r="Y13" i="3" s="1"/>
  <c r="U7" i="3" a="1"/>
  <c r="U7" i="3" s="1"/>
  <c r="T11" i="3" a="1"/>
  <c r="T11" i="3" s="1"/>
  <c r="V15" i="3" a="1"/>
  <c r="V15" i="3" s="1"/>
  <c r="Q9" i="3" a="1"/>
  <c r="Q9" i="3" s="1"/>
  <c r="Y17" i="3" a="1"/>
  <c r="Y17" i="3" s="1"/>
  <c r="S12" i="3" a="1"/>
  <c r="S12" i="3" s="1"/>
  <c r="R8" i="3" a="1"/>
  <c r="R8" i="3" s="1"/>
  <c r="Y6" i="3" a="1"/>
  <c r="Y6" i="3" s="1"/>
  <c r="Q11" i="3" a="1"/>
  <c r="Q11" i="3" s="1"/>
  <c r="U13" i="3" a="1"/>
  <c r="U13" i="3" s="1"/>
  <c r="W15" i="3" a="1"/>
  <c r="W15" i="3" s="1"/>
  <c r="Q7" i="3" a="1"/>
  <c r="Q7" i="3" s="1"/>
  <c r="T9" i="3" a="1"/>
  <c r="T9" i="3" s="1"/>
  <c r="AA9" i="3" a="1"/>
  <c r="AA9" i="3" s="1"/>
  <c r="Q16" i="3" a="1"/>
  <c r="Q16" i="3" s="1"/>
  <c r="W7" i="3" a="1"/>
  <c r="W7" i="3" s="1"/>
  <c r="X12" i="3" a="1"/>
  <c r="X12" i="3" s="1"/>
  <c r="Y12" i="3" a="1"/>
  <c r="Y12" i="3" s="1"/>
  <c r="V12" i="3" a="1"/>
  <c r="V12" i="3" s="1"/>
  <c r="V8" i="3" a="1"/>
  <c r="V8" i="3" s="1"/>
  <c r="R13" i="3" a="1"/>
  <c r="R13" i="3" s="1"/>
  <c r="AA17" i="3" a="1"/>
  <c r="AA17" i="3" s="1"/>
  <c r="V20" i="3" a="1"/>
  <c r="V20" i="3" s="1"/>
  <c r="R15" i="3" a="1"/>
  <c r="R15" i="3" s="1"/>
  <c r="AA6" i="3" a="1"/>
  <c r="AA6" i="3" s="1"/>
  <c r="X13" i="3" a="1"/>
  <c r="X13" i="3" s="1"/>
  <c r="T20" i="3" a="1"/>
  <c r="T20" i="3" s="1"/>
  <c r="S7" i="3" a="1"/>
  <c r="S7" i="3" s="1"/>
  <c r="Y11" i="3" a="1"/>
  <c r="Y11" i="3" s="1"/>
  <c r="T8" i="3" a="1"/>
  <c r="T8" i="3" s="1"/>
  <c r="AA7" i="3" a="1"/>
  <c r="AA7" i="3" s="1"/>
  <c r="W16" i="3" a="1"/>
  <c r="W16" i="3" s="1"/>
  <c r="R12" i="3" a="1"/>
  <c r="R12" i="3" s="1"/>
  <c r="W8" i="3" a="1"/>
  <c r="W8" i="3" s="1"/>
  <c r="Q17" i="3" a="1"/>
  <c r="Q17" i="3" s="1"/>
  <c r="S20" i="3" a="1"/>
  <c r="S20" i="3" s="1"/>
  <c r="X17" i="3" a="1"/>
  <c r="X17" i="3" s="1"/>
  <c r="U17" i="3" a="1"/>
  <c r="U17" i="3" s="1"/>
  <c r="AA11" i="3" a="1"/>
  <c r="AA11" i="3" s="1"/>
  <c r="U10" i="3" a="1"/>
  <c r="U10" i="3" s="1"/>
  <c r="Q10" i="3" a="1"/>
  <c r="Q10" i="3" s="1"/>
  <c r="Y18" i="3" a="1"/>
  <c r="Y18" i="3" s="1"/>
  <c r="S18" i="3" a="1"/>
  <c r="S18" i="3" s="1"/>
  <c r="S14" i="3" a="1"/>
  <c r="S14" i="3" s="1"/>
  <c r="T14" i="3" a="1"/>
  <c r="T14" i="3" s="1"/>
  <c r="X10" i="3" a="1"/>
  <c r="X10" i="3" s="1"/>
  <c r="R14" i="3" a="1"/>
  <c r="R14" i="3" s="1"/>
  <c r="S10" i="3" a="1"/>
  <c r="S10" i="3" s="1"/>
  <c r="V10" i="3" a="1"/>
  <c r="V10" i="3" s="1"/>
  <c r="W18" i="3" a="1"/>
  <c r="W18" i="3" s="1"/>
  <c r="X18" i="3" a="1"/>
  <c r="X18" i="3" s="1"/>
  <c r="Y14" i="3" a="1"/>
  <c r="Y14" i="3" s="1"/>
  <c r="W10" i="3" a="1"/>
  <c r="W10" i="3" s="1"/>
  <c r="Q18" i="3" a="1"/>
  <c r="Q18" i="3" s="1"/>
  <c r="W14" i="3" a="1"/>
  <c r="W14" i="3" s="1"/>
  <c r="Y10" i="3" a="1"/>
  <c r="Y10" i="3" s="1"/>
  <c r="T10" i="3" a="1"/>
  <c r="T10" i="3" s="1"/>
  <c r="T18" i="3" a="1"/>
  <c r="T18" i="3" s="1"/>
  <c r="R18" i="3" a="1"/>
  <c r="R18" i="3" s="1"/>
  <c r="V18" i="3" a="1"/>
  <c r="V18" i="3" s="1"/>
  <c r="Q14" i="3" a="1"/>
  <c r="Q14" i="3" s="1"/>
  <c r="U14" i="3" a="1"/>
  <c r="U14" i="3" s="1"/>
  <c r="V14" i="3" a="1"/>
  <c r="V14" i="3" s="1"/>
  <c r="R10" i="3" a="1"/>
  <c r="R10" i="3" s="1"/>
  <c r="U18" i="3" a="1"/>
  <c r="U18" i="3" s="1"/>
  <c r="X14" i="3" a="1"/>
  <c r="X14" i="3" s="1"/>
  <c r="O33" i="4" l="1"/>
  <c r="O34" i="4" s="1"/>
  <c r="P33" i="4"/>
  <c r="AB22" i="3"/>
  <c r="AB21" i="3"/>
  <c r="AB20" i="3"/>
  <c r="AB18" i="3"/>
  <c r="AB15" i="3"/>
  <c r="O7" i="3" l="1"/>
  <c r="O8" i="3"/>
  <c r="O13" i="3"/>
  <c r="O17" i="3"/>
  <c r="O6" i="3"/>
  <c r="O9" i="3"/>
  <c r="O11" i="3"/>
  <c r="O12" i="3"/>
  <c r="O19" i="3"/>
  <c r="Z13" i="3" l="1" a="1"/>
  <c r="Z13" i="3" s="1"/>
  <c r="AB13" i="3" s="1"/>
  <c r="O5" i="3"/>
  <c r="Z5" i="3" s="1" a="1"/>
  <c r="Z5" i="3" s="1"/>
  <c r="AB5" i="3" s="1"/>
  <c r="T22" i="2"/>
  <c r="Z16" i="3" l="1" a="1"/>
  <c r="Z16" i="3" s="1"/>
  <c r="AB16" i="3" s="1"/>
  <c r="Z10" i="3" a="1"/>
  <c r="Z10" i="3" s="1"/>
  <c r="AB10" i="3" s="1"/>
  <c r="Z14" i="3" a="1"/>
  <c r="Z14" i="3" s="1"/>
  <c r="AB14" i="3" s="1"/>
  <c r="Z8" i="3" a="1"/>
  <c r="Z8" i="3" s="1"/>
  <c r="AB8" i="3" s="1"/>
  <c r="Z17" i="3" a="1"/>
  <c r="Z17" i="3" s="1"/>
  <c r="AB17" i="3" s="1"/>
  <c r="Z9" i="3" a="1"/>
  <c r="Z9" i="3" s="1"/>
  <c r="AB9" i="3" s="1"/>
  <c r="Z6" i="3" a="1"/>
  <c r="Z6" i="3" s="1"/>
  <c r="AB6" i="3" s="1"/>
  <c r="Z12" i="3" a="1"/>
  <c r="Z12" i="3" s="1"/>
  <c r="AB12" i="3" s="1"/>
  <c r="Z11" i="3" a="1"/>
  <c r="Z11" i="3" s="1"/>
  <c r="AB11" i="3" s="1"/>
  <c r="Z7" i="3" a="1"/>
  <c r="Z7" i="3" s="1"/>
  <c r="AB7" i="3" s="1"/>
  <c r="Z19" i="3" a="1"/>
  <c r="Z19" i="3" s="1"/>
  <c r="AB19" i="3" s="1"/>
  <c r="AC15" i="3" l="1" a="1"/>
  <c r="AC15" i="3" s="1"/>
  <c r="AD15" i="3" s="1"/>
  <c r="AC19" i="3" a="1"/>
  <c r="AC19" i="3" s="1"/>
  <c r="AD19" i="3" s="1"/>
  <c r="AC22" i="3" a="1"/>
  <c r="AC22" i="3" s="1"/>
  <c r="AD22" i="3" s="1"/>
  <c r="AC12" i="3" a="1"/>
  <c r="AC12" i="3" s="1"/>
  <c r="AD12" i="3" s="1"/>
  <c r="AC17" i="3" a="1"/>
  <c r="AC17" i="3" s="1"/>
  <c r="AD17" i="3" s="1"/>
  <c r="AC5" i="3" a="1"/>
  <c r="AC5" i="3" s="1"/>
  <c r="AD5" i="3" s="1"/>
  <c r="AC7" i="3" a="1"/>
  <c r="AC7" i="3" s="1"/>
  <c r="AD7" i="3" s="1"/>
  <c r="AC6" i="3" a="1"/>
  <c r="AC6" i="3" s="1"/>
  <c r="AD6" i="3" s="1"/>
  <c r="AC11" i="3" a="1"/>
  <c r="AC11" i="3" s="1"/>
  <c r="AD11" i="3" s="1"/>
  <c r="AC13" i="3" a="1"/>
  <c r="AC13" i="3" s="1"/>
  <c r="AD13" i="3" s="1"/>
  <c r="AC21" i="3" a="1"/>
  <c r="AC21" i="3" s="1"/>
  <c r="AD21" i="3" s="1"/>
  <c r="AC18" i="3" a="1"/>
  <c r="AC18" i="3" s="1"/>
  <c r="AD18" i="3" s="1"/>
  <c r="AC9" i="3" a="1"/>
  <c r="AC9" i="3" s="1"/>
  <c r="AD9" i="3" s="1"/>
  <c r="AC14" i="3" a="1"/>
  <c r="AC14" i="3" s="1"/>
  <c r="AD14" i="3" s="1"/>
  <c r="AC20" i="3" a="1"/>
  <c r="AC20" i="3" s="1"/>
  <c r="AD20" i="3" s="1"/>
  <c r="AC16" i="3" a="1"/>
  <c r="AC16" i="3" s="1"/>
  <c r="AD16" i="3" s="1"/>
  <c r="AC8" i="3" a="1"/>
  <c r="AC8" i="3" s="1"/>
  <c r="AD8" i="3" s="1"/>
  <c r="AC10" i="3" a="1"/>
  <c r="AC10" i="3" s="1"/>
  <c r="AD10" i="3" s="1"/>
  <c r="B37" i="1" l="1"/>
  <c r="B36" i="1"/>
  <c r="B35" i="1"/>
  <c r="B38" i="1" l="1"/>
  <c r="D36" i="1" s="1"/>
  <c r="C36" i="1"/>
  <c r="AE11" i="3" s="1"/>
  <c r="AF11" i="3" s="1"/>
  <c r="AH11" i="3" s="1"/>
  <c r="AE8" i="3"/>
  <c r="AF8" i="3" s="1"/>
  <c r="AE19" i="3"/>
  <c r="AF19" i="3" s="1"/>
  <c r="C37" i="1"/>
  <c r="C35" i="1"/>
  <c r="D35" i="1" l="1"/>
  <c r="D37" i="1"/>
  <c r="AE20" i="3"/>
  <c r="AF20" i="3" s="1"/>
  <c r="AH20" i="3" s="1"/>
  <c r="AE16" i="3"/>
  <c r="AF16" i="3" s="1"/>
  <c r="AG16" i="3" s="1"/>
  <c r="AE14" i="3"/>
  <c r="AF14" i="3" s="1"/>
  <c r="AG14" i="3" s="1"/>
  <c r="AE13" i="3"/>
  <c r="AF13" i="3" s="1"/>
  <c r="AH13" i="3" s="1"/>
  <c r="AE7" i="3"/>
  <c r="AF7" i="3" s="1"/>
  <c r="AG7" i="3" s="1"/>
  <c r="AE17" i="3"/>
  <c r="AF17" i="3" s="1"/>
  <c r="AG17" i="3" s="1"/>
  <c r="AE18" i="3"/>
  <c r="AF18" i="3" s="1"/>
  <c r="AH18" i="3" s="1"/>
  <c r="AE12" i="3"/>
  <c r="AF12" i="3" s="1"/>
  <c r="AH12" i="3" s="1"/>
  <c r="AE10" i="3"/>
  <c r="AF10" i="3" s="1"/>
  <c r="AG10" i="3" s="1"/>
  <c r="AE15" i="3"/>
  <c r="AF15" i="3" s="1"/>
  <c r="AG15" i="3" s="1"/>
  <c r="AG11" i="3"/>
  <c r="Q21" i="4" s="1"/>
  <c r="AH8" i="3"/>
  <c r="AG8" i="3"/>
  <c r="AE22" i="3"/>
  <c r="AF22" i="3" s="1"/>
  <c r="AE21" i="3"/>
  <c r="AF21" i="3" s="1"/>
  <c r="AG19" i="3"/>
  <c r="AH19" i="3"/>
  <c r="AE6" i="3"/>
  <c r="AF6" i="3" s="1"/>
  <c r="AE5" i="3"/>
  <c r="AF5" i="3" s="1"/>
  <c r="AE9" i="3"/>
  <c r="AF9" i="3" s="1"/>
  <c r="C38" i="1"/>
  <c r="AG20" i="3" l="1"/>
  <c r="AH16" i="3"/>
  <c r="AH14" i="3"/>
  <c r="AH17" i="3"/>
  <c r="AG13" i="3"/>
  <c r="Q23" i="4" s="1"/>
  <c r="AG12" i="3"/>
  <c r="AH7" i="3"/>
  <c r="AH15" i="3"/>
  <c r="AG18" i="3"/>
  <c r="Q28" i="4" s="1"/>
  <c r="AH10" i="3"/>
  <c r="Q17" i="4"/>
  <c r="Q27" i="4"/>
  <c r="Q25" i="4"/>
  <c r="Q29" i="4"/>
  <c r="AF23" i="3"/>
  <c r="AH5" i="3"/>
  <c r="AG5" i="3"/>
  <c r="Q30" i="4"/>
  <c r="AG21" i="3"/>
  <c r="AH21" i="3"/>
  <c r="Q18" i="4"/>
  <c r="Q24" i="4"/>
  <c r="Q26" i="4"/>
  <c r="AG9" i="3"/>
  <c r="AH9" i="3"/>
  <c r="Q20" i="4"/>
  <c r="AH6" i="3"/>
  <c r="AG6" i="3"/>
  <c r="Q22" i="4"/>
  <c r="AH22" i="3"/>
  <c r="AG22" i="3"/>
  <c r="AH23" i="3" l="1"/>
  <c r="Q31" i="4"/>
  <c r="Q32" i="4"/>
  <c r="Q16" i="4"/>
  <c r="Q19" i="4"/>
  <c r="Q15" i="4"/>
  <c r="AG23" i="3"/>
  <c r="AI15" i="3" s="1" a="1"/>
  <c r="AI15" i="3" s="1"/>
  <c r="AI19" i="3" l="1" a="1"/>
  <c r="AI19" i="3" s="1"/>
  <c r="AI11" i="3" a="1"/>
  <c r="AI11" i="3" s="1"/>
  <c r="AI5" i="3" a="1"/>
  <c r="AI5" i="3" s="1"/>
  <c r="AI9" i="3" a="1"/>
  <c r="AI9" i="3" s="1"/>
  <c r="AI22" i="3" a="1"/>
  <c r="AI22" i="3" s="1"/>
  <c r="AI21" i="3" a="1"/>
  <c r="AI21" i="3" s="1"/>
  <c r="AI10" i="3" a="1"/>
  <c r="AI10" i="3" s="1"/>
  <c r="AI12" i="3" a="1"/>
  <c r="AI12" i="3" s="1"/>
  <c r="AI16" i="3" a="1"/>
  <c r="AI16" i="3" s="1"/>
  <c r="AI14" i="3" a="1"/>
  <c r="AI14" i="3" s="1"/>
  <c r="AI17" i="3" a="1"/>
  <c r="AI17" i="3" s="1"/>
  <c r="Q33" i="4"/>
  <c r="AI13" i="3" a="1"/>
  <c r="AI13" i="3" s="1"/>
  <c r="AI18" i="3" a="1"/>
  <c r="AI18" i="3" s="1"/>
  <c r="AI6" i="3" a="1"/>
  <c r="AI6" i="3" s="1"/>
  <c r="AI7" i="3" a="1"/>
  <c r="AI7" i="3" s="1"/>
  <c r="AI20" i="3" a="1"/>
  <c r="AI20" i="3" s="1"/>
  <c r="AI8" i="3" a="1"/>
  <c r="AI8" i="3" s="1"/>
  <c r="Q34" i="4" l="1"/>
  <c r="AI23" i="3"/>
  <c r="C19" i="12" l="1"/>
  <c r="C7" i="12"/>
  <c r="C22" i="12"/>
  <c r="C16" i="12"/>
  <c r="C9" i="12"/>
  <c r="C11" i="12"/>
  <c r="C18" i="12"/>
  <c r="C14" i="12"/>
  <c r="C20" i="12"/>
  <c r="C6" i="12"/>
  <c r="C10" i="12"/>
  <c r="C15" i="12"/>
  <c r="C13" i="12"/>
  <c r="C12" i="12"/>
  <c r="C8" i="12"/>
  <c r="C21" i="12"/>
  <c r="C17" i="12"/>
  <c r="C5" i="12"/>
  <c r="C25" i="14" l="1"/>
  <c r="I13" i="14" s="1"/>
  <c r="N14" i="12" s="1"/>
  <c r="B37" i="13"/>
  <c r="V15" i="13" s="1"/>
  <c r="C23" i="12"/>
  <c r="L18" i="12"/>
  <c r="L7" i="12"/>
  <c r="L20" i="12"/>
  <c r="L10" i="12"/>
  <c r="L22" i="12"/>
  <c r="L14" i="12"/>
  <c r="L9" i="12"/>
  <c r="L8" i="12"/>
  <c r="L5" i="12"/>
  <c r="L12" i="12"/>
  <c r="L17" i="12"/>
  <c r="L13" i="12"/>
  <c r="L11" i="12"/>
  <c r="L19" i="12"/>
  <c r="L6" i="12"/>
  <c r="L15" i="12"/>
  <c r="L21" i="12"/>
  <c r="L16" i="12"/>
  <c r="I4" i="14" l="1"/>
  <c r="I9" i="14"/>
  <c r="N10" i="12" s="1"/>
  <c r="I7" i="14"/>
  <c r="N8" i="12" s="1"/>
  <c r="I8" i="14"/>
  <c r="N9" i="12" s="1"/>
  <c r="I17" i="14"/>
  <c r="N18" i="12" s="1"/>
  <c r="I19" i="14"/>
  <c r="N20" i="12" s="1"/>
  <c r="I21" i="14"/>
  <c r="N22" i="12" s="1"/>
  <c r="I11" i="14"/>
  <c r="N12" i="12" s="1"/>
  <c r="I15" i="14"/>
  <c r="N16" i="12" s="1"/>
  <c r="I5" i="14"/>
  <c r="N6" i="12" s="1"/>
  <c r="V32" i="13"/>
  <c r="M22" i="12" s="1"/>
  <c r="V18" i="13"/>
  <c r="M13" i="12" s="1"/>
  <c r="V16" i="13"/>
  <c r="M14" i="12" s="1"/>
  <c r="O14" i="12" s="1"/>
  <c r="Q14" i="12" s="1"/>
  <c r="V27" i="13"/>
  <c r="M7" i="12" s="1"/>
  <c r="V19" i="13"/>
  <c r="M12" i="12" s="1"/>
  <c r="V28" i="13"/>
  <c r="M9" i="12" s="1"/>
  <c r="O9" i="12" s="1"/>
  <c r="V21" i="13"/>
  <c r="M17" i="12" s="1"/>
  <c r="V25" i="13"/>
  <c r="M6" i="12" s="1"/>
  <c r="I20" i="14"/>
  <c r="N21" i="12" s="1"/>
  <c r="I6" i="14"/>
  <c r="N7" i="12" s="1"/>
  <c r="I18" i="14"/>
  <c r="N19" i="12" s="1"/>
  <c r="I10" i="14"/>
  <c r="N11" i="12" s="1"/>
  <c r="V23" i="13"/>
  <c r="M18" i="12" s="1"/>
  <c r="V24" i="13"/>
  <c r="M15" i="12" s="1"/>
  <c r="V20" i="13"/>
  <c r="M8" i="12" s="1"/>
  <c r="V26" i="13"/>
  <c r="M16" i="12" s="1"/>
  <c r="I12" i="14"/>
  <c r="N13" i="12" s="1"/>
  <c r="I16" i="14"/>
  <c r="N17" i="12" s="1"/>
  <c r="I14" i="14"/>
  <c r="N15" i="12" s="1"/>
  <c r="V31" i="13"/>
  <c r="M20" i="12" s="1"/>
  <c r="O20" i="12" s="1"/>
  <c r="V22" i="13"/>
  <c r="M10" i="12" s="1"/>
  <c r="V30" i="13"/>
  <c r="M5" i="12" s="1"/>
  <c r="V29" i="13"/>
  <c r="M11" i="12" s="1"/>
  <c r="V17" i="13"/>
  <c r="M21" i="12" s="1"/>
  <c r="L23" i="12"/>
  <c r="M19" i="12"/>
  <c r="N5" i="12"/>
  <c r="O22" i="12" l="1"/>
  <c r="Q22" i="12" s="1"/>
  <c r="O10" i="12"/>
  <c r="P10" i="12" s="1"/>
  <c r="R20" i="4" s="1"/>
  <c r="O18" i="12"/>
  <c r="O8" i="12"/>
  <c r="P8" i="12" s="1"/>
  <c r="R18" i="4" s="1"/>
  <c r="O16" i="12"/>
  <c r="P16" i="12" s="1"/>
  <c r="R26" i="4" s="1"/>
  <c r="O7" i="12"/>
  <c r="Q7" i="12" s="1"/>
  <c r="O21" i="12"/>
  <c r="Q21" i="12" s="1"/>
  <c r="O19" i="12"/>
  <c r="O11" i="12"/>
  <c r="P11" i="12" s="1"/>
  <c r="R21" i="4" s="1"/>
  <c r="O12" i="12"/>
  <c r="P12" i="12" s="1"/>
  <c r="R22" i="4" s="1"/>
  <c r="O15" i="12"/>
  <c r="P15" i="12" s="1"/>
  <c r="R25" i="4" s="1"/>
  <c r="O17" i="12"/>
  <c r="P17" i="12" s="1"/>
  <c r="R27" i="4" s="1"/>
  <c r="O6" i="12"/>
  <c r="Q6" i="12" s="1"/>
  <c r="O5" i="12"/>
  <c r="O13" i="12"/>
  <c r="P13" i="12" s="1"/>
  <c r="R23" i="4" s="1"/>
  <c r="Q10" i="12"/>
  <c r="P20" i="12"/>
  <c r="R30" i="4" s="1"/>
  <c r="P9" i="12"/>
  <c r="R19" i="4" s="1"/>
  <c r="V33" i="13"/>
  <c r="M23" i="12"/>
  <c r="Q18" i="12"/>
  <c r="I22" i="14"/>
  <c r="N23" i="12"/>
  <c r="P19" i="12"/>
  <c r="R29" i="4" s="1"/>
  <c r="Q20" i="12"/>
  <c r="P14" i="12"/>
  <c r="R24" i="4" s="1"/>
  <c r="P22" i="12"/>
  <c r="R32" i="4" s="1"/>
  <c r="Q8" i="12" l="1"/>
  <c r="P6" i="12"/>
  <c r="R16" i="4" s="1"/>
  <c r="S16" i="4" s="1"/>
  <c r="T16" i="4" s="1"/>
  <c r="X16" i="4" s="1"/>
  <c r="Q13" i="12"/>
  <c r="O23" i="12"/>
  <c r="O24" i="12" s="1"/>
  <c r="S30" i="4"/>
  <c r="T30" i="4" s="1"/>
  <c r="AF30" i="4" s="1"/>
  <c r="AG30" i="4" s="1"/>
  <c r="S20" i="4"/>
  <c r="T20" i="4" s="1"/>
  <c r="AF20" i="4" s="1"/>
  <c r="AG20" i="4" s="1"/>
  <c r="Q17" i="12"/>
  <c r="P21" i="12"/>
  <c r="R31" i="4" s="1"/>
  <c r="Q15" i="12"/>
  <c r="P7" i="12"/>
  <c r="R17" i="4" s="1"/>
  <c r="Q11" i="12"/>
  <c r="Q12" i="12"/>
  <c r="Q16" i="12"/>
  <c r="Q9" i="12"/>
  <c r="S24" i="4"/>
  <c r="T24" i="4" s="1"/>
  <c r="X24" i="4" s="1"/>
  <c r="S32" i="4"/>
  <c r="T32" i="4" s="1"/>
  <c r="X32" i="4" s="1"/>
  <c r="P18" i="12"/>
  <c r="R28" i="4" s="1"/>
  <c r="S18" i="4"/>
  <c r="T18" i="4" s="1"/>
  <c r="Q19" i="12"/>
  <c r="S29" i="4" s="1"/>
  <c r="T29" i="4" s="1"/>
  <c r="X29" i="4" s="1"/>
  <c r="Q5" i="12"/>
  <c r="P5" i="12"/>
  <c r="R15" i="4" s="1"/>
  <c r="Z24" i="4" l="1"/>
  <c r="Z32" i="4"/>
  <c r="Z29" i="4"/>
  <c r="Z16" i="4"/>
  <c r="R33" i="4"/>
  <c r="R34" i="4" s="1"/>
  <c r="S23" i="4"/>
  <c r="T23" i="4" s="1"/>
  <c r="AF23" i="4" s="1"/>
  <c r="AG23" i="4" s="1"/>
  <c r="S26" i="4"/>
  <c r="T26" i="4" s="1"/>
  <c r="S25" i="4"/>
  <c r="T25" i="4" s="1"/>
  <c r="X25" i="4" s="1"/>
  <c r="S19" i="4"/>
  <c r="T19" i="4" s="1"/>
  <c r="S22" i="4"/>
  <c r="T22" i="4" s="1"/>
  <c r="X22" i="4" s="1"/>
  <c r="S21" i="4"/>
  <c r="T21" i="4" s="1"/>
  <c r="X21" i="4" s="1"/>
  <c r="S27" i="4"/>
  <c r="T27" i="4" s="1"/>
  <c r="AF27" i="4" s="1"/>
  <c r="AG27" i="4" s="1"/>
  <c r="X30" i="4"/>
  <c r="X20" i="4"/>
  <c r="S31" i="4"/>
  <c r="T31" i="4" s="1"/>
  <c r="X31" i="4" s="1"/>
  <c r="AF24" i="4"/>
  <c r="AG24" i="4" s="1"/>
  <c r="AF32" i="4"/>
  <c r="AG32" i="4" s="1"/>
  <c r="S17" i="4"/>
  <c r="T17" i="4" s="1"/>
  <c r="X17" i="4" s="1"/>
  <c r="Q23" i="12"/>
  <c r="Q24" i="12" s="1"/>
  <c r="AF29" i="4"/>
  <c r="AG29" i="4" s="1"/>
  <c r="AF18" i="4"/>
  <c r="AG18" i="4" s="1"/>
  <c r="X18" i="4"/>
  <c r="S28" i="4"/>
  <c r="T28" i="4" s="1"/>
  <c r="AF16" i="4"/>
  <c r="AG16" i="4" s="1"/>
  <c r="P23" i="12"/>
  <c r="P24" i="12" s="1"/>
  <c r="Z30" i="4" l="1"/>
  <c r="Z25" i="4"/>
  <c r="Z31" i="4"/>
  <c r="Z18" i="4"/>
  <c r="Z20" i="4"/>
  <c r="Z21" i="4"/>
  <c r="Z17" i="4"/>
  <c r="Z22" i="4"/>
  <c r="X23" i="4"/>
  <c r="X27" i="4"/>
  <c r="AF22" i="4"/>
  <c r="AG22" i="4" s="1"/>
  <c r="AF31" i="4"/>
  <c r="AG31" i="4" s="1"/>
  <c r="AF25" i="4"/>
  <c r="AG25" i="4" s="1"/>
  <c r="AF21" i="4"/>
  <c r="AG21" i="4" s="1"/>
  <c r="AF19" i="4"/>
  <c r="AG19" i="4" s="1"/>
  <c r="X19" i="4"/>
  <c r="X26" i="4"/>
  <c r="AF26" i="4"/>
  <c r="AG26" i="4" s="1"/>
  <c r="AF17" i="4"/>
  <c r="AG17" i="4" s="1"/>
  <c r="AF28" i="4"/>
  <c r="AG28" i="4" s="1"/>
  <c r="X28" i="4"/>
  <c r="S15" i="4"/>
  <c r="Z28" i="4" l="1"/>
  <c r="Z19" i="4"/>
  <c r="Z27" i="4"/>
  <c r="Z26" i="4"/>
  <c r="Z23" i="4"/>
  <c r="S33" i="4"/>
  <c r="T15" i="4"/>
  <c r="X15" i="4" l="1"/>
  <c r="AF15" i="4"/>
  <c r="T33" i="4"/>
  <c r="X33" i="4" l="1"/>
  <c r="Y33" i="4"/>
  <c r="B54" i="4" s="1"/>
  <c r="B55" i="4" s="1"/>
  <c r="X34" i="4"/>
  <c r="AF33" i="4"/>
  <c r="AF34" i="4" s="1"/>
  <c r="AG15" i="4"/>
  <c r="Z15" i="4" l="1"/>
  <c r="Z33" i="4" s="1"/>
  <c r="C54" i="4" s="1"/>
  <c r="C55" i="4" s="1"/>
  <c r="AG33" i="4"/>
  <c r="AH15" i="4" s="1"/>
  <c r="AG34" i="4" l="1"/>
  <c r="AH25" i="4"/>
  <c r="AH28" i="4"/>
  <c r="AH24" i="4"/>
  <c r="AH27" i="4"/>
  <c r="AH21" i="4"/>
  <c r="AH17" i="4"/>
  <c r="AH30" i="4"/>
  <c r="AH26" i="4"/>
  <c r="AH22" i="4"/>
  <c r="AH20" i="4"/>
  <c r="AH23" i="4"/>
  <c r="AH31" i="4"/>
  <c r="AH19" i="4"/>
  <c r="AH32" i="4"/>
  <c r="AH18" i="4"/>
  <c r="AH16" i="4"/>
  <c r="AH29" i="4"/>
  <c r="AH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Nuñez Cisternas</author>
  </authors>
  <commentList>
    <comment ref="L37" authorId="0" shapeId="0" xr:uid="{FDDB5251-A78E-4164-915F-8C9AA596E15A}">
      <text>
        <r>
          <rPr>
            <sz val="9"/>
            <color indexed="81"/>
            <rFont val="Tahoma"/>
            <family val="2"/>
          </rPr>
          <t>Viene dado en la Ley de Presupuesto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Nuñez Cisternas</author>
  </authors>
  <commentList>
    <comment ref="Z4" authorId="0" shapeId="0" xr:uid="{3DEC4823-FE3F-4EF1-9BCB-3032C91D36D6}">
      <text>
        <r>
          <rPr>
            <b/>
            <sz val="9"/>
            <color indexed="81"/>
            <rFont val="Tahoma"/>
            <family val="2"/>
          </rPr>
          <t>Paola Andrea Nuñez Cisternas:</t>
        </r>
        <r>
          <rPr>
            <sz val="9"/>
            <color indexed="81"/>
            <rFont val="Tahoma"/>
            <family val="2"/>
          </rPr>
          <t xml:space="preserve">
Publicaciones Scopus
</t>
        </r>
      </text>
    </comment>
  </commentList>
</comments>
</file>

<file path=xl/sharedStrings.xml><?xml version="1.0" encoding="utf-8"?>
<sst xmlns="http://schemas.openxmlformats.org/spreadsheetml/2006/main" count="1005" uniqueCount="442">
  <si>
    <t>Total general</t>
  </si>
  <si>
    <t>Cod</t>
  </si>
  <si>
    <t>UCH</t>
  </si>
  <si>
    <t>USA</t>
  </si>
  <si>
    <t>UVA</t>
  </si>
  <si>
    <t>TAL</t>
  </si>
  <si>
    <t>FRO</t>
  </si>
  <si>
    <t>ULS</t>
  </si>
  <si>
    <t>UBB</t>
  </si>
  <si>
    <t>ANT</t>
  </si>
  <si>
    <t>UTA</t>
  </si>
  <si>
    <t>Institución</t>
  </si>
  <si>
    <t>UNIVERSIDAD DE CHILE</t>
  </si>
  <si>
    <t>UNIVERSIDAD DE SANTIAGO DE CHILE</t>
  </si>
  <si>
    <t>UNIVERSIDAD DE VALPARAÍSO</t>
  </si>
  <si>
    <t>UNIVERSIDAD DE TALCA</t>
  </si>
  <si>
    <t>UNIVERSIDAD DE LA FRONTERA</t>
  </si>
  <si>
    <t>UNIVERSIDAD DE LA SERENA</t>
  </si>
  <si>
    <t>UNIVERSIDAD DEL BÍO-BÍO</t>
  </si>
  <si>
    <t>UNIVERSIDAD DE ANTOFAGASTA</t>
  </si>
  <si>
    <t>UNIVERSIDAD DE TARAPACÁ</t>
  </si>
  <si>
    <t>Tipo IES</t>
  </si>
  <si>
    <t>CRUCH-ESTATAL</t>
  </si>
  <si>
    <t>UAP</t>
  </si>
  <si>
    <t>ATA</t>
  </si>
  <si>
    <t>ULA</t>
  </si>
  <si>
    <t>MAG</t>
  </si>
  <si>
    <t>UPA</t>
  </si>
  <si>
    <t>UMC</t>
  </si>
  <si>
    <t>UTM</t>
  </si>
  <si>
    <t>UNIVERSIDAD ARTURO PRAT</t>
  </si>
  <si>
    <t>UNIVERSIDAD DE ATACAMA</t>
  </si>
  <si>
    <t>UNIVERSIDAD DE LOS LAGOS</t>
  </si>
  <si>
    <t>UNIVERSIDAD DE MAGALLANES</t>
  </si>
  <si>
    <t>UNIVERSIDAD DE PLAYA ANCHA CS. EDUCACIÓN</t>
  </si>
  <si>
    <t>UNIVERSIDAD METROPOLITANA DE CS.DE LA EDUCACIÓN</t>
  </si>
  <si>
    <t>UNIVERSIDAD TECNOLÓGICA METROPOLITANA</t>
  </si>
  <si>
    <t>Total Conjunto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</si>
  <si>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</si>
  <si>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</si>
  <si>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</si>
  <si>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</si>
  <si>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</si>
  <si>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</si>
  <si>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</si>
  <si>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</si>
  <si>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</si>
  <si>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</si>
  <si>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</si>
  <si>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</si>
  <si>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</si>
  <si>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</si>
  <si>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</si>
  <si>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</si>
  <si>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</si>
  <si>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</si>
  <si>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</si>
  <si>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</si>
  <si>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</si>
  <si>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</si>
  <si>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</si>
  <si>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</si>
  <si>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</si>
  <si>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</si>
  <si>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</si>
  <si>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CRUCH-ESTATALCategoría I</t>
  </si>
  <si>
    <t>CRUCH-ESTATALCategoría II</t>
  </si>
  <si>
    <t>CRUCH-ESTATALCategoría III</t>
  </si>
  <si>
    <t>Factor</t>
  </si>
  <si>
    <t>Concatenar</t>
  </si>
  <si>
    <t>N° IES</t>
  </si>
  <si>
    <t>Montos</t>
  </si>
  <si>
    <t>Estatal</t>
  </si>
  <si>
    <t>M$</t>
  </si>
  <si>
    <t>Monto Categ</t>
  </si>
  <si>
    <t>AFI 2016</t>
  </si>
  <si>
    <t>Acreditación</t>
  </si>
  <si>
    <t>Total Elemento Mixto</t>
  </si>
  <si>
    <t>Elemento Desempeño</t>
  </si>
  <si>
    <t>% Por tipo de IES</t>
  </si>
  <si>
    <t>Monto por Tipo IES-Categoría</t>
  </si>
  <si>
    <t>Suma Promedio por Tipo IES-Categoría</t>
  </si>
  <si>
    <t>Total por IES</t>
  </si>
  <si>
    <t>Redondear por IES</t>
  </si>
  <si>
    <t>16/19</t>
  </si>
  <si>
    <t>(20+21)/4)</t>
  </si>
  <si>
    <t>Redondear</t>
  </si>
  <si>
    <t>% por IES</t>
  </si>
  <si>
    <t>U. DE O'HIGGINS</t>
  </si>
  <si>
    <t>URO</t>
  </si>
  <si>
    <t>U. DE AYSÉN</t>
  </si>
  <si>
    <t>URY</t>
  </si>
  <si>
    <t>Categoría III</t>
  </si>
  <si>
    <t>Tutoras
Universidades
M$</t>
  </si>
  <si>
    <t>Tutoras
CFT
M$</t>
  </si>
  <si>
    <t>Tutora Universidades</t>
  </si>
  <si>
    <t>Tutora CFT</t>
  </si>
  <si>
    <t>Tipos IES</t>
  </si>
  <si>
    <t>Complejidad Institucional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</si>
  <si>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</si>
  <si>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</si>
  <si>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</si>
  <si>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</si>
  <si>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</si>
  <si>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</si>
  <si>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</si>
  <si>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</si>
  <si>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</si>
  <si>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Total Complejidad</t>
  </si>
  <si>
    <t>UNIVERSIDAD DE PLAYA ANCHA DE CIENCIAS DE LA EDUCACIÓN</t>
  </si>
  <si>
    <t>UNIVERSIDAD METROPOLITANA DE CIENCIAS DE LA EDUCACIÓN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</si>
  <si>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</si>
  <si>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</si>
  <si>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</si>
  <si>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</si>
  <si>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</si>
  <si>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</si>
  <si>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UNIVERSIDAD DE TARAPACA</t>
  </si>
  <si>
    <t>UNIVERSIDAD DE VALPARAISO</t>
  </si>
  <si>
    <t>UNIVERSIDAD DEL BIO-BIO</t>
  </si>
  <si>
    <t>UNIVERSIDAD DE PLAYA ANCHA DE CIENCIAS DE LA EDUCACION</t>
  </si>
  <si>
    <t>UNIVERSIDAD METROPOLITANA DE CIENCIAS DE LA EDUCACION</t>
  </si>
  <si>
    <t>UNIVERSIDAD TECNOLOGICA METROPOLITANA</t>
  </si>
  <si>
    <t>Monto Acreditaciones</t>
  </si>
  <si>
    <t>Monto Académicos JC Doctorado</t>
  </si>
  <si>
    <t>N° Doctorados Acreditados</t>
  </si>
  <si>
    <t>UNIVERSIDAD DE O'HIGGINS</t>
  </si>
  <si>
    <t>UNIVERSIDAD DE AYSÉN</t>
  </si>
  <si>
    <t>AFI 2016 Reajustado</t>
  </si>
  <si>
    <t>Redondeado
M$</t>
  </si>
  <si>
    <t>Total Asignación
M$</t>
  </si>
  <si>
    <t>Elemento Mixto</t>
  </si>
  <si>
    <t>Doctorado Conjunto Años Acreditación</t>
  </si>
  <si>
    <t>Doctorado Individual Años Acreditación</t>
  </si>
  <si>
    <t>Total individual</t>
  </si>
  <si>
    <t>Total General</t>
  </si>
  <si>
    <t>Conj &gt;=5 años</t>
  </si>
  <si>
    <t>Transferencias Corrientes</t>
  </si>
  <si>
    <t>Transferencias de Capital</t>
  </si>
  <si>
    <t>AIUE-Universidades Estatales</t>
  </si>
  <si>
    <t>CÁLCULO AIUE, CATEGORÍAS</t>
  </si>
  <si>
    <t>Indicadores y Montos AIUE</t>
  </si>
  <si>
    <t>a)</t>
  </si>
  <si>
    <t>a.1)</t>
  </si>
  <si>
    <t>a.2)</t>
  </si>
  <si>
    <t>a.3)</t>
  </si>
  <si>
    <t>a.4)</t>
  </si>
  <si>
    <t>AFI 2016 Reajustado 3,5%</t>
  </si>
  <si>
    <t>b.1)</t>
  </si>
  <si>
    <t>b.2)</t>
  </si>
  <si>
    <t>b.3)</t>
  </si>
  <si>
    <t>b.4)</t>
  </si>
  <si>
    <t>b.5)</t>
  </si>
  <si>
    <t>b.6)</t>
  </si>
  <si>
    <t>b.7)</t>
  </si>
  <si>
    <t>b.8)</t>
  </si>
  <si>
    <t>c.1)</t>
  </si>
  <si>
    <t>c.2)</t>
  </si>
  <si>
    <t>c.3)</t>
  </si>
  <si>
    <t>c.4)</t>
  </si>
  <si>
    <t>d.1)</t>
  </si>
  <si>
    <t>d.2)</t>
  </si>
  <si>
    <t>d.3)</t>
  </si>
  <si>
    <t>d.4)</t>
  </si>
  <si>
    <t>e.1)</t>
  </si>
  <si>
    <t>e.2)</t>
  </si>
  <si>
    <t>e.3)</t>
  </si>
  <si>
    <t>e.4)</t>
  </si>
  <si>
    <t>f.1)</t>
  </si>
  <si>
    <t>f.2)</t>
  </si>
  <si>
    <t>f.3)</t>
  </si>
  <si>
    <t>f.4)</t>
  </si>
  <si>
    <t>AIUE</t>
  </si>
  <si>
    <t>Cod_DFI</t>
  </si>
  <si>
    <t>Total AIUE</t>
  </si>
  <si>
    <t>Titulo I: Línea General</t>
  </si>
  <si>
    <t>Actualizar</t>
  </si>
  <si>
    <t>N° Publicaciones 2022</t>
  </si>
  <si>
    <t>TOTAL MAT PhD 2016</t>
  </si>
  <si>
    <t>Solicitud_ pat_nac_2021</t>
  </si>
  <si>
    <t>b)</t>
  </si>
  <si>
    <t>Instituciones</t>
  </si>
  <si>
    <t>U.de Chile</t>
  </si>
  <si>
    <t>U. de Santiago</t>
  </si>
  <si>
    <t>U. de Valparaíso</t>
  </si>
  <si>
    <t>U. de Antofagasta</t>
  </si>
  <si>
    <t>U. de la Serena</t>
  </si>
  <si>
    <t>U. de Bio Bio</t>
  </si>
  <si>
    <t>U. de la Frontera</t>
  </si>
  <si>
    <t>U. de Magallanes</t>
  </si>
  <si>
    <t>U. de Talca</t>
  </si>
  <si>
    <t>U. de Atacama</t>
  </si>
  <si>
    <t>U. de Tarapacá</t>
  </si>
  <si>
    <t>U. Arturo Prat</t>
  </si>
  <si>
    <t>U. Metropolitana</t>
  </si>
  <si>
    <t>U. de Playa Ancha</t>
  </si>
  <si>
    <t>U.Tecnológica Metropolitana</t>
  </si>
  <si>
    <t>U. de Los Lagos</t>
  </si>
  <si>
    <t>U. de O'Higgins</t>
  </si>
  <si>
    <t>U. de Aysén</t>
  </si>
  <si>
    <t>COD</t>
  </si>
  <si>
    <t>a) (N° Ac. JC 2021/Mat Total 2021)*100</t>
  </si>
  <si>
    <t>b) (N° JCE Doc 2021/JCE 2021)</t>
  </si>
  <si>
    <t>c) ((N° JCE Doc 2021+N° JCE Mg 2021+N° JCE Esp Med 2021)/JCE 2021)</t>
  </si>
  <si>
    <t>d) N° Public. Scopus 2021/JCE 2021</t>
  </si>
  <si>
    <t>e) N° Public. Scopus 2021/N° JCE Doc 2021</t>
  </si>
  <si>
    <t>f) (N° Citas 2017-2021)/(N° Public. Scopus 2017-2021)</t>
  </si>
  <si>
    <t>g) (N° Est 1er año Q1, Q2, Q3 2021/Mat 1er nivel 2021)</t>
  </si>
  <si>
    <t>h) (Mat 1er nivel 2020 Retenida 2021/Mat 1er nivel 2020)</t>
  </si>
  <si>
    <t>i) (Mat Ret 4° Año 2021/Mat 1er año 2018)</t>
  </si>
  <si>
    <t>j) Mat Graduados 2021 Doctorados/Mat 1er año 2017 Doctorados</t>
  </si>
  <si>
    <t>TOTAL MAT PhD 2017</t>
  </si>
  <si>
    <t>k) (N° Patentes solicitadas PCT 2021 +2020)*1000/(JCE 2021))</t>
  </si>
  <si>
    <t>Presupuesto 2024</t>
  </si>
  <si>
    <t>N° Scopus 2022</t>
  </si>
  <si>
    <t>Acreditación Investigación 2023</t>
  </si>
  <si>
    <t>Acreditación Todas las Áreas 2023</t>
  </si>
  <si>
    <t>Años Acreditación Institucional 2023</t>
  </si>
  <si>
    <t>N° Doctorados Acreditados individuales 2023</t>
  </si>
  <si>
    <t>N° Doctorados Acreditados Conjunto 5 años o más 2023</t>
  </si>
  <si>
    <t>N° Doc JC 2023 (b.1)</t>
  </si>
  <si>
    <t>N° Acad. JC 2023 (b1)</t>
  </si>
  <si>
    <t>N° Matrícula Plan Regular Pregrado 2023</t>
  </si>
  <si>
    <t>JC_2022
(c1)</t>
  </si>
  <si>
    <t>MAT_2022
(a)</t>
  </si>
  <si>
    <t>JCE Doctor 2022
©</t>
  </si>
  <si>
    <t>JCE 2022
©</t>
  </si>
  <si>
    <t>JCE Magister 2022
©</t>
  </si>
  <si>
    <t>JCE Esp. Med._Odont. 2022</t>
  </si>
  <si>
    <t>Publicaciones Scopus  (citables)
2022</t>
  </si>
  <si>
    <t>Citas Scopus 2018_2022</t>
  </si>
  <si>
    <t>Publicaciones Scopus 2018-2022 (citables)</t>
  </si>
  <si>
    <t>MAT_1año_2022 (g)</t>
  </si>
  <si>
    <t>Q1_Q2_Q3_MAT_1año_2023 (g)</t>
  </si>
  <si>
    <t>MAT_2021_Ret_1er_enMAT_2022 (h)</t>
  </si>
  <si>
    <t>MAT_2019_Ret_4to_enMAT_2022 (i.1)</t>
  </si>
  <si>
    <t>MAT_4año_2019 (i.1)</t>
  </si>
  <si>
    <t>Grad_PhD_2018 al_2022 (j)</t>
  </si>
  <si>
    <t>TOTAL MAT PhD 2018 (j)</t>
  </si>
  <si>
    <t>Solicitud_ pat_nac_2022</t>
  </si>
  <si>
    <t>I. Base</t>
  </si>
  <si>
    <t>III. Pedagogía</t>
  </si>
  <si>
    <t>MAT_2021 Primer año (h)</t>
  </si>
  <si>
    <t>TITULO I</t>
  </si>
  <si>
    <t>Título II</t>
  </si>
  <si>
    <t>TOTAL</t>
  </si>
  <si>
    <t>f)</t>
  </si>
  <si>
    <t>g)</t>
  </si>
  <si>
    <t>h)</t>
  </si>
  <si>
    <t>i)</t>
  </si>
  <si>
    <t>a) Monto</t>
  </si>
  <si>
    <t>AIUE 2023 Título I</t>
  </si>
  <si>
    <t>j)</t>
  </si>
  <si>
    <t>Promedio de año acreditación de carreras FID.</t>
  </si>
  <si>
    <t>Cantidad Matrícula FID 2023</t>
  </si>
  <si>
    <t>Cantidad Matrícula Total 2023</t>
  </si>
  <si>
    <t>% Matrícula FID respecto total matrícula</t>
  </si>
  <si>
    <t>N° Programas</t>
  </si>
  <si>
    <t>Oferta de disciplinas FID (12 disciplinas)</t>
  </si>
  <si>
    <t>Categoría Respuesta (Puntajes)</t>
  </si>
  <si>
    <t>Participación</t>
  </si>
  <si>
    <t>Criterio</t>
  </si>
  <si>
    <t>% de matricula FID, respecto del total pregrado IES</t>
  </si>
  <si>
    <t>Peso (%)</t>
  </si>
  <si>
    <t>Límite inferior</t>
  </si>
  <si>
    <t>Límite superior</t>
  </si>
  <si>
    <t>Puntaje</t>
  </si>
  <si>
    <t>Más 0% a menos 10%</t>
  </si>
  <si>
    <t>10% a menos 30%</t>
  </si>
  <si>
    <t>30% a menos 50%</t>
  </si>
  <si>
    <t>50% a menos 75%</t>
  </si>
  <si>
    <t>75% a 100%</t>
  </si>
  <si>
    <t>Puntaje Final
Matrícula</t>
  </si>
  <si>
    <t>Oferta de disciplinas FID</t>
  </si>
  <si>
    <t>N° Disciplinas</t>
  </si>
  <si>
    <t>Más 0% a menos 20%</t>
  </si>
  <si>
    <t>20% a menos 40%</t>
  </si>
  <si>
    <t>40% a menos 65%</t>
  </si>
  <si>
    <t>65% a menos 80%</t>
  </si>
  <si>
    <t>80% a 100%</t>
  </si>
  <si>
    <t>menos de 3 años de acreditación en promedio de todas las carreras FID</t>
  </si>
  <si>
    <t>3,0 a menos de 4 años de acreditación en promedio</t>
  </si>
  <si>
    <t>4,0 a menos de 5 años de acreditación en promedio</t>
  </si>
  <si>
    <t>5,0 a menos de 6 años de acreditación en promedio</t>
  </si>
  <si>
    <t>entre 6,0 y 7,0 años de acreditación en promedio de todas las carreras FID</t>
  </si>
  <si>
    <t>Suma años Acreditaciones</t>
  </si>
  <si>
    <t>Puntaje Final
Oferta de disciplinas FID</t>
  </si>
  <si>
    <t>Puntaje Final
Promedio de año acreditación de carreras FID</t>
  </si>
  <si>
    <t>Total Puntajes</t>
  </si>
  <si>
    <t>Proporción por IES Indicadores Pedagogía</t>
  </si>
  <si>
    <t>Monto por IES en M$</t>
  </si>
  <si>
    <t>MONTO PEDAGOGÍA</t>
  </si>
  <si>
    <t>proporción índice Matrícula</t>
  </si>
  <si>
    <t>proporción índice académicos</t>
  </si>
  <si>
    <t>Monto Índices
M$</t>
  </si>
  <si>
    <t>Indice Matrícula género
2021-2023 (Promedio)</t>
  </si>
  <si>
    <t xml:space="preserve">MONTO INDICE DIVIA </t>
  </si>
  <si>
    <t>N° de disciplinas FID que imparte la Intitución</t>
  </si>
  <si>
    <t>Indice estudiantes comparado 2019-2023</t>
  </si>
  <si>
    <t>NOMBRE INSTITUCIÓN</t>
  </si>
  <si>
    <t>Indice 2019</t>
  </si>
  <si>
    <t>Indice 2020</t>
  </si>
  <si>
    <t>Indice 2021</t>
  </si>
  <si>
    <t>Indice 2022</t>
  </si>
  <si>
    <t>Indice 2023</t>
  </si>
  <si>
    <t>Promedio 
2021-2023</t>
  </si>
  <si>
    <t>UNIVERSIDAD DE AYSEN</t>
  </si>
  <si>
    <t>COD IES</t>
  </si>
  <si>
    <t>Indice PAC comparado 2019-2023</t>
  </si>
  <si>
    <t>Promedio 2021-2023</t>
  </si>
  <si>
    <t>COD SIES</t>
  </si>
  <si>
    <t>Indicador de brecha de género, para acceso a carreras STEM y pedagogías afines.</t>
  </si>
  <si>
    <t>Indicador de brecha de género en JCE en contratación con grado de Doctor.</t>
  </si>
  <si>
    <t>Complejidad Institucional AIUE</t>
  </si>
  <si>
    <t>Elemento de Desempeño</t>
  </si>
  <si>
    <t xml:space="preserve">AFI 2016 </t>
  </si>
  <si>
    <t>AFI Total  2016 (Reajustado 3,5%)</t>
  </si>
  <si>
    <t>Tutoras CFT Estatales (50.000 c/u)</t>
  </si>
  <si>
    <t>Elemento Mixto Total</t>
  </si>
  <si>
    <t>IV. Indice Género</t>
  </si>
  <si>
    <t>Monto por IES Índice Género
M$</t>
  </si>
  <si>
    <t>Unidad de Análisis, DIVIA - SUBESUP</t>
  </si>
  <si>
    <t>Elemento de Reforzamientos</t>
  </si>
  <si>
    <t>c)</t>
  </si>
  <si>
    <t>INDICADORES DE GÉNERO</t>
  </si>
  <si>
    <t>Fuente: SIES - DIVIA, MINEDUC</t>
  </si>
  <si>
    <t>(3 hojas moradas)</t>
  </si>
  <si>
    <t>(6 hojas verde)</t>
  </si>
  <si>
    <t>(6 hojas naranjas)</t>
  </si>
  <si>
    <t>Elemento Refuerzo</t>
  </si>
  <si>
    <t>TOTAL
REFUERZO
 M$</t>
  </si>
  <si>
    <t>TOTAL
REFUERZO
Redondeado
 M$</t>
  </si>
  <si>
    <t>TOTAL
REFUERZO
Truncado
 M$</t>
  </si>
  <si>
    <t>% Matrícula DIF respecto a pregrado</t>
  </si>
  <si>
    <t>Todas las IES que tenga menos del 10% en el % Matrícula FID respecto total matrícula pregrado no participa en este cálculo</t>
  </si>
  <si>
    <t>Truncar por IES</t>
  </si>
  <si>
    <t>Total 
TITULO I
M$</t>
  </si>
  <si>
    <t>Total 
TITULO I
Sin decimales 
M$</t>
  </si>
  <si>
    <t>Total Elemento Mixto
M$</t>
  </si>
  <si>
    <t>Total Elemento Desempeño
M$</t>
  </si>
  <si>
    <t>Monto anticipo AIUE</t>
  </si>
  <si>
    <t>Porcentaje de Anticipo</t>
  </si>
  <si>
    <t>Recursos AIUE menos fondo acreditación</t>
  </si>
  <si>
    <t>Fondo de Acreditación (3 años)</t>
  </si>
  <si>
    <t>Recursos Totales Aporte Institucional U. Estatales</t>
  </si>
  <si>
    <t>Saldo Total M$</t>
  </si>
  <si>
    <t>Anticipo 2024 M$</t>
  </si>
  <si>
    <t>%</t>
  </si>
  <si>
    <t>Monto M$ Ley de Presupuestos 2024</t>
  </si>
  <si>
    <t>Decreto
N°1352-2023
Monto a Distribuir
Título II
M$</t>
  </si>
  <si>
    <t>Decreto
N°99-2023
Monto a Distribuir
Título I
M$</t>
  </si>
  <si>
    <t xml:space="preserve">Decreto 
N°26-2023
Monto a Distribuir
M$
</t>
  </si>
  <si>
    <t>Monto Transferencias de Capital
 M$</t>
  </si>
  <si>
    <t>Monto Transferencias Corrientes M$</t>
  </si>
  <si>
    <t>ANTICIPO</t>
  </si>
  <si>
    <t xml:space="preserve">Monto Anticipo 2024
(sin decimales)
M$ </t>
  </si>
  <si>
    <t>Monto Anticipo 2024
M$</t>
  </si>
  <si>
    <t>Total 
Asignación
AIUE
M$</t>
  </si>
  <si>
    <t>Monto 
TÍTULO II</t>
  </si>
  <si>
    <t>SALDO
Título I
AIUE 2023
M$</t>
  </si>
  <si>
    <t>ANTICIPO
(40%)
AIUE 2023
M$</t>
  </si>
  <si>
    <t>Total 
TÍTULO I
Sin decimales
M$</t>
  </si>
  <si>
    <t>Anticipo 2024</t>
  </si>
  <si>
    <t>TOTAL AIUE 2023</t>
  </si>
  <si>
    <t>Título II: Mejoramiento de la Calidad</t>
  </si>
  <si>
    <t>Título I: Línea General</t>
  </si>
  <si>
    <t xml:space="preserve"> Enero 2024</t>
  </si>
  <si>
    <t>Unidad de Análisis e Información, DIVIA - SUBESUP</t>
  </si>
  <si>
    <t>Miles de Pesos</t>
  </si>
  <si>
    <t>Año 2024</t>
  </si>
  <si>
    <t>Anticipo Aporte Institucional Universidades Estatales (AIUE)</t>
  </si>
  <si>
    <t>Ley de Presupuesto año 2024</t>
  </si>
  <si>
    <r>
      <t xml:space="preserve">b)  </t>
    </r>
    <r>
      <rPr>
        <sz val="8"/>
        <color theme="1"/>
        <rFont val="Aptos Narrow"/>
        <family val="2"/>
      </rPr>
      <t>↑</t>
    </r>
  </si>
  <si>
    <t>d) Matrícula Pregrado 2023</t>
  </si>
  <si>
    <t xml:space="preserve">e) </t>
  </si>
  <si>
    <t>k)</t>
  </si>
  <si>
    <t xml:space="preserve">c) Proporción </t>
  </si>
  <si>
    <t>Monto
II. Compensación per cápita
M$</t>
  </si>
  <si>
    <t>3.a.5</t>
  </si>
  <si>
    <t>3.b.4</t>
  </si>
  <si>
    <t>3.c.5</t>
  </si>
  <si>
    <r>
      <t xml:space="preserve">4.a.3  </t>
    </r>
    <r>
      <rPr>
        <sz val="8"/>
        <color theme="1"/>
        <rFont val="Aptos Narrow"/>
        <family val="2"/>
      </rPr>
      <t>↑</t>
    </r>
  </si>
  <si>
    <t>4.a.5</t>
  </si>
  <si>
    <t>4.b.5</t>
  </si>
  <si>
    <t>4.a.4</t>
  </si>
  <si>
    <t>4.b.4</t>
  </si>
  <si>
    <t>Indice Académicos género
2021-2023
(Promedio)</t>
  </si>
  <si>
    <t>Puntaje Total
Brecha género</t>
  </si>
  <si>
    <r>
      <t xml:space="preserve">4.b.3  </t>
    </r>
    <r>
      <rPr>
        <sz val="8"/>
        <color theme="1"/>
        <rFont val="Aptos Narrow"/>
        <family val="2"/>
      </rPr>
      <t>↑</t>
    </r>
  </si>
  <si>
    <t>4.a.2</t>
  </si>
  <si>
    <t>4.b.2</t>
  </si>
  <si>
    <t>AIUE 2024</t>
  </si>
  <si>
    <t>Distribución recursos por institución</t>
  </si>
  <si>
    <t>Ley de presupuestos año 2024</t>
  </si>
  <si>
    <t>Miles de pesos</t>
  </si>
  <si>
    <t>Aporte Institucional Universidades Estatales (AIUE)</t>
  </si>
  <si>
    <t>Todas las IES que tenga menos del 10% en el % Matrícula FID 1° año respecto total matrícula pregrado no participa en este cálculo</t>
  </si>
  <si>
    <r>
      <t xml:space="preserve">Cantidad Matrícula FID 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2023</t>
    </r>
  </si>
  <si>
    <t>Nota: filtro previo: programas de FID "con ingreso a primer año" en el año anterior</t>
  </si>
  <si>
    <t xml:space="preserve"> </t>
  </si>
  <si>
    <t>&gt; 0</t>
  </si>
  <si>
    <t>Monto Elemento Refuerzo</t>
  </si>
  <si>
    <t>3.b.1</t>
  </si>
  <si>
    <t>3.b.2</t>
  </si>
  <si>
    <t>I. Base (40%)</t>
  </si>
  <si>
    <t>II. Brecha per cápita (40%)</t>
  </si>
  <si>
    <t>III. Pedagogía (5%)</t>
  </si>
  <si>
    <t>IV. Indices brecha de género (15%)</t>
  </si>
  <si>
    <t>Total Elemento Refuerzo
M$</t>
  </si>
  <si>
    <t>Calidad (Acreditación)</t>
  </si>
  <si>
    <t>II. Compesanción per cápita AIUE</t>
  </si>
  <si>
    <t>proporción índice brecha bénero matrícula ponderado</t>
  </si>
  <si>
    <t>proporción índice brecha género académicos
ponderado</t>
  </si>
  <si>
    <t>Anticipo</t>
  </si>
  <si>
    <t>Saldo</t>
  </si>
  <si>
    <t>Monto Transferencias Corrientes 
M$</t>
  </si>
  <si>
    <t xml:space="preserve">Dec. N°49-2024
Monto a Distribuir
M$
</t>
  </si>
  <si>
    <t xml:space="preserve">Dex. N° 875-2024 
Monto a Distribuir
M$
</t>
  </si>
  <si>
    <t>Código DFI</t>
  </si>
  <si>
    <t>Región Universidad
(casa central)</t>
  </si>
  <si>
    <t>Región Metropolitana de Santiago</t>
  </si>
  <si>
    <t>Región de Antofagasta</t>
  </si>
  <si>
    <t>Región de La Araucanía</t>
  </si>
  <si>
    <t>Región del Maule</t>
  </si>
  <si>
    <t>Región de Arica y Parinacota</t>
  </si>
  <si>
    <t>Región de Valparaíso</t>
  </si>
  <si>
    <t>Región del Bío - Bío</t>
  </si>
  <si>
    <t>Región de Coquimbo</t>
  </si>
  <si>
    <t>Región de Tarapacá</t>
  </si>
  <si>
    <t>Región de Atacama</t>
  </si>
  <si>
    <t>Región de Los Ríos</t>
  </si>
  <si>
    <t>región de Magallanes</t>
  </si>
  <si>
    <t>Región de O'Higgins</t>
  </si>
  <si>
    <t xml:space="preserve">Región de Aysén </t>
  </si>
  <si>
    <t>Anticipo AIUE</t>
  </si>
  <si>
    <t>AIUE Calidad (Titulo II)</t>
  </si>
  <si>
    <t>Saldo AIUE</t>
  </si>
  <si>
    <t>Saldo asignaciones</t>
  </si>
  <si>
    <t>PRESUPUESTO ASIGNACION (M$)</t>
  </si>
  <si>
    <t>CONSIDERA DISCRETIZACIÓN</t>
  </si>
  <si>
    <t xml:space="preserve">Dec. N° 159-2024
Monto a Distribuir
M$
</t>
  </si>
  <si>
    <t>2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</si>
</sst>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"/>
    <numFmt numFmtId="168" formatCode="0.0000000"/>
    <numFmt numFmtId="169" formatCode="_-* #,##0.0000_-;\-* #,##0.0000_-;_-* &quot;-&quot;??_-;_-@_-"/>
    <numFmt numFmtId="170" formatCode="_-* #,##0.00\ _€_-;\-* #,##0.00\ _€_-;_-* &quot;-&quot;??\ _€_-;_-@_-"/>
    <numFmt numFmtId="171" formatCode="_-* #,##0.0_-;\-* #,##0.0_-;_-* &quot;-&quot;??_-;_-@_-"/>
    <numFmt numFmtId="172" formatCode="#,##0.0"/>
    <numFmt numFmtId="173" formatCode="_ * #,##0.0_ ;_ * \-#,##0.0_ ;_ * &quot;-&quot;?_ ;_ @_ "/>
    <numFmt numFmtId="174" formatCode="0.0%"/>
    <numFmt numFmtId="175" formatCode="0.000"/>
    <numFmt numFmtId="176" formatCode="_-* #,##0.000_-;\-* #,##0.000_-;_-* &quot;-&quot;??_-;_-@_-"/>
    <numFmt numFmtId="177" formatCode="_-* #,##0.000000_-;\-* #,##0.000000_-;_-* &quot;-&quot;??_-;_-@_-"/>
    <numFmt numFmtId="178" formatCode="#,##0.000"/>
    <numFmt numFmtId="179" formatCode="#,##0.00000"/>
    <numFmt numFmtId="180" formatCode="_-* #,##0.00000_-;\-* #,##0.00000_-;_-* &quot;-&quot;??_-;_-@_-"/>
    <numFmt numFmtId="181" formatCode="#,##0.0_ ;[Red]\-#,##0.0\ "/>
    <numFmt numFmtId="182" formatCode="#,##0.0_ ;\-#,##0.0\ "/>
    <numFmt numFmtId="183" formatCode="#,##0_ ;\-#,##0\ 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2"/>
      <color theme="1"/>
      <name val="Cambria"/>
      <family val="1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ptos Narrow"/>
      <family val="2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4" tint="0.59999389629810485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9EBE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58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wrapText="1"/>
    </xf>
    <xf numFmtId="166" fontId="2" fillId="5" borderId="0" xfId="3" applyNumberFormat="1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10" fontId="2" fillId="5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7" borderId="3" xfId="0" applyFont="1" applyFill="1" applyBorder="1"/>
    <xf numFmtId="0" fontId="1" fillId="7" borderId="0" xfId="0" applyFont="1" applyFill="1"/>
    <xf numFmtId="0" fontId="2" fillId="7" borderId="0" xfId="0" applyFont="1" applyFill="1"/>
    <xf numFmtId="0" fontId="2" fillId="9" borderId="3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165" fontId="2" fillId="10" borderId="0" xfId="0" applyNumberFormat="1" applyFont="1" applyFill="1" applyAlignment="1">
      <alignment horizontal="center" wrapText="1"/>
    </xf>
    <xf numFmtId="165" fontId="2" fillId="10" borderId="5" xfId="0" applyNumberFormat="1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67" fontId="2" fillId="5" borderId="0" xfId="0" applyNumberFormat="1" applyFont="1" applyFill="1" applyAlignment="1">
      <alignment horizontal="center" wrapText="1"/>
    </xf>
    <xf numFmtId="168" fontId="2" fillId="5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1" fillId="6" borderId="1" xfId="3" applyNumberFormat="1" applyFont="1" applyFill="1" applyBorder="1"/>
    <xf numFmtId="0" fontId="1" fillId="0" borderId="1" xfId="0" applyFont="1" applyBorder="1"/>
    <xf numFmtId="166" fontId="2" fillId="14" borderId="1" xfId="3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169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4" applyNumberFormat="1" applyFont="1" applyFill="1" applyBorder="1"/>
    <xf numFmtId="166" fontId="1" fillId="6" borderId="1" xfId="0" applyNumberFormat="1" applyFont="1" applyFill="1" applyBorder="1"/>
    <xf numFmtId="166" fontId="7" fillId="6" borderId="1" xfId="3" applyNumberFormat="1" applyFont="1" applyFill="1" applyBorder="1"/>
    <xf numFmtId="166" fontId="7" fillId="0" borderId="1" xfId="0" applyNumberFormat="1" applyFont="1" applyBorder="1"/>
    <xf numFmtId="166" fontId="7" fillId="4" borderId="1" xfId="3" applyNumberFormat="1" applyFont="1" applyFill="1" applyBorder="1"/>
    <xf numFmtId="10" fontId="7" fillId="4" borderId="2" xfId="4" applyNumberFormat="1" applyFont="1" applyFill="1" applyBorder="1"/>
    <xf numFmtId="166" fontId="7" fillId="4" borderId="1" xfId="4" applyNumberFormat="1" applyFont="1" applyFill="1" applyBorder="1"/>
    <xf numFmtId="0" fontId="1" fillId="0" borderId="2" xfId="0" applyFont="1" applyBorder="1"/>
    <xf numFmtId="0" fontId="7" fillId="4" borderId="1" xfId="0" applyFont="1" applyFill="1" applyBorder="1"/>
    <xf numFmtId="10" fontId="7" fillId="4" borderId="1" xfId="4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6" fontId="1" fillId="13" borderId="1" xfId="3" applyNumberFormat="1" applyFont="1" applyFill="1" applyBorder="1"/>
    <xf numFmtId="166" fontId="1" fillId="2" borderId="1" xfId="3" applyNumberFormat="1" applyFont="1" applyFill="1" applyBorder="1"/>
    <xf numFmtId="0" fontId="0" fillId="0" borderId="0" xfId="0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166" fontId="1" fillId="6" borderId="6" xfId="3" applyNumberFormat="1" applyFont="1" applyFill="1" applyBorder="1"/>
    <xf numFmtId="166" fontId="1" fillId="13" borderId="6" xfId="3" applyNumberFormat="1" applyFont="1" applyFill="1" applyBorder="1"/>
    <xf numFmtId="166" fontId="1" fillId="2" borderId="6" xfId="3" applyNumberFormat="1" applyFont="1" applyFill="1" applyBorder="1"/>
    <xf numFmtId="0" fontId="6" fillId="0" borderId="8" xfId="0" applyFont="1" applyBorder="1"/>
    <xf numFmtId="0" fontId="1" fillId="0" borderId="9" xfId="0" applyFont="1" applyBorder="1"/>
    <xf numFmtId="0" fontId="0" fillId="0" borderId="9" xfId="0" applyBorder="1"/>
    <xf numFmtId="166" fontId="6" fillId="6" borderId="9" xfId="3" applyNumberFormat="1" applyFont="1" applyFill="1" applyBorder="1"/>
    <xf numFmtId="166" fontId="6" fillId="13" borderId="9" xfId="3" applyNumberFormat="1" applyFont="1" applyFill="1" applyBorder="1"/>
    <xf numFmtId="166" fontId="6" fillId="2" borderId="9" xfId="3" applyNumberFormat="1" applyFont="1" applyFill="1" applyBorder="1"/>
    <xf numFmtId="9" fontId="6" fillId="12" borderId="10" xfId="4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66" fontId="1" fillId="6" borderId="7" xfId="3" applyNumberFormat="1" applyFont="1" applyFill="1" applyBorder="1"/>
    <xf numFmtId="166" fontId="1" fillId="13" borderId="7" xfId="3" applyNumberFormat="1" applyFont="1" applyFill="1" applyBorder="1"/>
    <xf numFmtId="166" fontId="1" fillId="2" borderId="7" xfId="3" applyNumberFormat="1" applyFont="1" applyFill="1" applyBorder="1"/>
    <xf numFmtId="171" fontId="2" fillId="5" borderId="0" xfId="3" applyNumberFormat="1" applyFont="1" applyFill="1" applyAlignment="1">
      <alignment horizontal="center" wrapText="1"/>
    </xf>
    <xf numFmtId="0" fontId="6" fillId="1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1" fontId="6" fillId="12" borderId="7" xfId="3" applyNumberFormat="1" applyFont="1" applyFill="1" applyBorder="1"/>
    <xf numFmtId="171" fontId="6" fillId="12" borderId="1" xfId="3" applyNumberFormat="1" applyFont="1" applyFill="1" applyBorder="1"/>
    <xf numFmtId="171" fontId="6" fillId="12" borderId="6" xfId="3" applyNumberFormat="1" applyFont="1" applyFill="1" applyBorder="1"/>
    <xf numFmtId="171" fontId="6" fillId="12" borderId="9" xfId="3" applyNumberFormat="1" applyFont="1" applyFill="1" applyBorder="1"/>
    <xf numFmtId="171" fontId="6" fillId="9" borderId="7" xfId="3" applyNumberFormat="1" applyFont="1" applyFill="1" applyBorder="1"/>
    <xf numFmtId="171" fontId="1" fillId="0" borderId="0" xfId="3" applyNumberFormat="1" applyFont="1"/>
    <xf numFmtId="0" fontId="5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9" fontId="2" fillId="5" borderId="0" xfId="4" applyFont="1" applyFill="1" applyAlignment="1">
      <alignment horizontal="center" wrapText="1"/>
    </xf>
    <xf numFmtId="9" fontId="1" fillId="0" borderId="0" xfId="4" applyFont="1"/>
    <xf numFmtId="3" fontId="13" fillId="0" borderId="1" xfId="0" applyNumberFormat="1" applyFont="1" applyBorder="1"/>
    <xf numFmtId="173" fontId="0" fillId="0" borderId="0" xfId="0" applyNumberFormat="1"/>
    <xf numFmtId="0" fontId="4" fillId="16" borderId="1" xfId="1" applyFont="1" applyFill="1" applyBorder="1" applyAlignment="1">
      <alignment horizontal="center" vertical="top" wrapText="1"/>
    </xf>
    <xf numFmtId="166" fontId="2" fillId="3" borderId="1" xfId="3" applyNumberFormat="1" applyFont="1" applyFill="1" applyBorder="1" applyAlignment="1">
      <alignment horizontal="center"/>
    </xf>
    <xf numFmtId="166" fontId="2" fillId="3" borderId="1" xfId="3" applyNumberFormat="1" applyFont="1" applyFill="1" applyBorder="1" applyAlignment="1">
      <alignment horizontal="center" vertical="center"/>
    </xf>
    <xf numFmtId="166" fontId="2" fillId="3" borderId="1" xfId="3" applyNumberFormat="1" applyFont="1" applyFill="1" applyBorder="1"/>
    <xf numFmtId="166" fontId="1" fillId="3" borderId="1" xfId="3" applyNumberFormat="1" applyFont="1" applyFill="1" applyBorder="1"/>
    <xf numFmtId="166" fontId="7" fillId="3" borderId="1" xfId="3" applyNumberFormat="1" applyFont="1" applyFill="1" applyBorder="1"/>
    <xf numFmtId="0" fontId="7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3" borderId="2" xfId="0" applyFont="1" applyFill="1" applyBorder="1"/>
    <xf numFmtId="0" fontId="6" fillId="17" borderId="1" xfId="0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left" vertical="top" wrapText="1"/>
    </xf>
    <xf numFmtId="0" fontId="4" fillId="19" borderId="1" xfId="0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166" fontId="18" fillId="0" borderId="1" xfId="3" applyNumberFormat="1" applyFont="1" applyBorder="1"/>
    <xf numFmtId="41" fontId="6" fillId="20" borderId="1" xfId="8" applyFont="1" applyFill="1" applyBorder="1"/>
    <xf numFmtId="0" fontId="0" fillId="20" borderId="0" xfId="0" applyFill="1"/>
    <xf numFmtId="0" fontId="15" fillId="21" borderId="6" xfId="0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/>
    </xf>
    <xf numFmtId="0" fontId="7" fillId="0" borderId="0" xfId="0" applyFont="1"/>
    <xf numFmtId="0" fontId="15" fillId="6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66" fontId="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166" fontId="7" fillId="0" borderId="2" xfId="3" applyNumberFormat="1" applyFont="1" applyBorder="1"/>
    <xf numFmtId="0" fontId="6" fillId="17" borderId="16" xfId="0" applyFont="1" applyFill="1" applyBorder="1" applyAlignment="1">
      <alignment horizontal="center" vertical="center" wrapText="1"/>
    </xf>
    <xf numFmtId="166" fontId="7" fillId="0" borderId="14" xfId="3" applyNumberFormat="1" applyFont="1" applyBorder="1"/>
    <xf numFmtId="166" fontId="7" fillId="0" borderId="15" xfId="3" applyNumberFormat="1" applyFont="1" applyBorder="1"/>
    <xf numFmtId="166" fontId="7" fillId="0" borderId="30" xfId="3" applyNumberFormat="1" applyFont="1" applyBorder="1"/>
    <xf numFmtId="0" fontId="2" fillId="0" borderId="0" xfId="0" applyFont="1" applyAlignment="1">
      <alignment vertical="center"/>
    </xf>
    <xf numFmtId="0" fontId="0" fillId="13" borderId="0" xfId="0" applyFill="1"/>
    <xf numFmtId="0" fontId="0" fillId="13" borderId="0" xfId="0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9" fontId="4" fillId="0" borderId="3" xfId="0" applyNumberFormat="1" applyFont="1" applyBorder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9" fontId="2" fillId="0" borderId="1" xfId="4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4" fontId="0" fillId="0" borderId="1" xfId="4" applyNumberFormat="1" applyFont="1" applyBorder="1" applyAlignment="1">
      <alignment vertical="center"/>
    </xf>
    <xf numFmtId="174" fontId="0" fillId="0" borderId="1" xfId="4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1" xfId="3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76" fontId="0" fillId="0" borderId="1" xfId="3" applyNumberFormat="1" applyFont="1" applyBorder="1" applyAlignment="1">
      <alignment vertical="center"/>
    </xf>
    <xf numFmtId="17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36" xfId="0" applyFont="1" applyBorder="1"/>
    <xf numFmtId="0" fontId="2" fillId="0" borderId="16" xfId="0" applyFont="1" applyBorder="1"/>
    <xf numFmtId="0" fontId="2" fillId="0" borderId="29" xfId="0" applyFont="1" applyBorder="1"/>
    <xf numFmtId="0" fontId="2" fillId="0" borderId="14" xfId="0" applyFont="1" applyBorder="1"/>
    <xf numFmtId="0" fontId="2" fillId="0" borderId="30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7" xfId="0" applyBorder="1"/>
    <xf numFmtId="0" fontId="0" fillId="0" borderId="52" xfId="0" applyBorder="1"/>
    <xf numFmtId="0" fontId="0" fillId="0" borderId="2" xfId="0" applyBorder="1"/>
    <xf numFmtId="0" fontId="0" fillId="0" borderId="6" xfId="0" applyBorder="1"/>
    <xf numFmtId="0" fontId="0" fillId="13" borderId="6" xfId="0" applyFill="1" applyBorder="1"/>
    <xf numFmtId="0" fontId="0" fillId="0" borderId="50" xfId="0" applyBorder="1"/>
    <xf numFmtId="0" fontId="0" fillId="0" borderId="51" xfId="0" applyBorder="1"/>
    <xf numFmtId="3" fontId="0" fillId="6" borderId="37" xfId="0" applyNumberFormat="1" applyFill="1" applyBorder="1"/>
    <xf numFmtId="3" fontId="0" fillId="0" borderId="17" xfId="0" applyNumberFormat="1" applyBorder="1"/>
    <xf numFmtId="3" fontId="0" fillId="0" borderId="7" xfId="0" applyNumberFormat="1" applyBorder="1"/>
    <xf numFmtId="3" fontId="0" fillId="6" borderId="38" xfId="0" applyNumberFormat="1" applyFill="1" applyBorder="1"/>
    <xf numFmtId="3" fontId="0" fillId="0" borderId="16" xfId="0" applyNumberFormat="1" applyBorder="1"/>
    <xf numFmtId="3" fontId="0" fillId="0" borderId="1" xfId="0" applyNumberFormat="1" applyBorder="1"/>
    <xf numFmtId="3" fontId="0" fillId="6" borderId="39" xfId="0" applyNumberFormat="1" applyFill="1" applyBorder="1"/>
    <xf numFmtId="3" fontId="0" fillId="0" borderId="19" xfId="0" applyNumberFormat="1" applyBorder="1"/>
    <xf numFmtId="3" fontId="0" fillId="0" borderId="6" xfId="0" applyNumberFormat="1" applyBorder="1"/>
    <xf numFmtId="3" fontId="0" fillId="6" borderId="47" xfId="0" applyNumberFormat="1" applyFill="1" applyBorder="1"/>
    <xf numFmtId="3" fontId="0" fillId="0" borderId="9" xfId="0" applyNumberFormat="1" applyBorder="1"/>
    <xf numFmtId="4" fontId="0" fillId="6" borderId="37" xfId="0" applyNumberFormat="1" applyFill="1" applyBorder="1"/>
    <xf numFmtId="4" fontId="0" fillId="6" borderId="38" xfId="0" applyNumberFormat="1" applyFill="1" applyBorder="1"/>
    <xf numFmtId="4" fontId="0" fillId="6" borderId="39" xfId="0" applyNumberFormat="1" applyFill="1" applyBorder="1"/>
    <xf numFmtId="4" fontId="0" fillId="6" borderId="46" xfId="0" applyNumberFormat="1" applyFill="1" applyBorder="1"/>
    <xf numFmtId="0" fontId="5" fillId="0" borderId="46" xfId="0" applyFont="1" applyBorder="1"/>
    <xf numFmtId="0" fontId="13" fillId="0" borderId="0" xfId="0" applyFont="1"/>
    <xf numFmtId="166" fontId="1" fillId="12" borderId="7" xfId="3" applyNumberFormat="1" applyFont="1" applyFill="1" applyBorder="1"/>
    <xf numFmtId="166" fontId="6" fillId="12" borderId="9" xfId="3" applyNumberFormat="1" applyFont="1" applyFill="1" applyBorder="1"/>
    <xf numFmtId="171" fontId="6" fillId="24" borderId="7" xfId="3" applyNumberFormat="1" applyFont="1" applyFill="1" applyBorder="1"/>
    <xf numFmtId="173" fontId="28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2" fillId="2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28" fillId="0" borderId="0" xfId="0" applyFont="1"/>
    <xf numFmtId="171" fontId="6" fillId="6" borderId="9" xfId="3" applyNumberFormat="1" applyFont="1" applyFill="1" applyBorder="1"/>
    <xf numFmtId="4" fontId="5" fillId="9" borderId="53" xfId="0" applyNumberFormat="1" applyFont="1" applyFill="1" applyBorder="1"/>
    <xf numFmtId="179" fontId="2" fillId="0" borderId="0" xfId="0" applyNumberFormat="1" applyFont="1"/>
    <xf numFmtId="172" fontId="0" fillId="9" borderId="53" xfId="0" applyNumberFormat="1" applyFill="1" applyBorder="1"/>
    <xf numFmtId="172" fontId="33" fillId="9" borderId="53" xfId="0" applyNumberFormat="1" applyFont="1" applyFill="1" applyBorder="1"/>
    <xf numFmtId="0" fontId="6" fillId="15" borderId="57" xfId="0" applyFont="1" applyFill="1" applyBorder="1" applyAlignment="1">
      <alignment horizontal="center" vertical="center" wrapText="1"/>
    </xf>
    <xf numFmtId="166" fontId="7" fillId="0" borderId="58" xfId="3" applyNumberFormat="1" applyFont="1" applyBorder="1"/>
    <xf numFmtId="0" fontId="0" fillId="17" borderId="11" xfId="0" applyFill="1" applyBorder="1"/>
    <xf numFmtId="0" fontId="0" fillId="17" borderId="12" xfId="0" applyFill="1" applyBorder="1"/>
    <xf numFmtId="0" fontId="5" fillId="17" borderId="12" xfId="0" applyFont="1" applyFill="1" applyBorder="1"/>
    <xf numFmtId="0" fontId="5" fillId="17" borderId="13" xfId="0" applyFont="1" applyFill="1" applyBorder="1"/>
    <xf numFmtId="171" fontId="6" fillId="9" borderId="9" xfId="3" applyNumberFormat="1" applyFont="1" applyFill="1" applyBorder="1"/>
    <xf numFmtId="0" fontId="2" fillId="25" borderId="1" xfId="0" applyFont="1" applyFill="1" applyBorder="1" applyAlignment="1">
      <alignment vertical="center"/>
    </xf>
    <xf numFmtId="0" fontId="0" fillId="25" borderId="1" xfId="0" applyFill="1" applyBorder="1" applyAlignment="1">
      <alignment vertical="center"/>
    </xf>
    <xf numFmtId="174" fontId="0" fillId="25" borderId="1" xfId="4" applyNumberFormat="1" applyFont="1" applyFill="1" applyBorder="1" applyAlignment="1">
      <alignment vertical="center"/>
    </xf>
    <xf numFmtId="166" fontId="0" fillId="25" borderId="1" xfId="3" applyNumberFormat="1" applyFont="1" applyFill="1" applyBorder="1" applyAlignment="1">
      <alignment vertical="center"/>
    </xf>
    <xf numFmtId="166" fontId="0" fillId="25" borderId="1" xfId="0" applyNumberFormat="1" applyFill="1" applyBorder="1" applyAlignment="1">
      <alignment horizontal="center" vertical="center"/>
    </xf>
    <xf numFmtId="176" fontId="0" fillId="25" borderId="1" xfId="3" applyNumberFormat="1" applyFont="1" applyFill="1" applyBorder="1" applyAlignment="1">
      <alignment vertical="center"/>
    </xf>
    <xf numFmtId="166" fontId="0" fillId="25" borderId="2" xfId="0" applyNumberFormat="1" applyFill="1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175" fontId="0" fillId="25" borderId="1" xfId="0" applyNumberFormat="1" applyFill="1" applyBorder="1" applyAlignment="1">
      <alignment vertical="center"/>
    </xf>
    <xf numFmtId="0" fontId="0" fillId="25" borderId="1" xfId="0" applyFill="1" applyBorder="1" applyAlignment="1">
      <alignment horizontal="center"/>
    </xf>
    <xf numFmtId="166" fontId="0" fillId="25" borderId="1" xfId="0" applyNumberFormat="1" applyFill="1" applyBorder="1" applyAlignment="1">
      <alignment vertical="center"/>
    </xf>
    <xf numFmtId="177" fontId="0" fillId="25" borderId="1" xfId="0" applyNumberFormat="1" applyFill="1" applyBorder="1" applyAlignment="1">
      <alignment vertical="center"/>
    </xf>
    <xf numFmtId="178" fontId="5" fillId="9" borderId="45" xfId="0" applyNumberFormat="1" applyFont="1" applyFill="1" applyBorder="1"/>
    <xf numFmtId="171" fontId="28" fillId="0" borderId="0" xfId="0" applyNumberFormat="1" applyFont="1"/>
    <xf numFmtId="166" fontId="33" fillId="0" borderId="1" xfId="0" applyNumberFormat="1" applyFont="1" applyBorder="1" applyAlignment="1">
      <alignment horizontal="center" vertical="center"/>
    </xf>
    <xf numFmtId="180" fontId="33" fillId="0" borderId="1" xfId="0" applyNumberFormat="1" applyFont="1" applyBorder="1" applyAlignment="1">
      <alignment horizontal="center" vertical="center"/>
    </xf>
    <xf numFmtId="10" fontId="0" fillId="25" borderId="1" xfId="4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0" fontId="5" fillId="0" borderId="1" xfId="4" applyNumberFormat="1" applyFont="1" applyBorder="1" applyAlignment="1">
      <alignment vertical="center"/>
    </xf>
    <xf numFmtId="0" fontId="27" fillId="26" borderId="1" xfId="0" applyFont="1" applyFill="1" applyBorder="1" applyAlignment="1">
      <alignment vertical="center"/>
    </xf>
    <xf numFmtId="10" fontId="35" fillId="26" borderId="1" xfId="4" applyNumberFormat="1" applyFont="1" applyFill="1" applyBorder="1" applyAlignment="1">
      <alignment vertical="center"/>
    </xf>
    <xf numFmtId="0" fontId="30" fillId="26" borderId="1" xfId="0" applyFont="1" applyFill="1" applyBorder="1" applyAlignment="1">
      <alignment vertical="center"/>
    </xf>
    <xf numFmtId="174" fontId="27" fillId="26" borderId="1" xfId="4" applyNumberFormat="1" applyFont="1" applyFill="1" applyBorder="1" applyAlignment="1">
      <alignment vertical="center"/>
    </xf>
    <xf numFmtId="166" fontId="27" fillId="26" borderId="1" xfId="3" applyNumberFormat="1" applyFont="1" applyFill="1" applyBorder="1" applyAlignment="1">
      <alignment vertical="center"/>
    </xf>
    <xf numFmtId="166" fontId="27" fillId="26" borderId="1" xfId="0" applyNumberFormat="1" applyFont="1" applyFill="1" applyBorder="1" applyAlignment="1">
      <alignment horizontal="center" vertical="center"/>
    </xf>
    <xf numFmtId="176" fontId="27" fillId="26" borderId="1" xfId="3" applyNumberFormat="1" applyFont="1" applyFill="1" applyBorder="1" applyAlignment="1">
      <alignment vertical="center"/>
    </xf>
    <xf numFmtId="166" fontId="27" fillId="26" borderId="2" xfId="0" applyNumberFormat="1" applyFont="1" applyFill="1" applyBorder="1" applyAlignment="1">
      <alignment horizontal="center" vertical="center"/>
    </xf>
    <xf numFmtId="0" fontId="27" fillId="26" borderId="16" xfId="0" applyFont="1" applyFill="1" applyBorder="1" applyAlignment="1">
      <alignment vertical="center"/>
    </xf>
    <xf numFmtId="175" fontId="27" fillId="26" borderId="1" xfId="0" applyNumberFormat="1" applyFont="1" applyFill="1" applyBorder="1" applyAlignment="1">
      <alignment vertical="center"/>
    </xf>
    <xf numFmtId="0" fontId="27" fillId="26" borderId="1" xfId="0" applyFont="1" applyFill="1" applyBorder="1" applyAlignment="1">
      <alignment horizontal="center"/>
    </xf>
    <xf numFmtId="166" fontId="27" fillId="26" borderId="1" xfId="0" applyNumberFormat="1" applyFont="1" applyFill="1" applyBorder="1" applyAlignment="1">
      <alignment vertical="center"/>
    </xf>
    <xf numFmtId="177" fontId="27" fillId="26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171" fontId="6" fillId="8" borderId="17" xfId="3" applyNumberFormat="1" applyFont="1" applyFill="1" applyBorder="1"/>
    <xf numFmtId="171" fontId="6" fillId="8" borderId="56" xfId="3" applyNumberFormat="1" applyFont="1" applyFill="1" applyBorder="1"/>
    <xf numFmtId="171" fontId="6" fillId="24" borderId="20" xfId="3" applyNumberFormat="1" applyFont="1" applyFill="1" applyBorder="1"/>
    <xf numFmtId="0" fontId="33" fillId="0" borderId="0" xfId="0" applyFont="1"/>
    <xf numFmtId="3" fontId="33" fillId="0" borderId="0" xfId="0" applyNumberFormat="1" applyFont="1"/>
    <xf numFmtId="174" fontId="33" fillId="0" borderId="0" xfId="4" applyNumberFormat="1" applyFont="1"/>
    <xf numFmtId="166" fontId="38" fillId="13" borderId="1" xfId="3" applyNumberFormat="1" applyFont="1" applyFill="1" applyBorder="1"/>
    <xf numFmtId="0" fontId="38" fillId="13" borderId="1" xfId="0" applyFont="1" applyFill="1" applyBorder="1"/>
    <xf numFmtId="174" fontId="18" fillId="0" borderId="1" xfId="4" applyNumberFormat="1" applyFont="1" applyBorder="1"/>
    <xf numFmtId="0" fontId="18" fillId="0" borderId="1" xfId="0" applyFont="1" applyBorder="1"/>
    <xf numFmtId="166" fontId="38" fillId="0" borderId="1" xfId="3" applyNumberFormat="1" applyFont="1" applyBorder="1"/>
    <xf numFmtId="0" fontId="38" fillId="0" borderId="1" xfId="0" applyFont="1" applyBorder="1"/>
    <xf numFmtId="166" fontId="18" fillId="0" borderId="1" xfId="3" applyNumberFormat="1" applyFont="1" applyFill="1" applyBorder="1"/>
    <xf numFmtId="166" fontId="38" fillId="0" borderId="1" xfId="3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9" fontId="18" fillId="0" borderId="1" xfId="0" applyNumberFormat="1" applyFont="1" applyBorder="1"/>
    <xf numFmtId="9" fontId="18" fillId="0" borderId="1" xfId="4" applyFont="1" applyBorder="1"/>
    <xf numFmtId="0" fontId="33" fillId="0" borderId="0" xfId="0" applyFont="1" applyAlignment="1">
      <alignment vertical="center"/>
    </xf>
    <xf numFmtId="0" fontId="38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166" fontId="31" fillId="0" borderId="0" xfId="0" applyNumberFormat="1" applyFont="1"/>
    <xf numFmtId="181" fontId="12" fillId="13" borderId="46" xfId="3" applyNumberFormat="1" applyFont="1" applyFill="1" applyBorder="1"/>
    <xf numFmtId="3" fontId="12" fillId="0" borderId="8" xfId="3" applyNumberFormat="1" applyFont="1" applyFill="1" applyBorder="1"/>
    <xf numFmtId="3" fontId="12" fillId="13" borderId="8" xfId="3" applyNumberFormat="1" applyFont="1" applyFill="1" applyBorder="1"/>
    <xf numFmtId="3" fontId="12" fillId="0" borderId="10" xfId="3" applyNumberFormat="1" applyFont="1" applyFill="1" applyBorder="1"/>
    <xf numFmtId="3" fontId="12" fillId="0" borderId="9" xfId="3" applyNumberFormat="1" applyFont="1" applyFill="1" applyBorder="1"/>
    <xf numFmtId="0" fontId="13" fillId="13" borderId="59" xfId="0" applyFont="1" applyFill="1" applyBorder="1" applyAlignment="1">
      <alignment horizontal="center"/>
    </xf>
    <xf numFmtId="3" fontId="39" fillId="0" borderId="53" xfId="0" applyNumberFormat="1" applyFont="1" applyBorder="1"/>
    <xf numFmtId="3" fontId="39" fillId="13" borderId="53" xfId="0" applyNumberFormat="1" applyFont="1" applyFill="1" applyBorder="1"/>
    <xf numFmtId="3" fontId="33" fillId="0" borderId="26" xfId="0" applyNumberFormat="1" applyFont="1" applyBorder="1"/>
    <xf numFmtId="3" fontId="12" fillId="0" borderId="55" xfId="3" applyNumberFormat="1" applyFont="1" applyFill="1" applyBorder="1"/>
    <xf numFmtId="3" fontId="13" fillId="0" borderId="50" xfId="3" applyNumberFormat="1" applyFont="1" applyFill="1" applyBorder="1"/>
    <xf numFmtId="3" fontId="12" fillId="0" borderId="16" xfId="3" applyNumberFormat="1" applyFont="1" applyFill="1" applyBorder="1"/>
    <xf numFmtId="3" fontId="13" fillId="0" borderId="31" xfId="0" applyNumberFormat="1" applyFont="1" applyBorder="1" applyAlignment="1">
      <alignment horizontal="center"/>
    </xf>
    <xf numFmtId="3" fontId="13" fillId="0" borderId="14" xfId="0" applyNumberFormat="1" applyFont="1" applyBorder="1"/>
    <xf numFmtId="0" fontId="13" fillId="13" borderId="38" xfId="0" applyFont="1" applyFill="1" applyBorder="1" applyAlignment="1">
      <alignment horizontal="center"/>
    </xf>
    <xf numFmtId="3" fontId="12" fillId="0" borderId="17" xfId="3" applyNumberFormat="1" applyFont="1" applyFill="1" applyBorder="1"/>
    <xf numFmtId="3" fontId="13" fillId="0" borderId="2" xfId="3" applyNumberFormat="1" applyFont="1" applyFill="1" applyBorder="1"/>
    <xf numFmtId="3" fontId="13" fillId="0" borderId="2" xfId="0" applyNumberFormat="1" applyFont="1" applyBorder="1" applyAlignment="1">
      <alignment horizontal="center"/>
    </xf>
    <xf numFmtId="3" fontId="13" fillId="0" borderId="16" xfId="0" applyNumberFormat="1" applyFont="1" applyBorder="1"/>
    <xf numFmtId="3" fontId="13" fillId="0" borderId="2" xfId="0" applyNumberFormat="1" applyFont="1" applyBorder="1"/>
    <xf numFmtId="0" fontId="13" fillId="13" borderId="53" xfId="0" applyFont="1" applyFill="1" applyBorder="1" applyAlignment="1">
      <alignment horizontal="center"/>
    </xf>
    <xf numFmtId="3" fontId="13" fillId="0" borderId="52" xfId="0" applyNumberFormat="1" applyFont="1" applyBorder="1" applyAlignment="1">
      <alignment horizontal="center"/>
    </xf>
    <xf numFmtId="3" fontId="13" fillId="0" borderId="17" xfId="0" applyNumberFormat="1" applyFont="1" applyBorder="1"/>
    <xf numFmtId="3" fontId="12" fillId="0" borderId="15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9" fillId="0" borderId="22" xfId="0" applyFont="1" applyBorder="1" applyAlignment="1">
      <alignment horizontal="center" vertical="center" wrapText="1"/>
    </xf>
    <xf numFmtId="0" fontId="39" fillId="0" borderId="0" xfId="0" applyFont="1"/>
    <xf numFmtId="17" fontId="13" fillId="0" borderId="0" xfId="0" applyNumberFormat="1" applyFont="1"/>
    <xf numFmtId="0" fontId="25" fillId="0" borderId="0" xfId="0" applyFont="1"/>
    <xf numFmtId="9" fontId="25" fillId="0" borderId="0" xfId="0" applyNumberFormat="1" applyFont="1" applyAlignment="1">
      <alignment horizontal="center"/>
    </xf>
    <xf numFmtId="0" fontId="38" fillId="2" borderId="31" xfId="0" applyFont="1" applyFill="1" applyBorder="1" applyAlignment="1">
      <alignment horizontal="center" vertical="center" wrapText="1"/>
    </xf>
    <xf numFmtId="171" fontId="12" fillId="2" borderId="52" xfId="3" applyNumberFormat="1" applyFont="1" applyFill="1" applyBorder="1"/>
    <xf numFmtId="0" fontId="2" fillId="2" borderId="0" xfId="0" applyFont="1" applyFill="1" applyAlignment="1">
      <alignment horizontal="center" vertical="center"/>
    </xf>
    <xf numFmtId="3" fontId="0" fillId="2" borderId="8" xfId="0" applyNumberFormat="1" applyFill="1" applyBorder="1"/>
    <xf numFmtId="0" fontId="0" fillId="10" borderId="9" xfId="0" applyFill="1" applyBorder="1" applyAlignment="1">
      <alignment horizontal="right" vertical="center"/>
    </xf>
    <xf numFmtId="3" fontId="0" fillId="10" borderId="9" xfId="0" applyNumberFormat="1" applyFill="1" applyBorder="1"/>
    <xf numFmtId="4" fontId="0" fillId="17" borderId="37" xfId="0" applyNumberFormat="1" applyFill="1" applyBorder="1"/>
    <xf numFmtId="4" fontId="0" fillId="17" borderId="38" xfId="0" applyNumberFormat="1" applyFill="1" applyBorder="1"/>
    <xf numFmtId="4" fontId="0" fillId="17" borderId="39" xfId="0" applyNumberFormat="1" applyFill="1" applyBorder="1"/>
    <xf numFmtId="4" fontId="0" fillId="17" borderId="46" xfId="0" applyNumberFormat="1" applyFill="1" applyBorder="1"/>
    <xf numFmtId="0" fontId="5" fillId="20" borderId="0" xfId="0" applyFont="1" applyFill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2" fontId="2" fillId="0" borderId="0" xfId="0" applyNumberFormat="1" applyFont="1"/>
    <xf numFmtId="4" fontId="0" fillId="0" borderId="0" xfId="0" applyNumberFormat="1"/>
    <xf numFmtId="178" fontId="2" fillId="0" borderId="0" xfId="0" applyNumberFormat="1" applyFont="1"/>
    <xf numFmtId="172" fontId="0" fillId="9" borderId="45" xfId="0" applyNumberFormat="1" applyFill="1" applyBorder="1"/>
    <xf numFmtId="172" fontId="33" fillId="9" borderId="45" xfId="0" applyNumberFormat="1" applyFont="1" applyFill="1" applyBorder="1"/>
    <xf numFmtId="0" fontId="12" fillId="17" borderId="29" xfId="0" applyFont="1" applyFill="1" applyBorder="1" applyAlignment="1">
      <alignment horizontal="center" vertical="center" wrapText="1"/>
    </xf>
    <xf numFmtId="171" fontId="6" fillId="14" borderId="52" xfId="3" applyNumberFormat="1" applyFont="1" applyFill="1" applyBorder="1"/>
    <xf numFmtId="166" fontId="6" fillId="14" borderId="51" xfId="3" applyNumberFormat="1" applyFont="1" applyFill="1" applyBorder="1"/>
    <xf numFmtId="171" fontId="12" fillId="2" borderId="51" xfId="3" applyNumberFormat="1" applyFont="1" applyFill="1" applyBorder="1"/>
    <xf numFmtId="164" fontId="6" fillId="8" borderId="8" xfId="3" applyFont="1" applyFill="1" applyBorder="1"/>
    <xf numFmtId="171" fontId="6" fillId="14" borderId="62" xfId="3" applyNumberFormat="1" applyFont="1" applyFill="1" applyBorder="1"/>
    <xf numFmtId="182" fontId="28" fillId="0" borderId="0" xfId="0" applyNumberFormat="1" applyFont="1"/>
    <xf numFmtId="171" fontId="6" fillId="12" borderId="17" xfId="3" applyNumberFormat="1" applyFont="1" applyFill="1" applyBorder="1"/>
    <xf numFmtId="10" fontId="1" fillId="12" borderId="18" xfId="4" applyNumberFormat="1" applyFont="1" applyFill="1" applyBorder="1" applyAlignment="1">
      <alignment horizontal="center" wrapText="1"/>
    </xf>
    <xf numFmtId="10" fontId="1" fillId="12" borderId="29" xfId="4" applyNumberFormat="1" applyFont="1" applyFill="1" applyBorder="1" applyAlignment="1">
      <alignment horizontal="center" wrapText="1"/>
    </xf>
    <xf numFmtId="10" fontId="1" fillId="12" borderId="54" xfId="4" applyNumberFormat="1" applyFont="1" applyFill="1" applyBorder="1" applyAlignment="1">
      <alignment horizontal="center" wrapText="1"/>
    </xf>
    <xf numFmtId="171" fontId="6" fillId="12" borderId="8" xfId="3" applyNumberFormat="1" applyFont="1" applyFill="1" applyBorder="1"/>
    <xf numFmtId="164" fontId="6" fillId="24" borderId="9" xfId="3" applyFont="1" applyFill="1" applyBorder="1"/>
    <xf numFmtId="0" fontId="3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2" fillId="3" borderId="1" xfId="0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0" fontId="12" fillId="4" borderId="1" xfId="0" applyFont="1" applyFill="1" applyBorder="1"/>
    <xf numFmtId="10" fontId="0" fillId="0" borderId="1" xfId="4" applyNumberFormat="1" applyFont="1" applyBorder="1" applyAlignment="1">
      <alignment vertical="center"/>
    </xf>
    <xf numFmtId="0" fontId="2" fillId="20" borderId="1" xfId="0" applyFont="1" applyFill="1" applyBorder="1" applyAlignment="1">
      <alignment vertical="center"/>
    </xf>
    <xf numFmtId="174" fontId="0" fillId="0" borderId="0" xfId="4" applyNumberFormat="1" applyFont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11" fillId="0" borderId="0" xfId="0" applyFont="1"/>
    <xf numFmtId="0" fontId="42" fillId="0" borderId="0" xfId="0" applyFont="1"/>
    <xf numFmtId="0" fontId="12" fillId="0" borderId="0" xfId="0" applyFont="1"/>
    <xf numFmtId="0" fontId="18" fillId="5" borderId="1" xfId="0" applyFont="1" applyFill="1" applyBorder="1" applyAlignment="1">
      <alignment wrapText="1"/>
    </xf>
    <xf numFmtId="171" fontId="18" fillId="5" borderId="1" xfId="3" applyNumberFormat="1" applyFont="1" applyFill="1" applyBorder="1"/>
    <xf numFmtId="0" fontId="18" fillId="0" borderId="1" xfId="0" applyFont="1" applyBorder="1" applyAlignment="1">
      <alignment wrapText="1"/>
    </xf>
    <xf numFmtId="171" fontId="18" fillId="0" borderId="1" xfId="3" applyNumberFormat="1" applyFont="1" applyBorder="1"/>
    <xf numFmtId="0" fontId="18" fillId="0" borderId="0" xfId="0" applyFont="1"/>
    <xf numFmtId="166" fontId="18" fillId="0" borderId="0" xfId="0" applyNumberFormat="1" applyFont="1"/>
    <xf numFmtId="164" fontId="18" fillId="5" borderId="1" xfId="3" applyFont="1" applyFill="1" applyBorder="1"/>
    <xf numFmtId="2" fontId="37" fillId="0" borderId="0" xfId="0" applyNumberFormat="1" applyFont="1"/>
    <xf numFmtId="174" fontId="0" fillId="0" borderId="0" xfId="4" applyNumberFormat="1" applyFont="1" applyFill="1"/>
    <xf numFmtId="0" fontId="0" fillId="0" borderId="4" xfId="0" applyBorder="1" applyAlignment="1">
      <alignment horizontal="center"/>
    </xf>
    <xf numFmtId="174" fontId="13" fillId="0" borderId="18" xfId="4" applyNumberFormat="1" applyFont="1" applyFill="1" applyBorder="1" applyAlignment="1">
      <alignment horizontal="center" wrapText="1"/>
    </xf>
    <xf numFmtId="174" fontId="13" fillId="0" borderId="21" xfId="4" applyNumberFormat="1" applyFont="1" applyFill="1" applyBorder="1" applyAlignment="1">
      <alignment horizontal="center" wrapText="1"/>
    </xf>
    <xf numFmtId="174" fontId="12" fillId="0" borderId="10" xfId="4" applyNumberFormat="1" applyFont="1" applyFill="1" applyBorder="1" applyAlignment="1">
      <alignment horizontal="center"/>
    </xf>
    <xf numFmtId="171" fontId="1" fillId="0" borderId="25" xfId="3" applyNumberFormat="1" applyFont="1" applyFill="1" applyBorder="1"/>
    <xf numFmtId="171" fontId="1" fillId="0" borderId="65" xfId="3" applyNumberFormat="1" applyFont="1" applyFill="1" applyBorder="1"/>
    <xf numFmtId="3" fontId="12" fillId="27" borderId="8" xfId="0" applyNumberFormat="1" applyFont="1" applyFill="1" applyBorder="1" applyAlignment="1">
      <alignment horizontal="center" vertical="top" wrapText="1"/>
    </xf>
    <xf numFmtId="3" fontId="12" fillId="27" borderId="9" xfId="0" applyNumberFormat="1" applyFont="1" applyFill="1" applyBorder="1" applyAlignment="1">
      <alignment horizontal="center" vertical="top" wrapText="1"/>
    </xf>
    <xf numFmtId="3" fontId="12" fillId="27" borderId="10" xfId="0" applyNumberFormat="1" applyFont="1" applyFill="1" applyBorder="1" applyAlignment="1">
      <alignment horizontal="center" vertical="top" wrapText="1"/>
    </xf>
    <xf numFmtId="3" fontId="12" fillId="0" borderId="64" xfId="0" applyNumberFormat="1" applyFont="1" applyBorder="1" applyAlignment="1">
      <alignment horizontal="center" vertical="top" wrapText="1"/>
    </xf>
    <xf numFmtId="3" fontId="12" fillId="0" borderId="42" xfId="0" applyNumberFormat="1" applyFont="1" applyBorder="1" applyAlignment="1">
      <alignment horizontal="center" vertical="top" wrapText="1"/>
    </xf>
    <xf numFmtId="3" fontId="12" fillId="0" borderId="36" xfId="0" applyNumberFormat="1" applyFont="1" applyBorder="1" applyAlignment="1">
      <alignment horizontal="center" vertical="top" wrapText="1"/>
    </xf>
    <xf numFmtId="171" fontId="6" fillId="27" borderId="53" xfId="3" applyNumberFormat="1" applyFont="1" applyFill="1" applyBorder="1"/>
    <xf numFmtId="171" fontId="6" fillId="27" borderId="38" xfId="3" applyNumberFormat="1" applyFont="1" applyFill="1" applyBorder="1"/>
    <xf numFmtId="0" fontId="15" fillId="6" borderId="1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32" fillId="0" borderId="0" xfId="0" applyFont="1"/>
    <xf numFmtId="3" fontId="12" fillId="4" borderId="32" xfId="0" applyNumberFormat="1" applyFont="1" applyFill="1" applyBorder="1" applyAlignment="1">
      <alignment horizontal="center" vertical="top" wrapText="1"/>
    </xf>
    <xf numFmtId="171" fontId="6" fillId="27" borderId="46" xfId="3" applyNumberFormat="1" applyFont="1" applyFill="1" applyBorder="1"/>
    <xf numFmtId="171" fontId="6" fillId="0" borderId="61" xfId="3" applyNumberFormat="1" applyFont="1" applyFill="1" applyBorder="1"/>
    <xf numFmtId="171" fontId="6" fillId="0" borderId="10" xfId="3" applyNumberFormat="1" applyFont="1" applyFill="1" applyBorder="1"/>
    <xf numFmtId="166" fontId="0" fillId="0" borderId="1" xfId="0" applyNumberFormat="1" applyBorder="1"/>
    <xf numFmtId="166" fontId="33" fillId="0" borderId="1" xfId="0" applyNumberFormat="1" applyFont="1" applyBorder="1"/>
    <xf numFmtId="0" fontId="15" fillId="0" borderId="1" xfId="0" applyFont="1" applyBorder="1" applyAlignment="1">
      <alignment horizontal="center" wrapText="1"/>
    </xf>
    <xf numFmtId="0" fontId="5" fillId="0" borderId="1" xfId="0" applyFont="1" applyBorder="1"/>
    <xf numFmtId="183" fontId="6" fillId="14" borderId="53" xfId="8" applyNumberFormat="1" applyFont="1" applyFill="1" applyBorder="1"/>
    <xf numFmtId="183" fontId="6" fillId="4" borderId="65" xfId="8" applyNumberFormat="1" applyFont="1" applyFill="1" applyBorder="1"/>
    <xf numFmtId="183" fontId="1" fillId="0" borderId="25" xfId="8" applyNumberFormat="1" applyFont="1" applyFill="1" applyBorder="1"/>
    <xf numFmtId="183" fontId="1" fillId="0" borderId="65" xfId="8" applyNumberFormat="1" applyFont="1" applyFill="1" applyBorder="1"/>
    <xf numFmtId="183" fontId="6" fillId="4" borderId="57" xfId="8" applyNumberFormat="1" applyFont="1" applyFill="1" applyBorder="1"/>
    <xf numFmtId="183" fontId="6" fillId="14" borderId="46" xfId="8" applyNumberFormat="1" applyFont="1" applyFill="1" applyBorder="1"/>
    <xf numFmtId="183" fontId="6" fillId="4" borderId="49" xfId="8" applyNumberFormat="1" applyFont="1" applyFill="1" applyBorder="1"/>
    <xf numFmtId="183" fontId="6" fillId="0" borderId="61" xfId="8" applyNumberFormat="1" applyFont="1" applyFill="1" applyBorder="1"/>
    <xf numFmtId="183" fontId="6" fillId="0" borderId="10" xfId="8" applyNumberFormat="1" applyFont="1" applyFill="1" applyBorder="1"/>
    <xf numFmtId="183" fontId="6" fillId="0" borderId="9" xfId="8" applyNumberFormat="1" applyFont="1" applyFill="1" applyBorder="1"/>
    <xf numFmtId="0" fontId="15" fillId="12" borderId="13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0" fillId="14" borderId="47" xfId="0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15" fillId="14" borderId="5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67" xfId="0" applyFont="1" applyFill="1" applyBorder="1" applyAlignment="1">
      <alignment horizontal="center" vertical="center" wrapText="1"/>
    </xf>
    <xf numFmtId="0" fontId="15" fillId="14" borderId="66" xfId="0" applyFont="1" applyFill="1" applyBorder="1" applyAlignment="1">
      <alignment horizontal="center" vertical="center" wrapText="1"/>
    </xf>
    <xf numFmtId="0" fontId="15" fillId="14" borderId="3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6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5" fillId="12" borderId="63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3" borderId="63" xfId="0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wrapText="1"/>
    </xf>
    <xf numFmtId="0" fontId="20" fillId="12" borderId="47" xfId="0" applyFont="1" applyFill="1" applyBorder="1" applyAlignment="1">
      <alignment horizontal="center" vertical="center"/>
    </xf>
    <xf numFmtId="0" fontId="20" fillId="12" borderId="48" xfId="0" applyFont="1" applyFill="1" applyBorder="1" applyAlignment="1">
      <alignment horizontal="center" vertical="center"/>
    </xf>
    <xf numFmtId="0" fontId="20" fillId="12" borderId="49" xfId="0" applyFont="1" applyFill="1" applyBorder="1" applyAlignment="1">
      <alignment horizontal="center" vertical="center"/>
    </xf>
    <xf numFmtId="0" fontId="20" fillId="27" borderId="47" xfId="0" applyFont="1" applyFill="1" applyBorder="1" applyAlignment="1">
      <alignment horizontal="center" vertical="center" wrapText="1"/>
    </xf>
    <xf numFmtId="0" fontId="20" fillId="27" borderId="48" xfId="0" applyFont="1" applyFill="1" applyBorder="1" applyAlignment="1">
      <alignment horizontal="center" vertical="center" wrapText="1"/>
    </xf>
    <xf numFmtId="0" fontId="20" fillId="27" borderId="49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 wrapText="1"/>
    </xf>
    <xf numFmtId="0" fontId="5" fillId="17" borderId="47" xfId="0" applyFont="1" applyFill="1" applyBorder="1" applyAlignment="1">
      <alignment horizontal="center" vertical="center"/>
    </xf>
    <xf numFmtId="0" fontId="5" fillId="17" borderId="48" xfId="0" applyFont="1" applyFill="1" applyBorder="1" applyAlignment="1">
      <alignment horizontal="center" vertical="center"/>
    </xf>
    <xf numFmtId="0" fontId="5" fillId="17" borderId="49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/>
    </xf>
    <xf numFmtId="0" fontId="5" fillId="15" borderId="57" xfId="0" applyFont="1" applyFill="1" applyBorder="1" applyAlignment="1">
      <alignment horizontal="center" vertical="center"/>
    </xf>
    <xf numFmtId="0" fontId="6" fillId="27" borderId="34" xfId="0" applyFont="1" applyFill="1" applyBorder="1" applyAlignment="1">
      <alignment horizontal="center" vertical="center" wrapText="1"/>
    </xf>
    <xf numFmtId="0" fontId="6" fillId="27" borderId="33" xfId="0" applyFont="1" applyFill="1" applyBorder="1" applyAlignment="1">
      <alignment horizontal="center" vertical="center" wrapText="1"/>
    </xf>
    <xf numFmtId="0" fontId="6" fillId="27" borderId="43" xfId="0" applyFont="1" applyFill="1" applyBorder="1" applyAlignment="1">
      <alignment horizontal="center" vertical="center" wrapText="1"/>
    </xf>
    <xf numFmtId="0" fontId="6" fillId="27" borderId="36" xfId="0" applyFont="1" applyFill="1" applyBorder="1" applyAlignment="1">
      <alignment horizontal="center" vertical="center" wrapText="1"/>
    </xf>
    <xf numFmtId="0" fontId="6" fillId="27" borderId="64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64" xfId="0" applyFont="1" applyFill="1" applyBorder="1" applyAlignment="1">
      <alignment horizontal="center" vertical="center"/>
    </xf>
    <xf numFmtId="0" fontId="12" fillId="13" borderId="40" xfId="0" applyFont="1" applyFill="1" applyBorder="1" applyAlignment="1">
      <alignment horizontal="center" vertical="center" wrapText="1"/>
    </xf>
    <xf numFmtId="0" fontId="12" fillId="13" borderId="41" xfId="0" applyFont="1" applyFill="1" applyBorder="1" applyAlignment="1">
      <alignment horizontal="center" vertical="center" wrapText="1"/>
    </xf>
    <xf numFmtId="0" fontId="12" fillId="13" borderId="42" xfId="0" applyFont="1" applyFill="1" applyBorder="1" applyAlignment="1">
      <alignment horizontal="center" vertical="center" wrapText="1"/>
    </xf>
    <xf numFmtId="3" fontId="12" fillId="0" borderId="27" xfId="0" applyNumberFormat="1" applyFont="1" applyBorder="1" applyAlignment="1">
      <alignment horizontal="center" vertical="center" wrapText="1"/>
    </xf>
    <xf numFmtId="3" fontId="12" fillId="0" borderId="60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13" borderId="48" xfId="0" applyFont="1" applyFill="1" applyBorder="1" applyAlignment="1">
      <alignment horizontal="center" vertical="center"/>
    </xf>
    <xf numFmtId="0" fontId="39" fillId="13" borderId="33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7" xfId="0" applyNumberFormat="1" applyFont="1" applyBorder="1" applyAlignment="1">
      <alignment horizontal="left"/>
    </xf>
    <xf numFmtId="3" fontId="12" fillId="0" borderId="49" xfId="0" applyNumberFormat="1" applyFont="1" applyBorder="1" applyAlignment="1">
      <alignment horizontal="left"/>
    </xf>
    <xf numFmtId="3" fontId="12" fillId="0" borderId="29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 wrapText="1"/>
    </xf>
    <xf numFmtId="3" fontId="12" fillId="0" borderId="44" xfId="0" applyNumberFormat="1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3" fontId="12" fillId="13" borderId="34" xfId="0" applyNumberFormat="1" applyFont="1" applyFill="1" applyBorder="1" applyAlignment="1">
      <alignment horizontal="center" vertical="center" wrapText="1"/>
    </xf>
    <xf numFmtId="3" fontId="12" fillId="13" borderId="35" xfId="0" applyNumberFormat="1" applyFont="1" applyFill="1" applyBorder="1" applyAlignment="1">
      <alignment horizontal="center" vertical="center" wrapText="1"/>
    </xf>
    <xf numFmtId="3" fontId="12" fillId="13" borderId="36" xfId="0" applyNumberFormat="1" applyFont="1" applyFill="1" applyBorder="1" applyAlignment="1">
      <alignment horizontal="center" vertical="center" wrapText="1"/>
    </xf>
    <xf numFmtId="3" fontId="12" fillId="13" borderId="8" xfId="0" applyNumberFormat="1" applyFont="1" applyFill="1" applyBorder="1" applyAlignment="1">
      <alignment horizontal="center" vertical="center" wrapText="1"/>
    </xf>
    <xf numFmtId="3" fontId="12" fillId="13" borderId="10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2" fillId="9" borderId="40" xfId="0" applyFont="1" applyFill="1" applyBorder="1" applyAlignment="1">
      <alignment horizontal="center" vertical="center" wrapText="1"/>
    </xf>
    <xf numFmtId="0" fontId="32" fillId="9" borderId="41" xfId="0" applyFont="1" applyFill="1" applyBorder="1" applyAlignment="1">
      <alignment horizontal="center" vertical="center" wrapText="1"/>
    </xf>
    <xf numFmtId="0" fontId="32" fillId="9" borderId="4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 wrapText="1"/>
    </xf>
    <xf numFmtId="0" fontId="20" fillId="9" borderId="4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17" borderId="34" xfId="0" applyFont="1" applyFill="1" applyBorder="1" applyAlignment="1">
      <alignment horizontal="center"/>
    </xf>
    <xf numFmtId="0" fontId="5" fillId="17" borderId="33" xfId="0" applyFont="1" applyFill="1" applyBorder="1" applyAlignment="1">
      <alignment horizontal="center"/>
    </xf>
    <xf numFmtId="0" fontId="5" fillId="17" borderId="49" xfId="0" applyFont="1" applyFill="1" applyBorder="1" applyAlignment="1">
      <alignment horizontal="center"/>
    </xf>
    <xf numFmtId="0" fontId="4" fillId="17" borderId="40" xfId="0" applyFont="1" applyFill="1" applyBorder="1" applyAlignment="1">
      <alignment horizontal="center" vertical="center" wrapText="1"/>
    </xf>
    <xf numFmtId="0" fontId="4" fillId="17" borderId="42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4" fillId="26" borderId="26" xfId="0" applyFont="1" applyFill="1" applyBorder="1" applyAlignment="1">
      <alignment horizontal="center" vertical="center" wrapText="1"/>
    </xf>
    <xf numFmtId="0" fontId="27" fillId="2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22" fillId="0" borderId="26" xfId="0" applyNumberFormat="1" applyFont="1" applyBorder="1" applyAlignment="1">
      <alignment horizontal="center"/>
    </xf>
    <xf numFmtId="14" fontId="22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0">
    <cellStyle name="Millares" xfId="3" builtinId="3"/>
    <cellStyle name="Millares [0]" xfId="8" builtinId="6"/>
    <cellStyle name="Millares [0] 2" xfId="9" xr:uid="{A3B0289E-FA49-432D-B5F8-ECB07766B400}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A9EBE9"/>
      <color rgb="FF33CCCC"/>
      <color rgb="FF66FFFF"/>
      <color rgb="FFFFFF99"/>
      <color rgb="FFFFFFCC"/>
      <color rgb="FF0000FF"/>
      <color rgb="FFEF7443"/>
      <color rgb="FFF9B073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0</xdr:row>
      <xdr:rowOff>63498</xdr:rowOff>
    </xdr:from>
    <xdr:to>
      <xdr:col>0</xdr:col>
      <xdr:colOff>1340906</xdr:colOff>
      <xdr:row>0</xdr:row>
      <xdr:rowOff>1216023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D886F-36D1-41F6-BD49-BC173243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63498"/>
          <a:ext cx="12668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59531</xdr:rowOff>
    </xdr:from>
    <xdr:to>
      <xdr:col>0</xdr:col>
      <xdr:colOff>1343025</xdr:colOff>
      <xdr:row>0</xdr:row>
      <xdr:rowOff>1212056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59CEA8-50A3-4F4B-A8BD-5FC206AF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59531"/>
          <a:ext cx="690562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CC"/>
  </sheetPr>
  <dimension ref="A1:AJ55"/>
  <sheetViews>
    <sheetView tabSelected="1" topLeftCell="A4" zoomScale="90" zoomScaleNormal="90" workbookViewId="0">
      <selection activeCell="C8" sqref="C8"/>
    </sheetView>
  </sheetViews>
  <sheetFormatPr baseColWidth="10" defaultRowHeight="15" x14ac:dyDescent="0.25"/>
  <cols>
    <col min="1" max="1" width="40.28515625" customWidth="1"/>
    <col min="2" max="2" width="11.85546875" customWidth="1"/>
    <col min="3" max="3" width="12.85546875" customWidth="1"/>
    <col min="4" max="4" width="12" customWidth="1"/>
    <col min="5" max="14" width="11.85546875" customWidth="1"/>
    <col min="15" max="15" width="12.7109375" customWidth="1"/>
    <col min="16" max="18" width="13.7109375" customWidth="1"/>
    <col min="19" max="20" width="15.7109375" customWidth="1"/>
    <col min="21" max="21" width="13" customWidth="1"/>
    <col min="22" max="23" width="11.5703125" customWidth="1"/>
    <col min="24" max="24" width="13" customWidth="1"/>
    <col min="25" max="26" width="11.5703125" customWidth="1"/>
    <col min="27" max="27" width="1.42578125" customWidth="1"/>
    <col min="28" max="28" width="14.140625" customWidth="1"/>
    <col min="29" max="30" width="11.7109375" customWidth="1"/>
    <col min="31" max="31" width="1.42578125" customWidth="1"/>
    <col min="32" max="32" width="14.5703125" customWidth="1"/>
    <col min="33" max="34" width="14.42578125" customWidth="1"/>
    <col min="35" max="35" width="8.5703125" customWidth="1"/>
    <col min="36" max="36" width="31.140625" customWidth="1"/>
  </cols>
  <sheetData>
    <row r="1" spans="1:36" ht="99" customHeight="1" x14ac:dyDescent="0.3">
      <c r="A1" s="378"/>
    </row>
    <row r="2" spans="1:36" ht="8.25" customHeight="1" x14ac:dyDescent="0.3">
      <c r="A2" s="378"/>
    </row>
    <row r="3" spans="1:36" ht="18.75" x14ac:dyDescent="0.3">
      <c r="A3" s="378" t="s">
        <v>395</v>
      </c>
    </row>
    <row r="4" spans="1:36" ht="18.75" x14ac:dyDescent="0.3">
      <c r="A4" s="378" t="s">
        <v>392</v>
      </c>
    </row>
    <row r="5" spans="1:36" ht="17.25" x14ac:dyDescent="0.3">
      <c r="A5" s="379" t="s">
        <v>393</v>
      </c>
    </row>
    <row r="6" spans="1:36" x14ac:dyDescent="0.25">
      <c r="A6" s="380" t="s">
        <v>394</v>
      </c>
    </row>
    <row r="7" spans="1:36" x14ac:dyDescent="0.25">
      <c r="A7" s="16" t="s">
        <v>321</v>
      </c>
    </row>
    <row r="8" spans="1:36" x14ac:dyDescent="0.25">
      <c r="A8" t="s">
        <v>441</v>
      </c>
    </row>
    <row r="9" spans="1:36" x14ac:dyDescent="0.25">
      <c r="A9" s="16"/>
    </row>
    <row r="10" spans="1:36" s="62" customFormat="1" ht="15.75" thickBot="1" x14ac:dyDescent="0.3">
      <c r="B10" s="62">
        <v>1</v>
      </c>
      <c r="C10" s="62">
        <v>2</v>
      </c>
      <c r="D10" s="62">
        <v>3</v>
      </c>
      <c r="E10" s="62">
        <v>4</v>
      </c>
      <c r="F10" s="62">
        <v>5</v>
      </c>
      <c r="G10" s="62">
        <v>6</v>
      </c>
      <c r="H10" s="62">
        <v>7</v>
      </c>
      <c r="I10" s="62">
        <v>8</v>
      </c>
      <c r="J10" s="62">
        <v>9</v>
      </c>
      <c r="K10" s="62">
        <v>10</v>
      </c>
      <c r="L10" s="62">
        <v>11</v>
      </c>
      <c r="M10" s="62">
        <v>12</v>
      </c>
      <c r="N10" s="62">
        <v>13</v>
      </c>
      <c r="O10" s="62">
        <v>14</v>
      </c>
      <c r="P10" s="62">
        <v>15</v>
      </c>
      <c r="Q10" s="62">
        <v>16</v>
      </c>
      <c r="R10" s="62">
        <v>17</v>
      </c>
      <c r="S10" s="62">
        <v>18</v>
      </c>
      <c r="T10" s="62">
        <v>19</v>
      </c>
      <c r="U10" s="62">
        <v>20</v>
      </c>
      <c r="V10" s="62">
        <v>21</v>
      </c>
      <c r="W10" s="62">
        <v>22</v>
      </c>
      <c r="X10" s="62">
        <v>23</v>
      </c>
      <c r="Y10" s="62">
        <v>24</v>
      </c>
      <c r="Z10" s="62">
        <v>25</v>
      </c>
      <c r="AA10" s="62">
        <v>26</v>
      </c>
      <c r="AB10" s="62">
        <v>27</v>
      </c>
      <c r="AC10" s="62">
        <v>28</v>
      </c>
      <c r="AD10" s="62">
        <v>29</v>
      </c>
      <c r="AE10" s="62">
        <v>30</v>
      </c>
      <c r="AF10" s="62">
        <v>31</v>
      </c>
      <c r="AG10" s="62">
        <v>32</v>
      </c>
      <c r="AH10" s="62">
        <v>33</v>
      </c>
    </row>
    <row r="11" spans="1:36" s="406" customFormat="1" ht="30" customHeight="1" thickBot="1" x14ac:dyDescent="0.3">
      <c r="A11" s="484" t="s">
        <v>11</v>
      </c>
      <c r="B11" s="488" t="s">
        <v>1</v>
      </c>
      <c r="C11" s="488" t="s">
        <v>21</v>
      </c>
      <c r="D11" s="492" t="s">
        <v>39</v>
      </c>
      <c r="E11" s="430" t="s">
        <v>243</v>
      </c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2"/>
      <c r="V11" s="432"/>
      <c r="W11" s="432"/>
      <c r="X11" s="432"/>
      <c r="Y11" s="432"/>
      <c r="Z11" s="433"/>
      <c r="AA11" s="405"/>
      <c r="AB11" s="460" t="s">
        <v>364</v>
      </c>
      <c r="AC11" s="461"/>
      <c r="AD11" s="462"/>
      <c r="AE11" s="405"/>
      <c r="AF11" s="457" t="s">
        <v>391</v>
      </c>
      <c r="AG11" s="458"/>
      <c r="AH11" s="459"/>
    </row>
    <row r="12" spans="1:36" s="1" customFormat="1" ht="30" customHeight="1" thickBot="1" x14ac:dyDescent="0.25">
      <c r="A12" s="485"/>
      <c r="B12" s="489"/>
      <c r="C12" s="489"/>
      <c r="D12" s="493"/>
      <c r="E12" s="498" t="s">
        <v>131</v>
      </c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34" t="s">
        <v>339</v>
      </c>
      <c r="R12" s="436" t="s">
        <v>408</v>
      </c>
      <c r="S12" s="438" t="s">
        <v>336</v>
      </c>
      <c r="T12" s="440" t="s">
        <v>337</v>
      </c>
      <c r="U12" s="443" t="s">
        <v>413</v>
      </c>
      <c r="V12" s="444"/>
      <c r="W12" s="445"/>
      <c r="X12" s="443" t="s">
        <v>414</v>
      </c>
      <c r="Y12" s="444"/>
      <c r="Z12" s="445"/>
      <c r="AA12" s="89"/>
      <c r="AB12" s="472" t="s">
        <v>409</v>
      </c>
      <c r="AC12" s="473"/>
      <c r="AD12" s="474"/>
      <c r="AE12" s="89"/>
      <c r="AF12" s="478" t="s">
        <v>130</v>
      </c>
      <c r="AG12" s="481" t="s">
        <v>129</v>
      </c>
      <c r="AH12" s="425" t="s">
        <v>87</v>
      </c>
      <c r="AI12" s="428" t="s">
        <v>418</v>
      </c>
      <c r="AJ12" s="429" t="s">
        <v>419</v>
      </c>
    </row>
    <row r="13" spans="1:36" s="1" customFormat="1" ht="22.5" customHeight="1" thickBot="1" x14ac:dyDescent="0.25">
      <c r="A13" s="486"/>
      <c r="B13" s="490"/>
      <c r="C13" s="490"/>
      <c r="D13" s="494"/>
      <c r="E13" s="496" t="s">
        <v>75</v>
      </c>
      <c r="F13" s="497"/>
      <c r="G13" s="455" t="s">
        <v>93</v>
      </c>
      <c r="H13" s="453" t="s">
        <v>94</v>
      </c>
      <c r="I13" s="451" t="s">
        <v>98</v>
      </c>
      <c r="J13" s="452"/>
      <c r="K13" s="452"/>
      <c r="L13" s="452"/>
      <c r="M13" s="452"/>
      <c r="N13" s="452"/>
      <c r="O13" s="452"/>
      <c r="P13" s="449" t="s">
        <v>338</v>
      </c>
      <c r="Q13" s="435"/>
      <c r="R13" s="437"/>
      <c r="S13" s="439"/>
      <c r="T13" s="441"/>
      <c r="U13" s="446"/>
      <c r="V13" s="447"/>
      <c r="W13" s="448"/>
      <c r="X13" s="446"/>
      <c r="Y13" s="447"/>
      <c r="Z13" s="448"/>
      <c r="AA13" s="89"/>
      <c r="AB13" s="475"/>
      <c r="AC13" s="476"/>
      <c r="AD13" s="477"/>
      <c r="AE13" s="89"/>
      <c r="AF13" s="479"/>
      <c r="AG13" s="482"/>
      <c r="AH13" s="426"/>
      <c r="AI13" s="428"/>
      <c r="AJ13" s="429"/>
    </row>
    <row r="14" spans="1:36" s="123" customFormat="1" ht="62.25" customHeight="1" thickBot="1" x14ac:dyDescent="0.3">
      <c r="A14" s="487"/>
      <c r="B14" s="491"/>
      <c r="C14" s="491"/>
      <c r="D14" s="495"/>
      <c r="E14" s="404" t="s">
        <v>75</v>
      </c>
      <c r="F14" s="124" t="s">
        <v>147</v>
      </c>
      <c r="G14" s="456"/>
      <c r="H14" s="454"/>
      <c r="I14" s="125" t="s">
        <v>102</v>
      </c>
      <c r="J14" s="125" t="s">
        <v>103</v>
      </c>
      <c r="K14" s="125" t="s">
        <v>104</v>
      </c>
      <c r="L14" s="125" t="s">
        <v>105</v>
      </c>
      <c r="M14" s="125" t="s">
        <v>106</v>
      </c>
      <c r="N14" s="125" t="s">
        <v>107</v>
      </c>
      <c r="O14" s="329" t="s">
        <v>108</v>
      </c>
      <c r="P14" s="450"/>
      <c r="Q14" s="435"/>
      <c r="R14" s="437"/>
      <c r="S14" s="439"/>
      <c r="T14" s="442"/>
      <c r="U14" s="407" t="s">
        <v>416</v>
      </c>
      <c r="V14" s="399" t="s">
        <v>415</v>
      </c>
      <c r="W14" s="400" t="s">
        <v>352</v>
      </c>
      <c r="X14" s="407" t="s">
        <v>440</v>
      </c>
      <c r="Y14" s="401" t="s">
        <v>353</v>
      </c>
      <c r="Z14" s="400" t="s">
        <v>352</v>
      </c>
      <c r="AA14" s="62"/>
      <c r="AB14" s="396" t="s">
        <v>417</v>
      </c>
      <c r="AC14" s="397" t="s">
        <v>353</v>
      </c>
      <c r="AD14" s="398" t="s">
        <v>352</v>
      </c>
      <c r="AE14" s="62"/>
      <c r="AF14" s="480"/>
      <c r="AG14" s="483"/>
      <c r="AH14" s="427"/>
      <c r="AI14" s="428"/>
      <c r="AJ14" s="429"/>
    </row>
    <row r="15" spans="1:36" x14ac:dyDescent="0.25">
      <c r="A15" s="81" t="str">
        <f>Indicadores!A5</f>
        <v>UNIVERSIDAD DE CHILE</v>
      </c>
      <c r="B15" s="82" t="str">
        <f>Indicadores!B5</f>
        <v>UCH</v>
      </c>
      <c r="C15" s="83" t="str">
        <f>Indicadores!C5</f>
        <v>CRUCH-ESTATAL</v>
      </c>
      <c r="D15" s="83" t="str">
        <f>Indicadores!D5</f>
        <v>Categoría I</v>
      </c>
      <c r="E15" s="84">
        <v>2533255</v>
      </c>
      <c r="F15" s="84">
        <f t="shared" ref="F15:F32" si="0">E15*(1+$B$42)</f>
        <v>2621918.9249999998</v>
      </c>
      <c r="G15" s="85"/>
      <c r="H15" s="215">
        <v>0</v>
      </c>
      <c r="I15" s="86">
        <f>IFERROR(VLOOKUP(B15,Publicaciones!B2:E20,4,0),0)</f>
        <v>1289232.5079626015</v>
      </c>
      <c r="J15" s="86">
        <f>IFERROR(VLOOKUP(B15,Acreditación!$B$3:$K$20,10,0),0)</f>
        <v>331694.56066945591</v>
      </c>
      <c r="K15" s="86">
        <f>IFERROR(VLOOKUP(B15,'Doctorado JC '!$B$2:$E$20,4,0),0)</f>
        <v>1059917.7003816792</v>
      </c>
      <c r="L15" s="86">
        <f>IFERROR(VLOOKUP(B15,'Programas Doct. Acreditados '!$B$3:$G$20,6,0),0)</f>
        <v>1366810.3448275863</v>
      </c>
      <c r="M15" s="86">
        <f>IFERROR(VLOOKUP(B15,'Académicos JC '!$B$3:$E$20,4,0),0)</f>
        <v>796921.66711919627</v>
      </c>
      <c r="N15" s="86">
        <f>IFERROR(VLOOKUP(B15,'Matrícula Regular Pre '!B3:E20,4,0),0)</f>
        <v>708404.64838094811</v>
      </c>
      <c r="O15" s="330">
        <f>TRUNC((I15+J15+K15+L15+M15+N15),0)</f>
        <v>5552981</v>
      </c>
      <c r="P15" s="275">
        <f>SUM(F15:H15,O15)</f>
        <v>8174899.9249999998</v>
      </c>
      <c r="Q15" s="217">
        <f>IFERROR(VLOOKUP(B15,Indicadores!$B$5:$AH$22,32,0),0)</f>
        <v>3978508</v>
      </c>
      <c r="R15" s="94">
        <f>+VLOOKUP(B15,Refuerzo!$B$5:$Q$22,15,0)</f>
        <v>999372</v>
      </c>
      <c r="S15" s="349">
        <f>+P15+Q15+R15</f>
        <v>13152779.925000001</v>
      </c>
      <c r="T15" s="415">
        <f>ROUND(S15,0)</f>
        <v>13152780</v>
      </c>
      <c r="U15" s="416">
        <f>VLOOKUP(B15,'Montos Anticipo AIUE 2024 '!$B$14:$J$31,9,0)</f>
        <v>4929496</v>
      </c>
      <c r="V15" s="417">
        <f>VLOOKUP(B15,'Montos Anticipo AIUE 2024 '!$B$14:$L$31,10,0)</f>
        <v>3120674</v>
      </c>
      <c r="W15" s="418">
        <f>VLOOKUP(B15,'Montos Anticipo AIUE 2024 '!$B$14:$L$31,11,0)</f>
        <v>1808822</v>
      </c>
      <c r="X15" s="416">
        <f>+T15-U15</f>
        <v>8223284</v>
      </c>
      <c r="Y15" s="417">
        <v>2464191</v>
      </c>
      <c r="Z15" s="418">
        <f>+X15-Y15</f>
        <v>5759093</v>
      </c>
      <c r="AA15" s="62"/>
      <c r="AB15" s="402"/>
      <c r="AC15" s="394"/>
      <c r="AD15" s="395"/>
      <c r="AE15" s="62"/>
      <c r="AF15" s="355">
        <f>+T15+AB15</f>
        <v>13152780</v>
      </c>
      <c r="AG15" s="90">
        <f>ROUND(AF15,0)</f>
        <v>13152780</v>
      </c>
      <c r="AH15" s="356">
        <f>AG15/$AG$33</f>
        <v>0.14509488087586042</v>
      </c>
      <c r="AI15" s="390" t="str">
        <f t="shared" ref="AI15:AI32" si="1">+B15</f>
        <v>UCH</v>
      </c>
      <c r="AJ15" s="287" t="s">
        <v>420</v>
      </c>
    </row>
    <row r="16" spans="1:36" ht="15.75" customHeight="1" x14ac:dyDescent="0.25">
      <c r="A16" s="37" t="str">
        <f>Indicadores!A6</f>
        <v>UNIVERSIDAD DE SANTIAGO DE CHILE</v>
      </c>
      <c r="B16" s="63" t="str">
        <f>Indicadores!B6</f>
        <v>USA</v>
      </c>
      <c r="C16" s="64" t="str">
        <f>Indicadores!C6</f>
        <v>CRUCH-ESTATAL</v>
      </c>
      <c r="D16" s="64" t="str">
        <f>Indicadores!D6</f>
        <v>Categoría I</v>
      </c>
      <c r="E16" s="36">
        <v>654779</v>
      </c>
      <c r="F16" s="36">
        <f t="shared" si="0"/>
        <v>677696.2649999999</v>
      </c>
      <c r="G16" s="65"/>
      <c r="H16" s="215">
        <v>100000</v>
      </c>
      <c r="I16" s="66">
        <f>IFERROR(VLOOKUP(B16,Publicaciones!B3:E21,4,0),0)</f>
        <v>415393.50662693928</v>
      </c>
      <c r="J16" s="66">
        <f>IFERROR(VLOOKUP(B16,Acreditación!$B$3:$K$20,10,0),0)</f>
        <v>331694.56066945591</v>
      </c>
      <c r="K16" s="66">
        <f>IFERROR(VLOOKUP(B16,'Doctorado JC '!$B$2:$E$20,4,0),0)</f>
        <v>432251.90839694656</v>
      </c>
      <c r="L16" s="86">
        <f>IFERROR(VLOOKUP(B16,'Programas Doct. Acreditados '!$B$3:$G$20,6,0),0)</f>
        <v>423060.3448275862</v>
      </c>
      <c r="M16" s="66">
        <f>IFERROR(VLOOKUP(B16,'Académicos JC '!$B$3:$E$20,4,0),0)</f>
        <v>346443.11702416505</v>
      </c>
      <c r="N16" s="66">
        <f>IFERROR(VLOOKUP(B16,'Matrícula Regular Pre '!B4:E21,4,0),0)</f>
        <v>444451.54023733799</v>
      </c>
      <c r="O16" s="330">
        <f t="shared" ref="O16:O32" si="2">TRUNC((I16+J16+K16+L16+M16+N16),0)</f>
        <v>2393294</v>
      </c>
      <c r="P16" s="275">
        <f t="shared" ref="P16:P32" si="3">SUM(F16:H16,O16)</f>
        <v>3170990.2649999997</v>
      </c>
      <c r="Q16" s="217">
        <f>IFERROR(VLOOKUP(B16,Indicadores!$B$5:$AH$22,32,0),0)</f>
        <v>3591837</v>
      </c>
      <c r="R16" s="94">
        <f>+VLOOKUP(B16,Refuerzo!$B$5:$Q$22,15,0)</f>
        <v>714148</v>
      </c>
      <c r="S16" s="349">
        <f t="shared" ref="S16:S32" si="4">+P16+Q16+R16</f>
        <v>7476975.2649999997</v>
      </c>
      <c r="T16" s="415">
        <f t="shared" ref="T16:T32" si="5">ROUND(S16,0)</f>
        <v>7476975</v>
      </c>
      <c r="U16" s="419">
        <f>VLOOKUP(B16,'Montos Anticipo AIUE 2024 '!$B$14:$J$31,9,0)</f>
        <v>2876782</v>
      </c>
      <c r="V16" s="417">
        <f>VLOOKUP(B16,'Montos Anticipo AIUE 2024 '!$B$14:$L$31,10,0)</f>
        <v>1821180</v>
      </c>
      <c r="W16" s="418">
        <f>VLOOKUP(B16,'Montos Anticipo AIUE 2024 '!$B$14:$L$31,11,0)</f>
        <v>1055602</v>
      </c>
      <c r="X16" s="419">
        <f t="shared" ref="X16:X32" si="6">+T16-U16</f>
        <v>4600193</v>
      </c>
      <c r="Y16" s="417">
        <v>2758553</v>
      </c>
      <c r="Z16" s="418">
        <f t="shared" ref="Z16:Z32" si="7">+X16-Y16</f>
        <v>1841640</v>
      </c>
      <c r="AA16" s="62"/>
      <c r="AB16" s="403"/>
      <c r="AC16" s="394"/>
      <c r="AD16" s="395"/>
      <c r="AE16" s="62"/>
      <c r="AF16" s="355">
        <f t="shared" ref="AF16:AF32" si="8">+T16+AB16</f>
        <v>7476975</v>
      </c>
      <c r="AG16" s="91">
        <f t="shared" ref="AG16:AG32" si="9">ROUND(AF16,0)</f>
        <v>7476975</v>
      </c>
      <c r="AH16" s="357">
        <f t="shared" ref="AH16:AH32" si="10">AG16/$AG$33</f>
        <v>8.2482243064719893E-2</v>
      </c>
      <c r="AI16" s="390" t="str">
        <f t="shared" si="1"/>
        <v>USA</v>
      </c>
      <c r="AJ16" s="287" t="s">
        <v>420</v>
      </c>
    </row>
    <row r="17" spans="1:36" x14ac:dyDescent="0.25">
      <c r="A17" s="37" t="str">
        <f>Indicadores!A7</f>
        <v>UNIVERSIDAD DE ANTOFAGASTA</v>
      </c>
      <c r="B17" s="63" t="str">
        <f>Indicadores!B7</f>
        <v>ANT</v>
      </c>
      <c r="C17" s="64" t="str">
        <f>Indicadores!C7</f>
        <v>CRUCH-ESTATAL</v>
      </c>
      <c r="D17" s="64" t="str">
        <f>Indicadores!D7</f>
        <v>Categoría II</v>
      </c>
      <c r="E17" s="36">
        <v>64006</v>
      </c>
      <c r="F17" s="36">
        <f t="shared" si="0"/>
        <v>66246.209999999992</v>
      </c>
      <c r="G17" s="65"/>
      <c r="H17" s="215">
        <v>50000</v>
      </c>
      <c r="I17" s="66">
        <f>IFERROR(VLOOKUP(B17,Publicaciones!B4:E22,4,0),0)</f>
        <v>136913.07921504162</v>
      </c>
      <c r="J17" s="66">
        <f>IFERROR(VLOOKUP(B17,Acreditación!$B$3:$K$20,10,0),0)</f>
        <v>300104.60251046013</v>
      </c>
      <c r="K17" s="66">
        <f>IFERROR(VLOOKUP(B17,'Doctorado JC '!$B$2:$E$20,4,0),0)</f>
        <v>136879.77099236639</v>
      </c>
      <c r="L17" s="86">
        <f>IFERROR(VLOOKUP(B17,'Programas Doct. Acreditados '!$B$3:$G$20,6,0),0)</f>
        <v>162715.51724137933</v>
      </c>
      <c r="M17" s="66">
        <f>IFERROR(VLOOKUP(B17,'Académicos JC '!$B$3:$E$20,4,0),0)</f>
        <v>208583.35595981535</v>
      </c>
      <c r="N17" s="66">
        <f>IFERROR(VLOOKUP(B17,'Matrícula Regular Pre '!B5:E22,4,0),0)</f>
        <v>156443.22837770611</v>
      </c>
      <c r="O17" s="330">
        <f t="shared" si="2"/>
        <v>1101639</v>
      </c>
      <c r="P17" s="275">
        <f t="shared" si="3"/>
        <v>1217885.21</v>
      </c>
      <c r="Q17" s="217">
        <f>IFERROR(VLOOKUP(B17,Indicadores!$B$5:$AH$22,32,0),0)</f>
        <v>2958309</v>
      </c>
      <c r="R17" s="94">
        <f>+VLOOKUP(B17,Refuerzo!$B$5:$Q$22,15,0)</f>
        <v>471646</v>
      </c>
      <c r="S17" s="349">
        <f t="shared" si="4"/>
        <v>4647840.21</v>
      </c>
      <c r="T17" s="415">
        <f t="shared" si="5"/>
        <v>4647840</v>
      </c>
      <c r="U17" s="419">
        <f>VLOOKUP(B17,'Montos Anticipo AIUE 2024 '!$B$14:$J$31,9,0)</f>
        <v>1784649</v>
      </c>
      <c r="V17" s="417">
        <f>VLOOKUP(B17,'Montos Anticipo AIUE 2024 '!$B$14:$L$31,10,0)</f>
        <v>1129792</v>
      </c>
      <c r="W17" s="418">
        <f>VLOOKUP(B17,'Montos Anticipo AIUE 2024 '!$B$14:$L$31,11,0)</f>
        <v>654857</v>
      </c>
      <c r="X17" s="419">
        <f t="shared" si="6"/>
        <v>2863191</v>
      </c>
      <c r="Y17" s="417">
        <v>1430623</v>
      </c>
      <c r="Z17" s="418">
        <f t="shared" si="7"/>
        <v>1432568</v>
      </c>
      <c r="AA17" s="62"/>
      <c r="AB17" s="403"/>
      <c r="AC17" s="394"/>
      <c r="AD17" s="395"/>
      <c r="AE17" s="62"/>
      <c r="AF17" s="355">
        <f t="shared" si="8"/>
        <v>4647840</v>
      </c>
      <c r="AG17" s="91">
        <f t="shared" si="9"/>
        <v>4647840</v>
      </c>
      <c r="AH17" s="357">
        <f t="shared" si="10"/>
        <v>5.1272642827604444E-2</v>
      </c>
      <c r="AI17" s="390" t="str">
        <f t="shared" si="1"/>
        <v>ANT</v>
      </c>
      <c r="AJ17" s="287" t="s">
        <v>421</v>
      </c>
    </row>
    <row r="18" spans="1:36" x14ac:dyDescent="0.25">
      <c r="A18" s="37" t="str">
        <f>Indicadores!A8</f>
        <v>UNIVERSIDAD DE LA FRONTERA</v>
      </c>
      <c r="B18" s="63" t="str">
        <f>Indicadores!B8</f>
        <v>FRO</v>
      </c>
      <c r="C18" s="64" t="str">
        <f>Indicadores!C8</f>
        <v>CRUCH-ESTATAL</v>
      </c>
      <c r="D18" s="64" t="str">
        <f>Indicadores!D8</f>
        <v>Categoría II</v>
      </c>
      <c r="E18" s="36">
        <v>227255</v>
      </c>
      <c r="F18" s="36">
        <f t="shared" si="0"/>
        <v>235208.92499999999</v>
      </c>
      <c r="G18" s="65"/>
      <c r="H18" s="215">
        <v>50000</v>
      </c>
      <c r="I18" s="66">
        <f>IFERROR(VLOOKUP(B18,Publicaciones!B5:E23,4,0),0)</f>
        <v>323859.54998458852</v>
      </c>
      <c r="J18" s="66">
        <f>IFERROR(VLOOKUP(B18,Acreditación!$B$3:$K$20,10,0),0)</f>
        <v>315899.58158995805</v>
      </c>
      <c r="K18" s="66">
        <f>IFERROR(VLOOKUP(B18,'Doctorado JC '!$B$2:$E$20,4,0),0)</f>
        <v>262052.71946564884</v>
      </c>
      <c r="L18" s="86">
        <f>IFERROR(VLOOKUP(B18,'Programas Doct. Acreditados '!$B$3:$G$20,6,0),0)</f>
        <v>292887.93103448278</v>
      </c>
      <c r="M18" s="66">
        <f>IFERROR(VLOOKUP(B18,'Académicos JC '!$B$3:$E$20,4,0),0)</f>
        <v>210633.3152321477</v>
      </c>
      <c r="N18" s="66">
        <f>IFERROR(VLOOKUP(B18,'Matrícula Regular Pre '!B6:E23,4,0),0)</f>
        <v>229410.67964963862</v>
      </c>
      <c r="O18" s="330">
        <f t="shared" si="2"/>
        <v>1634743</v>
      </c>
      <c r="P18" s="275">
        <f t="shared" si="3"/>
        <v>1919951.925</v>
      </c>
      <c r="Q18" s="217">
        <f>IFERROR(VLOOKUP(B18,Indicadores!$B$5:$AH$22,32,0),0)</f>
        <v>3166561</v>
      </c>
      <c r="R18" s="94">
        <f>+VLOOKUP(B18,Refuerzo!$B$5:$Q$22,15,0)</f>
        <v>586382</v>
      </c>
      <c r="S18" s="349">
        <f t="shared" si="4"/>
        <v>5672894.9249999998</v>
      </c>
      <c r="T18" s="415">
        <f t="shared" si="5"/>
        <v>5672895</v>
      </c>
      <c r="U18" s="419">
        <f>VLOOKUP(B18,'Montos Anticipo AIUE 2024 '!$B$14:$J$31,9,0)</f>
        <v>2081152</v>
      </c>
      <c r="V18" s="417">
        <f>VLOOKUP(B18,'Montos Anticipo AIUE 2024 '!$B$14:$L$31,10,0)</f>
        <v>1317497</v>
      </c>
      <c r="W18" s="418">
        <f>VLOOKUP(B18,'Montos Anticipo AIUE 2024 '!$B$14:$L$31,11,0)</f>
        <v>763655</v>
      </c>
      <c r="X18" s="419">
        <f t="shared" si="6"/>
        <v>3591743</v>
      </c>
      <c r="Y18" s="417">
        <v>2692586</v>
      </c>
      <c r="Z18" s="418">
        <f t="shared" si="7"/>
        <v>899157</v>
      </c>
      <c r="AA18" s="62"/>
      <c r="AB18" s="403"/>
      <c r="AC18" s="394"/>
      <c r="AD18" s="395"/>
      <c r="AE18" s="62"/>
      <c r="AF18" s="355">
        <f t="shared" si="8"/>
        <v>5672895</v>
      </c>
      <c r="AG18" s="91">
        <f t="shared" si="9"/>
        <v>5672895</v>
      </c>
      <c r="AH18" s="357">
        <f t="shared" si="10"/>
        <v>6.2580536148727814E-2</v>
      </c>
      <c r="AI18" s="390" t="str">
        <f t="shared" si="1"/>
        <v>FRO</v>
      </c>
      <c r="AJ18" s="287" t="s">
        <v>422</v>
      </c>
    </row>
    <row r="19" spans="1:36" x14ac:dyDescent="0.25">
      <c r="A19" s="37" t="str">
        <f>Indicadores!A9</f>
        <v>UNIVERSIDAD DE TALCA</v>
      </c>
      <c r="B19" s="63" t="str">
        <f>Indicadores!B9</f>
        <v>TAL</v>
      </c>
      <c r="C19" s="64" t="str">
        <f>Indicadores!C9</f>
        <v>CRUCH-ESTATAL</v>
      </c>
      <c r="D19" s="64" t="str">
        <f>Indicadores!D9</f>
        <v>Categoría I</v>
      </c>
      <c r="E19" s="36">
        <v>224727</v>
      </c>
      <c r="F19" s="36">
        <f t="shared" si="0"/>
        <v>232592.44499999998</v>
      </c>
      <c r="G19" s="65"/>
      <c r="H19" s="215">
        <v>50000</v>
      </c>
      <c r="I19" s="66">
        <f>IFERROR(VLOOKUP(B19,Publicaciones!B6:E24,4,0),0)</f>
        <v>274214.01417856774</v>
      </c>
      <c r="J19" s="66">
        <f>IFERROR(VLOOKUP(B19,Acreditación!$B$3:$K$20,10,0),0)</f>
        <v>315899.58158995805</v>
      </c>
      <c r="K19" s="66">
        <f>IFERROR(VLOOKUP(B19,'Doctorado JC '!$B$2:$E$20,4,0),0)</f>
        <v>242241.17366412215</v>
      </c>
      <c r="L19" s="86">
        <f>IFERROR(VLOOKUP(B19,'Programas Doct. Acreditados '!$B$3:$G$20,6,0),0)</f>
        <v>357974.13793103449</v>
      </c>
      <c r="M19" s="66">
        <f>IFERROR(VLOOKUP(B19,'Académicos JC '!$B$3:$E$20,4,0),0)</f>
        <v>255732.41922345915</v>
      </c>
      <c r="N19" s="66">
        <f>IFERROR(VLOOKUP(B19,'Matrícula Regular Pre '!B7:E24,4,0),0)</f>
        <v>221413.37946685596</v>
      </c>
      <c r="O19" s="330">
        <f t="shared" si="2"/>
        <v>1667474</v>
      </c>
      <c r="P19" s="275">
        <f t="shared" si="3"/>
        <v>1950066.4449999998</v>
      </c>
      <c r="Q19" s="217">
        <f>IFERROR(VLOOKUP(B19,Indicadores!$B$5:$AH$22,32,0),0)</f>
        <v>4433708</v>
      </c>
      <c r="R19" s="94">
        <f>+VLOOKUP(B19,Refuerzo!$B$5:$Q$22,15,0)</f>
        <v>535954</v>
      </c>
      <c r="S19" s="349">
        <f t="shared" si="4"/>
        <v>6919728.4450000003</v>
      </c>
      <c r="T19" s="415">
        <f t="shared" si="5"/>
        <v>6919728</v>
      </c>
      <c r="U19" s="419">
        <f>VLOOKUP(B19,'Montos Anticipo AIUE 2024 '!$B$14:$J$31,9,0)</f>
        <v>2530627</v>
      </c>
      <c r="V19" s="417">
        <f>VLOOKUP(B19,'Montos Anticipo AIUE 2024 '!$B$14:$L$31,10,0)</f>
        <v>1602042</v>
      </c>
      <c r="W19" s="418">
        <f>VLOOKUP(B19,'Montos Anticipo AIUE 2024 '!$B$14:$L$31,11,0)</f>
        <v>928585</v>
      </c>
      <c r="X19" s="419">
        <f t="shared" si="6"/>
        <v>4389101</v>
      </c>
      <c r="Y19" s="417">
        <v>3290335</v>
      </c>
      <c r="Z19" s="418">
        <f t="shared" si="7"/>
        <v>1098766</v>
      </c>
      <c r="AA19" s="62"/>
      <c r="AB19" s="403"/>
      <c r="AC19" s="394"/>
      <c r="AD19" s="395"/>
      <c r="AE19" s="62"/>
      <c r="AF19" s="355">
        <f t="shared" si="8"/>
        <v>6919728</v>
      </c>
      <c r="AG19" s="91">
        <f t="shared" si="9"/>
        <v>6919728</v>
      </c>
      <c r="AH19" s="357">
        <f t="shared" si="10"/>
        <v>7.6334973279668331E-2</v>
      </c>
      <c r="AI19" s="390" t="str">
        <f t="shared" si="1"/>
        <v>TAL</v>
      </c>
      <c r="AJ19" s="287" t="s">
        <v>423</v>
      </c>
    </row>
    <row r="20" spans="1:36" x14ac:dyDescent="0.25">
      <c r="A20" s="37" t="str">
        <f>Indicadores!A10</f>
        <v>UNIVERSIDAD DE TARAPACÁ</v>
      </c>
      <c r="B20" s="63" t="str">
        <f>Indicadores!B10</f>
        <v>UTA</v>
      </c>
      <c r="C20" s="64" t="str">
        <f>Indicadores!C10</f>
        <v>CRUCH-ESTATAL</v>
      </c>
      <c r="D20" s="64" t="str">
        <f>Indicadores!D10</f>
        <v>Categoría II</v>
      </c>
      <c r="E20" s="36">
        <v>25944</v>
      </c>
      <c r="F20" s="36">
        <f t="shared" si="0"/>
        <v>26852.039999999997</v>
      </c>
      <c r="G20" s="65"/>
      <c r="H20" s="215">
        <v>50000</v>
      </c>
      <c r="I20" s="66">
        <f>IFERROR(VLOOKUP(B20,Publicaciones!B7:E25,4,0),0)</f>
        <v>230386.31459981506</v>
      </c>
      <c r="J20" s="66">
        <f>IFERROR(VLOOKUP(B20,Acreditación!$B$3:$K$20,10,0),0)</f>
        <v>315899.58158995805</v>
      </c>
      <c r="K20" s="66">
        <f>IFERROR(VLOOKUP(B20,'Doctorado JC '!$B$2:$E$20,4,0),0)</f>
        <v>185508.11068702288</v>
      </c>
      <c r="L20" s="86">
        <f>IFERROR(VLOOKUP(B20,'Programas Doct. Acreditados '!$B$3:$G$20,6,0),0)</f>
        <v>195258.62068965516</v>
      </c>
      <c r="M20" s="66">
        <f>IFERROR(VLOOKUP(B20,'Académicos JC '!$B$3:$E$20,4,0),0)</f>
        <v>182446.37523757806</v>
      </c>
      <c r="N20" s="66">
        <f>IFERROR(VLOOKUP(B20,'Matrícula Regular Pre '!B8:E25,4,0),0)</f>
        <v>212508.73388074967</v>
      </c>
      <c r="O20" s="330">
        <f t="shared" si="2"/>
        <v>1322007</v>
      </c>
      <c r="P20" s="275">
        <f t="shared" si="3"/>
        <v>1398859.04</v>
      </c>
      <c r="Q20" s="217">
        <f>IFERROR(VLOOKUP(B20,Indicadores!$B$5:$AH$22,32,0),0)</f>
        <v>3545947</v>
      </c>
      <c r="R20" s="94">
        <f>+VLOOKUP(B20,Refuerzo!$B$5:$Q$22,15,0)</f>
        <v>558316</v>
      </c>
      <c r="S20" s="349">
        <f t="shared" si="4"/>
        <v>5503122.04</v>
      </c>
      <c r="T20" s="415">
        <f t="shared" si="5"/>
        <v>5503122</v>
      </c>
      <c r="U20" s="419">
        <f>VLOOKUP(B20,'Montos Anticipo AIUE 2024 '!$B$14:$J$31,9,0)</f>
        <v>1811669</v>
      </c>
      <c r="V20" s="417">
        <f>VLOOKUP(B20,'Montos Anticipo AIUE 2024 '!$B$14:$L$31,10,0)</f>
        <v>1146898</v>
      </c>
      <c r="W20" s="418">
        <f>VLOOKUP(B20,'Montos Anticipo AIUE 2024 '!$B$14:$L$31,11,0)</f>
        <v>664771</v>
      </c>
      <c r="X20" s="419">
        <f t="shared" si="6"/>
        <v>3691453</v>
      </c>
      <c r="Y20" s="417">
        <v>2398190</v>
      </c>
      <c r="Z20" s="418">
        <f t="shared" si="7"/>
        <v>1293263</v>
      </c>
      <c r="AA20" s="62"/>
      <c r="AB20" s="403">
        <v>1059464</v>
      </c>
      <c r="AC20" s="394">
        <v>900544</v>
      </c>
      <c r="AD20" s="395">
        <v>158920</v>
      </c>
      <c r="AE20" s="62"/>
      <c r="AF20" s="355">
        <f t="shared" si="8"/>
        <v>6562586</v>
      </c>
      <c r="AG20" s="91">
        <f t="shared" si="9"/>
        <v>6562586</v>
      </c>
      <c r="AH20" s="357">
        <f t="shared" si="10"/>
        <v>7.2395161624203355E-2</v>
      </c>
      <c r="AI20" s="390" t="str">
        <f t="shared" si="1"/>
        <v>UTA</v>
      </c>
      <c r="AJ20" s="287" t="s">
        <v>424</v>
      </c>
    </row>
    <row r="21" spans="1:36" x14ac:dyDescent="0.25">
      <c r="A21" s="37" t="str">
        <f>Indicadores!A11</f>
        <v>UNIVERSIDAD DE VALPARAÍSO</v>
      </c>
      <c r="B21" s="63" t="str">
        <f>Indicadores!B11</f>
        <v>UVA</v>
      </c>
      <c r="C21" s="64" t="str">
        <f>Indicadores!C11</f>
        <v>CRUCH-ESTATAL</v>
      </c>
      <c r="D21" s="64" t="str">
        <f>Indicadores!D11</f>
        <v>Categoría II</v>
      </c>
      <c r="E21" s="36">
        <v>281374</v>
      </c>
      <c r="F21" s="36">
        <f t="shared" si="0"/>
        <v>291222.08999999997</v>
      </c>
      <c r="G21" s="65"/>
      <c r="H21" s="215">
        <v>0</v>
      </c>
      <c r="I21" s="66">
        <f>IFERROR(VLOOKUP(B21,Publicaciones!B8:E26,4,0),0)</f>
        <v>247064.11178465016</v>
      </c>
      <c r="J21" s="66">
        <f>IFERROR(VLOOKUP(B21,Acreditación!$B$3:$K$20,10,0),0)</f>
        <v>315899.58158995805</v>
      </c>
      <c r="K21" s="66">
        <f>IFERROR(VLOOKUP(B21,'Doctorado JC '!$B$2:$E$20,4,0),0)</f>
        <v>275560.59160305344</v>
      </c>
      <c r="L21" s="86">
        <f>IFERROR(VLOOKUP(B21,'Programas Doct. Acreditados '!$B$3:$G$20,6,0),0)</f>
        <v>292887.93103448278</v>
      </c>
      <c r="M21" s="66">
        <f>IFERROR(VLOOKUP(B21,'Académicos JC '!$B$3:$E$20,4,0),0)</f>
        <v>293656.66576160741</v>
      </c>
      <c r="N21" s="66">
        <f>IFERROR(VLOOKUP(B21,'Matrícula Regular Pre '!B9:E26,4,0),0)</f>
        <v>315186.4718475581</v>
      </c>
      <c r="O21" s="330">
        <f t="shared" si="2"/>
        <v>1740255</v>
      </c>
      <c r="P21" s="275">
        <f t="shared" si="3"/>
        <v>2031477.0899999999</v>
      </c>
      <c r="Q21" s="217">
        <f>IFERROR(VLOOKUP(B21,Indicadores!$B$5:$AH$22,32,0),0)</f>
        <v>2837824</v>
      </c>
      <c r="R21" s="94">
        <f>+VLOOKUP(B21,Refuerzo!$B$5:$Q$22,15,0)</f>
        <v>589034</v>
      </c>
      <c r="S21" s="349">
        <f t="shared" si="4"/>
        <v>5458335.0899999999</v>
      </c>
      <c r="T21" s="415">
        <f t="shared" si="5"/>
        <v>5458335</v>
      </c>
      <c r="U21" s="419">
        <f>VLOOKUP(B21,'Montos Anticipo AIUE 2024 '!$B$14:$J$31,9,0)</f>
        <v>1903446</v>
      </c>
      <c r="V21" s="417">
        <f>VLOOKUP(B21,'Montos Anticipo AIUE 2024 '!$B$14:$L$31,10,0)</f>
        <v>1204998</v>
      </c>
      <c r="W21" s="418">
        <f>VLOOKUP(B21,'Montos Anticipo AIUE 2024 '!$B$14:$L$31,11,0)</f>
        <v>698448</v>
      </c>
      <c r="X21" s="419">
        <f t="shared" si="6"/>
        <v>3554889</v>
      </c>
      <c r="Y21" s="417">
        <v>1589858</v>
      </c>
      <c r="Z21" s="418">
        <f t="shared" si="7"/>
        <v>1965031</v>
      </c>
      <c r="AA21" s="62"/>
      <c r="AB21" s="403"/>
      <c r="AC21" s="394"/>
      <c r="AD21" s="395"/>
      <c r="AE21" s="62"/>
      <c r="AF21" s="355">
        <f t="shared" si="8"/>
        <v>5458335</v>
      </c>
      <c r="AG21" s="91">
        <f t="shared" si="9"/>
        <v>5458335</v>
      </c>
      <c r="AH21" s="357">
        <f t="shared" si="10"/>
        <v>6.0213617699493162E-2</v>
      </c>
      <c r="AI21" s="390" t="str">
        <f t="shared" si="1"/>
        <v>UVA</v>
      </c>
      <c r="AJ21" s="287" t="s">
        <v>425</v>
      </c>
    </row>
    <row r="22" spans="1:36" x14ac:dyDescent="0.25">
      <c r="A22" s="37" t="str">
        <f>Indicadores!A12</f>
        <v>UNIVERSIDAD DEL BÍO-BÍO</v>
      </c>
      <c r="B22" s="63" t="str">
        <f>Indicadores!B12</f>
        <v>UBB</v>
      </c>
      <c r="C22" s="64" t="str">
        <f>Indicadores!C12</f>
        <v>CRUCH-ESTATAL</v>
      </c>
      <c r="D22" s="64" t="str">
        <f>Indicadores!D12</f>
        <v>Categoría II</v>
      </c>
      <c r="E22" s="36">
        <v>99466</v>
      </c>
      <c r="F22" s="36">
        <f t="shared" si="0"/>
        <v>102947.31</v>
      </c>
      <c r="G22" s="65"/>
      <c r="H22" s="215">
        <v>50000</v>
      </c>
      <c r="I22" s="66">
        <f>IFERROR(VLOOKUP(B22,Publicaciones!B9:E27,4,0),0)</f>
        <v>181904.34603924793</v>
      </c>
      <c r="J22" s="66">
        <f>IFERROR(VLOOKUP(B22,Acreditación!$B$3:$K$20,10,0),0)</f>
        <v>300104.60251046013</v>
      </c>
      <c r="K22" s="66">
        <f>IFERROR(VLOOKUP(B22,'Doctorado JC '!$B$2:$E$20,4,0),0)</f>
        <v>265654.81870229007</v>
      </c>
      <c r="L22" s="86">
        <f>IFERROR(VLOOKUP(B22,'Programas Doct. Acreditados '!$B$3:$G$20,6,0),0)</f>
        <v>162715.51724137933</v>
      </c>
      <c r="M22" s="66">
        <f>IFERROR(VLOOKUP(B22,'Académicos JC '!$B$3:$E$20,4,0),0)</f>
        <v>243432.66358946514</v>
      </c>
      <c r="N22" s="66">
        <f>IFERROR(VLOOKUP(B22,'Matrícula Regular Pre '!B10:E27,4,0),0)</f>
        <v>225696.89381277913</v>
      </c>
      <c r="O22" s="330">
        <f t="shared" si="2"/>
        <v>1379508</v>
      </c>
      <c r="P22" s="275">
        <f t="shared" si="3"/>
        <v>1532455.31</v>
      </c>
      <c r="Q22" s="217">
        <f>IFERROR(VLOOKUP(B22,Indicadores!$B$5:$AH$22,32,0),0)</f>
        <v>2839902</v>
      </c>
      <c r="R22" s="94">
        <f>+VLOOKUP(B22,Refuerzo!$B$5:$Q$22,15,0)</f>
        <v>558732</v>
      </c>
      <c r="S22" s="349">
        <f t="shared" si="4"/>
        <v>4931089.3100000005</v>
      </c>
      <c r="T22" s="415">
        <f t="shared" si="5"/>
        <v>4931089</v>
      </c>
      <c r="U22" s="419">
        <f>VLOOKUP(B22,'Montos Anticipo AIUE 2024 '!$B$14:$J$31,9,0)</f>
        <v>1686221</v>
      </c>
      <c r="V22" s="417">
        <f>VLOOKUP(B22,'Montos Anticipo AIUE 2024 '!$B$14:$L$31,10,0)</f>
        <v>1067481</v>
      </c>
      <c r="W22" s="418">
        <f>VLOOKUP(B22,'Montos Anticipo AIUE 2024 '!$B$14:$L$31,11,0)</f>
        <v>618740</v>
      </c>
      <c r="X22" s="419">
        <f t="shared" si="6"/>
        <v>3244868</v>
      </c>
      <c r="Y22" s="417">
        <v>2270305</v>
      </c>
      <c r="Z22" s="418">
        <f t="shared" si="7"/>
        <v>974563</v>
      </c>
      <c r="AA22" s="62"/>
      <c r="AB22" s="403"/>
      <c r="AC22" s="394"/>
      <c r="AD22" s="395"/>
      <c r="AE22" s="62"/>
      <c r="AF22" s="355">
        <f t="shared" si="8"/>
        <v>4931089</v>
      </c>
      <c r="AG22" s="91">
        <f t="shared" si="9"/>
        <v>4931089</v>
      </c>
      <c r="AH22" s="357">
        <f t="shared" si="10"/>
        <v>5.4397303919267698E-2</v>
      </c>
      <c r="AI22" s="390" t="str">
        <f t="shared" si="1"/>
        <v>UBB</v>
      </c>
      <c r="AJ22" s="287" t="s">
        <v>426</v>
      </c>
    </row>
    <row r="23" spans="1:36" x14ac:dyDescent="0.25">
      <c r="A23" s="37" t="str">
        <f>Indicadores!A13</f>
        <v>UNIVERSIDAD DE LA SERENA</v>
      </c>
      <c r="B23" s="63" t="str">
        <f>Indicadores!B13</f>
        <v>ULS</v>
      </c>
      <c r="C23" s="64" t="str">
        <f>Indicadores!C13</f>
        <v>CRUCH-ESTATAL</v>
      </c>
      <c r="D23" s="64" t="str">
        <f>Indicadores!D13</f>
        <v>Categoría II</v>
      </c>
      <c r="E23" s="36">
        <v>108535</v>
      </c>
      <c r="F23" s="36">
        <f t="shared" si="0"/>
        <v>112333.72499999999</v>
      </c>
      <c r="G23" s="65"/>
      <c r="H23" s="215">
        <v>50000</v>
      </c>
      <c r="I23" s="66">
        <f>IFERROR(VLOOKUP(B23,Publicaciones!B10:E28,4,0),0)</f>
        <v>104721.05209082503</v>
      </c>
      <c r="J23" s="66">
        <f>IFERROR(VLOOKUP(B23,Acreditación!$B$3:$K$20,10,0),0)</f>
        <v>189539.74895397483</v>
      </c>
      <c r="K23" s="66">
        <f>IFERROR(VLOOKUP(B23,'Doctorado JC '!$B$2:$E$20,4,0),0)</f>
        <v>101759.3034351145</v>
      </c>
      <c r="L23" s="86">
        <f>IFERROR(VLOOKUP(B23,'Programas Doct. Acreditados '!$B$3:$G$20,6,0),0)</f>
        <v>162715.51724137933</v>
      </c>
      <c r="M23" s="66">
        <f>IFERROR(VLOOKUP(B23,'Académicos JC '!$B$3:$E$20,4,0),0)</f>
        <v>106085.39234319847</v>
      </c>
      <c r="N23" s="66">
        <f>IFERROR(VLOOKUP(B23,'Matrícula Regular Pre '!B11:E28,4,0),0)</f>
        <v>157899.20123420216</v>
      </c>
      <c r="O23" s="330">
        <f t="shared" si="2"/>
        <v>822720</v>
      </c>
      <c r="P23" s="275">
        <f t="shared" si="3"/>
        <v>985053.72499999998</v>
      </c>
      <c r="Q23" s="217">
        <f>IFERROR(VLOOKUP(B23,Indicadores!$B$5:$AH$22,32,0),0)</f>
        <v>2459633</v>
      </c>
      <c r="R23" s="94">
        <f>+VLOOKUP(B23,Refuerzo!$B$5:$Q$22,15,0)</f>
        <v>506261</v>
      </c>
      <c r="S23" s="349">
        <f t="shared" si="4"/>
        <v>3950947.7250000001</v>
      </c>
      <c r="T23" s="415">
        <f t="shared" si="5"/>
        <v>3950948</v>
      </c>
      <c r="U23" s="419">
        <f>VLOOKUP(B23,'Montos Anticipo AIUE 2024 '!$B$14:$J$31,9,0)</f>
        <v>1440872</v>
      </c>
      <c r="V23" s="417">
        <f>VLOOKUP(B23,'Montos Anticipo AIUE 2024 '!$B$14:$L$31,10,0)</f>
        <v>912160</v>
      </c>
      <c r="W23" s="418">
        <f>VLOOKUP(B23,'Montos Anticipo AIUE 2024 '!$B$14:$L$31,11,0)</f>
        <v>528712</v>
      </c>
      <c r="X23" s="419">
        <f t="shared" si="6"/>
        <v>2510076</v>
      </c>
      <c r="Y23" s="417">
        <v>1580495</v>
      </c>
      <c r="Z23" s="418">
        <f t="shared" si="7"/>
        <v>929581</v>
      </c>
      <c r="AA23" s="62"/>
      <c r="AB23" s="403"/>
      <c r="AC23" s="394"/>
      <c r="AD23" s="395"/>
      <c r="AE23" s="62"/>
      <c r="AF23" s="355">
        <f t="shared" si="8"/>
        <v>3950948</v>
      </c>
      <c r="AG23" s="91">
        <f t="shared" si="9"/>
        <v>3950948</v>
      </c>
      <c r="AH23" s="357">
        <f t="shared" si="10"/>
        <v>4.3584879349211271E-2</v>
      </c>
      <c r="AI23" s="390" t="str">
        <f t="shared" si="1"/>
        <v>ULS</v>
      </c>
      <c r="AJ23" s="287" t="s">
        <v>427</v>
      </c>
    </row>
    <row r="24" spans="1:36" x14ac:dyDescent="0.25">
      <c r="A24" s="37" t="str">
        <f>Indicadores!A14</f>
        <v>UNIVERSIDAD DE PLAYA ANCHA CS. EDUCACIÓN</v>
      </c>
      <c r="B24" s="63" t="str">
        <f>Indicadores!B14</f>
        <v>UPA</v>
      </c>
      <c r="C24" s="64" t="str">
        <f>Indicadores!C14</f>
        <v>CRUCH-ESTATAL</v>
      </c>
      <c r="D24" s="64" t="str">
        <f>Indicadores!D14</f>
        <v>Categoría II</v>
      </c>
      <c r="E24" s="36">
        <v>24829</v>
      </c>
      <c r="F24" s="36">
        <f t="shared" si="0"/>
        <v>25698.014999999999</v>
      </c>
      <c r="G24" s="65"/>
      <c r="H24" s="215">
        <v>50000</v>
      </c>
      <c r="I24" s="66">
        <f>IFERROR(VLOOKUP(B24,Publicaciones!B11:E29,4,0),0)</f>
        <v>53136.23754238159</v>
      </c>
      <c r="J24" s="66">
        <f>IFERROR(VLOOKUP(B24,Acreditación!$B$3:$K$20,10,0),0)</f>
        <v>78974.895397489512</v>
      </c>
      <c r="K24" s="66">
        <f>IFERROR(VLOOKUP(B24,'Doctorado JC '!$B$2:$E$20,4,0),0)</f>
        <v>133277.6717557252</v>
      </c>
      <c r="L24" s="86">
        <f>IFERROR(VLOOKUP(B24,'Programas Doct. Acreditados '!$B$3:$G$20,6,0),0)</f>
        <v>65086.206896551725</v>
      </c>
      <c r="M24" s="66">
        <f>IFERROR(VLOOKUP(B24,'Académicos JC '!$B$3:$E$20,4,0),0)</f>
        <v>165021.72142275318</v>
      </c>
      <c r="N24" s="66">
        <f>IFERROR(VLOOKUP(B24,'Matrícula Regular Pre '!B12:E29,4,0),0)</f>
        <v>142368.82409824428</v>
      </c>
      <c r="O24" s="330">
        <f t="shared" si="2"/>
        <v>637865</v>
      </c>
      <c r="P24" s="275">
        <f t="shared" si="3"/>
        <v>713563.01500000001</v>
      </c>
      <c r="Q24" s="217">
        <f>IFERROR(VLOOKUP(B24,Indicadores!$B$5:$AH$22,32,0),0)</f>
        <v>2435175</v>
      </c>
      <c r="R24" s="94">
        <f>+VLOOKUP(B24,Refuerzo!$B$5:$Q$22,15,0)</f>
        <v>527616</v>
      </c>
      <c r="S24" s="349">
        <f t="shared" si="4"/>
        <v>3676354.0150000001</v>
      </c>
      <c r="T24" s="415">
        <f t="shared" si="5"/>
        <v>3676354</v>
      </c>
      <c r="U24" s="419">
        <f>VLOOKUP(B24,'Montos Anticipo AIUE 2024 '!$B$14:$J$31,9,0)</f>
        <v>1526464</v>
      </c>
      <c r="V24" s="417">
        <f>VLOOKUP(B24,'Montos Anticipo AIUE 2024 '!$B$14:$L$31,10,0)</f>
        <v>966345</v>
      </c>
      <c r="W24" s="418">
        <f>VLOOKUP(B24,'Montos Anticipo AIUE 2024 '!$B$14:$L$31,11,0)</f>
        <v>560119</v>
      </c>
      <c r="X24" s="419">
        <f t="shared" si="6"/>
        <v>2149890</v>
      </c>
      <c r="Y24" s="417">
        <v>1869673</v>
      </c>
      <c r="Z24" s="418">
        <f t="shared" si="7"/>
        <v>280217</v>
      </c>
      <c r="AA24" s="62"/>
      <c r="AB24" s="403"/>
      <c r="AC24" s="394"/>
      <c r="AD24" s="395"/>
      <c r="AE24" s="62"/>
      <c r="AF24" s="355">
        <f t="shared" si="8"/>
        <v>3676354</v>
      </c>
      <c r="AG24" s="91">
        <f t="shared" si="9"/>
        <v>3676354</v>
      </c>
      <c r="AH24" s="357">
        <f t="shared" si="10"/>
        <v>4.055569588235286E-2</v>
      </c>
      <c r="AI24" s="390" t="str">
        <f t="shared" si="1"/>
        <v>UPA</v>
      </c>
      <c r="AJ24" s="287" t="s">
        <v>425</v>
      </c>
    </row>
    <row r="25" spans="1:36" x14ac:dyDescent="0.25">
      <c r="A25" s="37" t="str">
        <f>Indicadores!A15</f>
        <v>UNIVERSIDAD ARTURO PRAT</v>
      </c>
      <c r="B25" s="63" t="str">
        <f>Indicadores!B15</f>
        <v>UAP</v>
      </c>
      <c r="C25" s="64" t="str">
        <f>Indicadores!C15</f>
        <v>CRUCH-ESTATAL</v>
      </c>
      <c r="D25" s="64" t="str">
        <f>Indicadores!D15</f>
        <v>Categoría II</v>
      </c>
      <c r="E25" s="36">
        <v>15240</v>
      </c>
      <c r="F25" s="36">
        <f t="shared" si="0"/>
        <v>15773.4</v>
      </c>
      <c r="G25" s="65"/>
      <c r="H25" s="215">
        <v>50000</v>
      </c>
      <c r="I25" s="66">
        <f>IFERROR(VLOOKUP(B25,Publicaciones!B12:E30,4,0),0)</f>
        <v>65159.765745402234</v>
      </c>
      <c r="J25" s="66">
        <f>IFERROR(VLOOKUP(B25,Acreditación!$B$3:$K$20,10,0),0)</f>
        <v>78974.895397489512</v>
      </c>
      <c r="K25" s="66">
        <f>IFERROR(VLOOKUP(B25,'Doctorado JC '!$B$2:$E$20,4,0),0)</f>
        <v>75644.083969465646</v>
      </c>
      <c r="L25" s="86">
        <f>IFERROR(VLOOKUP(B25,'Programas Doct. Acreditados '!$B$3:$G$20,6,0),0)</f>
        <v>32543.103448275862</v>
      </c>
      <c r="M25" s="66">
        <f>IFERROR(VLOOKUP(B25,'Académicos JC '!$B$3:$E$20,4,0),0)</f>
        <v>137347.27124626664</v>
      </c>
      <c r="N25" s="66">
        <f>IFERROR(VLOOKUP(B25,'Matrícula Regular Pre '!B13:E30,4,0),0)</f>
        <v>156000.10620398991</v>
      </c>
      <c r="O25" s="330">
        <f t="shared" si="2"/>
        <v>545669</v>
      </c>
      <c r="P25" s="275">
        <f t="shared" si="3"/>
        <v>611442.4</v>
      </c>
      <c r="Q25" s="217">
        <f>IFERROR(VLOOKUP(B25,Indicadores!$B$5:$AH$22,32,0),0)</f>
        <v>2207528</v>
      </c>
      <c r="R25" s="94">
        <f>+VLOOKUP(B25,Refuerzo!$B$5:$Q$22,15,0)</f>
        <v>480209</v>
      </c>
      <c r="S25" s="349">
        <f t="shared" si="4"/>
        <v>3299179.4</v>
      </c>
      <c r="T25" s="415">
        <f t="shared" si="5"/>
        <v>3299179</v>
      </c>
      <c r="U25" s="419">
        <f>VLOOKUP(B25,'Montos Anticipo AIUE 2024 '!$B$14:$J$31,9,0)</f>
        <v>1491589</v>
      </c>
      <c r="V25" s="417">
        <f>VLOOKUP(B25,'Montos Anticipo AIUE 2024 '!$B$14:$L$31,10,0)</f>
        <v>944267</v>
      </c>
      <c r="W25" s="418">
        <f>VLOOKUP(B25,'Montos Anticipo AIUE 2024 '!$B$14:$L$31,11,0)</f>
        <v>547322</v>
      </c>
      <c r="X25" s="419">
        <f t="shared" si="6"/>
        <v>1807590</v>
      </c>
      <c r="Y25" s="417">
        <v>1264699</v>
      </c>
      <c r="Z25" s="418">
        <f t="shared" si="7"/>
        <v>542891</v>
      </c>
      <c r="AA25" s="62"/>
      <c r="AB25" s="403"/>
      <c r="AC25" s="394"/>
      <c r="AD25" s="395"/>
      <c r="AE25" s="62"/>
      <c r="AF25" s="355">
        <f t="shared" si="8"/>
        <v>3299179</v>
      </c>
      <c r="AG25" s="91">
        <f t="shared" si="9"/>
        <v>3299179</v>
      </c>
      <c r="AH25" s="357">
        <f t="shared" si="10"/>
        <v>3.6394890205199232E-2</v>
      </c>
      <c r="AI25" s="390" t="str">
        <f t="shared" si="1"/>
        <v>UAP</v>
      </c>
      <c r="AJ25" s="287" t="s">
        <v>428</v>
      </c>
    </row>
    <row r="26" spans="1:36" x14ac:dyDescent="0.25">
      <c r="A26" s="37" t="str">
        <f>Indicadores!A16</f>
        <v>UNIVERSIDAD DE ATACAMA</v>
      </c>
      <c r="B26" s="63" t="str">
        <f>Indicadores!B16</f>
        <v>ATA</v>
      </c>
      <c r="C26" s="64" t="str">
        <f>Indicadores!C16</f>
        <v>CRUCH-ESTATAL</v>
      </c>
      <c r="D26" s="64" t="str">
        <f>Indicadores!D16</f>
        <v>Categoría II</v>
      </c>
      <c r="E26" s="36">
        <v>21261</v>
      </c>
      <c r="F26" s="36">
        <f t="shared" si="0"/>
        <v>22005.134999999998</v>
      </c>
      <c r="G26" s="65"/>
      <c r="H26" s="215">
        <v>50000</v>
      </c>
      <c r="I26" s="66">
        <f>IFERROR(VLOOKUP(B26,Publicaciones!B13:E31,4,0),0)</f>
        <v>87267.543409020858</v>
      </c>
      <c r="J26" s="66">
        <f>IFERROR(VLOOKUP(B26,Acreditación!$B$3:$K$20,10,0),0)</f>
        <v>173744.76987447691</v>
      </c>
      <c r="K26" s="66">
        <f>IFERROR(VLOOKUP(B26,'Doctorado JC '!$B$2:$E$20,4,0),0)</f>
        <v>87350.906488549619</v>
      </c>
      <c r="L26" s="86">
        <f>IFERROR(VLOOKUP(B26,'Programas Doct. Acreditados '!$B$3:$G$20,6,0),0)</f>
        <v>32543.103448275862</v>
      </c>
      <c r="M26" s="66">
        <f>IFERROR(VLOOKUP(B26,'Académicos JC '!$B$3:$E$20,4,0),0)</f>
        <v>169121.63996741787</v>
      </c>
      <c r="N26" s="66">
        <f>IFERROR(VLOOKUP(B26,'Matrícula Regular Pre '!B14:E31,4,0),0)</f>
        <v>143824.79695474033</v>
      </c>
      <c r="O26" s="330">
        <f t="shared" si="2"/>
        <v>693852</v>
      </c>
      <c r="P26" s="275">
        <f t="shared" si="3"/>
        <v>765857.13500000001</v>
      </c>
      <c r="Q26" s="217">
        <f>IFERROR(VLOOKUP(B26,Indicadores!$B$5:$AH$22,32,0),0)</f>
        <v>2602550</v>
      </c>
      <c r="R26" s="94">
        <f>+VLOOKUP(B26,Refuerzo!$B$5:$Q$22,15,0)</f>
        <v>469342</v>
      </c>
      <c r="S26" s="349">
        <f t="shared" si="4"/>
        <v>3837749.1349999998</v>
      </c>
      <c r="T26" s="415">
        <f t="shared" si="5"/>
        <v>3837749</v>
      </c>
      <c r="U26" s="419">
        <f>VLOOKUP(B26,'Montos Anticipo AIUE 2024 '!$B$14:$J$31,9,0)</f>
        <v>1919998</v>
      </c>
      <c r="V26" s="417">
        <f>VLOOKUP(B26,'Montos Anticipo AIUE 2024 '!$B$14:$L$31,10,0)</f>
        <v>1215477</v>
      </c>
      <c r="W26" s="418">
        <f>VLOOKUP(B26,'Montos Anticipo AIUE 2024 '!$B$14:$L$31,11,0)</f>
        <v>704521</v>
      </c>
      <c r="X26" s="419">
        <f t="shared" si="6"/>
        <v>1917751</v>
      </c>
      <c r="Y26" s="417">
        <v>1917751</v>
      </c>
      <c r="Z26" s="418">
        <f t="shared" si="7"/>
        <v>0</v>
      </c>
      <c r="AA26" s="62"/>
      <c r="AB26" s="403"/>
      <c r="AC26" s="394"/>
      <c r="AD26" s="395"/>
      <c r="AE26" s="62"/>
      <c r="AF26" s="355">
        <f t="shared" si="8"/>
        <v>3837749</v>
      </c>
      <c r="AG26" s="91">
        <f t="shared" si="9"/>
        <v>3837749</v>
      </c>
      <c r="AH26" s="357">
        <f t="shared" si="10"/>
        <v>4.233612468135653E-2</v>
      </c>
      <c r="AI26" s="390" t="str">
        <f t="shared" si="1"/>
        <v>ATA</v>
      </c>
      <c r="AJ26" s="287" t="s">
        <v>429</v>
      </c>
    </row>
    <row r="27" spans="1:36" x14ac:dyDescent="0.25">
      <c r="A27" s="37" t="str">
        <f>Indicadores!A17</f>
        <v>UNIVERSIDAD DE LOS LAGOS</v>
      </c>
      <c r="B27" s="63" t="str">
        <f>Indicadores!B17</f>
        <v>ULA</v>
      </c>
      <c r="C27" s="64" t="str">
        <f>Indicadores!C17</f>
        <v>CRUCH-ESTATAL</v>
      </c>
      <c r="D27" s="64" t="str">
        <f>Indicadores!D17</f>
        <v>Categoría II</v>
      </c>
      <c r="E27" s="36">
        <v>9441</v>
      </c>
      <c r="F27" s="36">
        <f t="shared" si="0"/>
        <v>9771.4349999999995</v>
      </c>
      <c r="G27" s="65"/>
      <c r="H27" s="215">
        <v>100000</v>
      </c>
      <c r="I27" s="66">
        <f>IFERROR(VLOOKUP(B27,Publicaciones!B14:E32,4,0),0)</f>
        <v>98127.504366587906</v>
      </c>
      <c r="J27" s="66">
        <f>IFERROR(VLOOKUP(B27,Acreditación!$B$3:$K$20,10,0),0)</f>
        <v>189539.74895397483</v>
      </c>
      <c r="K27" s="66">
        <f>IFERROR(VLOOKUP(B27,'Doctorado JC '!$B$2:$E$20,4,0),0)</f>
        <v>134178.1965648855</v>
      </c>
      <c r="L27" s="86">
        <f>IFERROR(VLOOKUP(B27,'Programas Doct. Acreditados '!$B$3:$G$20,6,0),0)</f>
        <v>97629.31034482758</v>
      </c>
      <c r="M27" s="66">
        <f>IFERROR(VLOOKUP(B27,'Académicos JC '!$B$3:$E$20,4,0),0)</f>
        <v>197821.0697800706</v>
      </c>
      <c r="N27" s="66">
        <f>IFERROR(VLOOKUP(B27,'Matrícula Regular Pre '!B15:E32,4,0),0)</f>
        <v>191914.10333089251</v>
      </c>
      <c r="O27" s="330">
        <f t="shared" si="2"/>
        <v>909209</v>
      </c>
      <c r="P27" s="275">
        <f t="shared" si="3"/>
        <v>1018980.4350000001</v>
      </c>
      <c r="Q27" s="217">
        <f>IFERROR(VLOOKUP(B27,Indicadores!$B$5:$AH$22,32,0),0)</f>
        <v>2586270</v>
      </c>
      <c r="R27" s="94">
        <f>+VLOOKUP(B27,Refuerzo!$B$5:$Q$22,15,0)</f>
        <v>562063</v>
      </c>
      <c r="S27" s="349">
        <f t="shared" si="4"/>
        <v>4167313.4350000001</v>
      </c>
      <c r="T27" s="415">
        <f t="shared" si="5"/>
        <v>4167313</v>
      </c>
      <c r="U27" s="419">
        <f>VLOOKUP(B27,'Montos Anticipo AIUE 2024 '!$B$14:$J$31,9,0)</f>
        <v>1891252</v>
      </c>
      <c r="V27" s="417">
        <f>VLOOKUP(B27,'Montos Anticipo AIUE 2024 '!$B$14:$L$31,10,0)</f>
        <v>1197279</v>
      </c>
      <c r="W27" s="418">
        <f>VLOOKUP(B27,'Montos Anticipo AIUE 2024 '!$B$14:$L$31,11,0)</f>
        <v>693973</v>
      </c>
      <c r="X27" s="419">
        <f t="shared" si="6"/>
        <v>2276061</v>
      </c>
      <c r="Y27" s="417">
        <v>1182779</v>
      </c>
      <c r="Z27" s="418">
        <f t="shared" si="7"/>
        <v>1093282</v>
      </c>
      <c r="AA27" s="62"/>
      <c r="AB27" s="403"/>
      <c r="AC27" s="394"/>
      <c r="AD27" s="395"/>
      <c r="AE27" s="62"/>
      <c r="AF27" s="355">
        <f t="shared" si="8"/>
        <v>4167313</v>
      </c>
      <c r="AG27" s="91">
        <f t="shared" si="9"/>
        <v>4167313</v>
      </c>
      <c r="AH27" s="357">
        <f t="shared" si="10"/>
        <v>4.5971709654341102E-2</v>
      </c>
      <c r="AI27" s="390" t="str">
        <f t="shared" si="1"/>
        <v>ULA</v>
      </c>
      <c r="AJ27" s="287" t="s">
        <v>430</v>
      </c>
    </row>
    <row r="28" spans="1:36" x14ac:dyDescent="0.25">
      <c r="A28" s="37" t="str">
        <f>Indicadores!A18</f>
        <v>UNIVERSIDAD DE MAGALLANES</v>
      </c>
      <c r="B28" s="63" t="str">
        <f>Indicadores!B18</f>
        <v>MAG</v>
      </c>
      <c r="C28" s="64" t="str">
        <f>Indicadores!C18</f>
        <v>CRUCH-ESTATAL</v>
      </c>
      <c r="D28" s="64" t="str">
        <f>Indicadores!D18</f>
        <v>Categoría II</v>
      </c>
      <c r="E28" s="36">
        <v>26019</v>
      </c>
      <c r="F28" s="36">
        <f t="shared" si="0"/>
        <v>26929.664999999997</v>
      </c>
      <c r="G28" s="65"/>
      <c r="H28" s="215">
        <v>50000</v>
      </c>
      <c r="I28" s="66">
        <f>IFERROR(VLOOKUP(B28,Publicaciones!B15:E33,4,0),0)</f>
        <v>62832.63125449502</v>
      </c>
      <c r="J28" s="66">
        <f>IFERROR(VLOOKUP(B28,Acreditación!$B$3:$K$20,10,0),0)</f>
        <v>189539.74895397483</v>
      </c>
      <c r="K28" s="66">
        <f>IFERROR(VLOOKUP(B28,'Doctorado JC '!$B$2:$E$20,4,0),0)</f>
        <v>86450.381679389306</v>
      </c>
      <c r="L28" s="86">
        <f>IFERROR(VLOOKUP(B28,'Programas Doct. Acreditados '!$B$3:$G$20,6,0),0)</f>
        <v>65086.206896551725</v>
      </c>
      <c r="M28" s="66">
        <f>IFERROR(VLOOKUP(B28,'Académicos JC '!$B$3:$E$20,4,0),0)</f>
        <v>121460.08688569101</v>
      </c>
      <c r="N28" s="66">
        <f>IFERROR(VLOOKUP(B28,'Matrícula Regular Pre '!B16:E33,4,0),0)</f>
        <v>81428.974684322617</v>
      </c>
      <c r="O28" s="330">
        <f t="shared" si="2"/>
        <v>606798</v>
      </c>
      <c r="P28" s="275">
        <f t="shared" si="3"/>
        <v>683727.66500000004</v>
      </c>
      <c r="Q28" s="217">
        <f>IFERROR(VLOOKUP(B28,Indicadores!$B$5:$AH$22,32,0),0)</f>
        <v>2296452</v>
      </c>
      <c r="R28" s="94">
        <f>+VLOOKUP(B28,Refuerzo!$B$5:$Q$22,15,0)</f>
        <v>424876</v>
      </c>
      <c r="S28" s="349">
        <f t="shared" si="4"/>
        <v>3405055.665</v>
      </c>
      <c r="T28" s="415">
        <f t="shared" si="5"/>
        <v>3405056</v>
      </c>
      <c r="U28" s="419">
        <f>VLOOKUP(B28,'Montos Anticipo AIUE 2024 '!$B$14:$J$31,9,0)</f>
        <v>1670517</v>
      </c>
      <c r="V28" s="417">
        <f>VLOOKUP(B28,'Montos Anticipo AIUE 2024 '!$B$14:$L$31,10,0)</f>
        <v>1057540</v>
      </c>
      <c r="W28" s="418">
        <f>VLOOKUP(B28,'Montos Anticipo AIUE 2024 '!$B$14:$L$31,11,0)</f>
        <v>612977</v>
      </c>
      <c r="X28" s="419">
        <f t="shared" si="6"/>
        <v>1734539</v>
      </c>
      <c r="Y28" s="417">
        <v>1734539</v>
      </c>
      <c r="Z28" s="418">
        <f t="shared" si="7"/>
        <v>0</v>
      </c>
      <c r="AA28" s="62"/>
      <c r="AB28" s="403"/>
      <c r="AC28" s="394"/>
      <c r="AD28" s="395"/>
      <c r="AE28" s="62"/>
      <c r="AF28" s="355">
        <f t="shared" si="8"/>
        <v>3405056</v>
      </c>
      <c r="AG28" s="91">
        <f t="shared" si="9"/>
        <v>3405056</v>
      </c>
      <c r="AH28" s="357">
        <f t="shared" si="10"/>
        <v>3.7562872236563967E-2</v>
      </c>
      <c r="AI28" s="390" t="str">
        <f t="shared" si="1"/>
        <v>MAG</v>
      </c>
      <c r="AJ28" s="287" t="s">
        <v>431</v>
      </c>
    </row>
    <row r="29" spans="1:36" x14ac:dyDescent="0.25">
      <c r="A29" s="37" t="str">
        <f>Indicadores!A19</f>
        <v>UNIVERSIDAD METROPOLITANA DE CS.DE LA EDUCACIÓN</v>
      </c>
      <c r="B29" s="63" t="str">
        <f>Indicadores!B19</f>
        <v>UMC</v>
      </c>
      <c r="C29" s="64" t="str">
        <f>Indicadores!C19</f>
        <v>CRUCH-ESTATAL</v>
      </c>
      <c r="D29" s="64" t="str">
        <f>Indicadores!D19</f>
        <v>Categoría II</v>
      </c>
      <c r="E29" s="36">
        <v>102885</v>
      </c>
      <c r="F29" s="36">
        <f t="shared" si="0"/>
        <v>106485.97499999999</v>
      </c>
      <c r="G29" s="65"/>
      <c r="H29" s="215">
        <v>0</v>
      </c>
      <c r="I29" s="66">
        <f>IFERROR(VLOOKUP(B29,Publicaciones!B16:E34,4,0),0)</f>
        <v>63220.487002979557</v>
      </c>
      <c r="J29" s="66">
        <f>IFERROR(VLOOKUP(B29,Acreditación!$B$3:$K$20,10,0),0)</f>
        <v>63179.916317991599</v>
      </c>
      <c r="K29" s="66">
        <f>IFERROR(VLOOKUP(B29,'Doctorado JC '!$B$2:$E$20,4,0),0)</f>
        <v>89151.956106870231</v>
      </c>
      <c r="L29" s="86">
        <f>IFERROR(VLOOKUP(B29,'Programas Doct. Acreditados '!$B$3:$G$20,6,0),0)</f>
        <v>32543.103448275862</v>
      </c>
      <c r="M29" s="66">
        <f>IFERROR(VLOOKUP(B29,'Académicos JC '!$B$3:$E$20,4,0),0)</f>
        <v>118385.14797719251</v>
      </c>
      <c r="N29" s="66">
        <f>IFERROR(VLOOKUP(B29,'Matrícula Regular Pre '!B17:E34,4,0),0)</f>
        <v>78706.938474351744</v>
      </c>
      <c r="O29" s="330">
        <f t="shared" si="2"/>
        <v>445187</v>
      </c>
      <c r="P29" s="275">
        <f t="shared" si="3"/>
        <v>551672.97499999998</v>
      </c>
      <c r="Q29" s="217">
        <f>IFERROR(VLOOKUP(B29,Indicadores!$B$5:$AH$22,32,0),0)</f>
        <v>2255525</v>
      </c>
      <c r="R29" s="94">
        <f>+VLOOKUP(B29,Refuerzo!$B$5:$Q$22,15,0)</f>
        <v>525604</v>
      </c>
      <c r="S29" s="349">
        <f t="shared" si="4"/>
        <v>3332801.9750000001</v>
      </c>
      <c r="T29" s="415">
        <f t="shared" si="5"/>
        <v>3332802</v>
      </c>
      <c r="U29" s="419">
        <f>VLOOKUP(B29,'Montos Anticipo AIUE 2024 '!$B$14:$J$31,9,0)</f>
        <v>2448256</v>
      </c>
      <c r="V29" s="417">
        <f>VLOOKUP(B29,'Montos Anticipo AIUE 2024 '!$B$14:$L$31,10,0)</f>
        <v>1549896</v>
      </c>
      <c r="W29" s="418">
        <f>VLOOKUP(B29,'Montos Anticipo AIUE 2024 '!$B$14:$L$31,11,0)</f>
        <v>898360</v>
      </c>
      <c r="X29" s="419">
        <f t="shared" si="6"/>
        <v>884546</v>
      </c>
      <c r="Y29" s="417">
        <v>804636</v>
      </c>
      <c r="Z29" s="418">
        <f t="shared" si="7"/>
        <v>79910</v>
      </c>
      <c r="AA29" s="62"/>
      <c r="AB29" s="403"/>
      <c r="AC29" s="394"/>
      <c r="AD29" s="395"/>
      <c r="AE29" s="62"/>
      <c r="AF29" s="355">
        <f t="shared" si="8"/>
        <v>3332802</v>
      </c>
      <c r="AG29" s="91">
        <f t="shared" si="9"/>
        <v>3332802</v>
      </c>
      <c r="AH29" s="357">
        <f t="shared" si="10"/>
        <v>3.6765802299805014E-2</v>
      </c>
      <c r="AI29" s="390" t="str">
        <f t="shared" si="1"/>
        <v>UMC</v>
      </c>
      <c r="AJ29" s="287" t="s">
        <v>420</v>
      </c>
    </row>
    <row r="30" spans="1:36" x14ac:dyDescent="0.25">
      <c r="A30" s="37" t="str">
        <f>Indicadores!A20</f>
        <v>UNIVERSIDAD TECNOLÓGICA METROPOLITANA</v>
      </c>
      <c r="B30" s="63" t="str">
        <f>Indicadores!B20</f>
        <v>UTM</v>
      </c>
      <c r="C30" s="64" t="str">
        <f>Indicadores!C20</f>
        <v>CRUCH-ESTATAL</v>
      </c>
      <c r="D30" s="64" t="str">
        <f>Indicadores!D20</f>
        <v>Categoría II</v>
      </c>
      <c r="E30" s="36">
        <v>52483</v>
      </c>
      <c r="F30" s="36">
        <f t="shared" si="0"/>
        <v>54319.904999999999</v>
      </c>
      <c r="G30" s="65"/>
      <c r="H30" s="215">
        <v>0</v>
      </c>
      <c r="I30" s="66">
        <f>IFERROR(VLOOKUP(B30,Publicaciones!B17:E35,4,0),0)</f>
        <v>61281.208260556872</v>
      </c>
      <c r="J30" s="66">
        <f>IFERROR(VLOOKUP(B30,Acreditación!$B$3:$K$20,10,0),0)</f>
        <v>63179.916317991599</v>
      </c>
      <c r="K30" s="66">
        <f>IFERROR(VLOOKUP(B30,'Doctorado JC '!$B$2:$E$20,4,0),0)</f>
        <v>103560.35305343512</v>
      </c>
      <c r="L30" s="86">
        <f>IFERROR(VLOOKUP(B30,'Programas Doct. Acreditados '!$B$3:$G$20,6,0),0)</f>
        <v>32543.103448275862</v>
      </c>
      <c r="M30" s="66">
        <f>IFERROR(VLOOKUP(B30,'Académicos JC '!$B$3:$E$20,4,0),0)</f>
        <v>112235.27016019549</v>
      </c>
      <c r="N30" s="66">
        <f>IFERROR(VLOOKUP(B30,'Matrícula Regular Pre '!B18:E35,4,0),0)</f>
        <v>168386.42601215199</v>
      </c>
      <c r="O30" s="330">
        <f t="shared" si="2"/>
        <v>541186</v>
      </c>
      <c r="P30" s="275">
        <f t="shared" si="3"/>
        <v>595505.90500000003</v>
      </c>
      <c r="Q30" s="217">
        <f>IFERROR(VLOOKUP(B30,Indicadores!$B$5:$AH$22,32,0),0)</f>
        <v>2486702</v>
      </c>
      <c r="R30" s="94">
        <f>+VLOOKUP(B30,Refuerzo!$B$5:$Q$22,15,0)</f>
        <v>453509</v>
      </c>
      <c r="S30" s="349">
        <f t="shared" si="4"/>
        <v>3535716.9050000003</v>
      </c>
      <c r="T30" s="415">
        <f t="shared" si="5"/>
        <v>3535717</v>
      </c>
      <c r="U30" s="419">
        <f>VLOOKUP(B30,'Montos Anticipo AIUE 2024 '!$B$14:$J$31,9,0)</f>
        <v>1370090</v>
      </c>
      <c r="V30" s="417">
        <f>VLOOKUP(B30,'Montos Anticipo AIUE 2024 '!$B$14:$L$31,10,0)</f>
        <v>867351</v>
      </c>
      <c r="W30" s="418">
        <f>VLOOKUP(B30,'Montos Anticipo AIUE 2024 '!$B$14:$L$31,11,0)</f>
        <v>502739</v>
      </c>
      <c r="X30" s="419">
        <f t="shared" si="6"/>
        <v>2165627</v>
      </c>
      <c r="Y30" s="417">
        <v>2056610</v>
      </c>
      <c r="Z30" s="418">
        <f t="shared" si="7"/>
        <v>109017</v>
      </c>
      <c r="AA30" s="62"/>
      <c r="AB30" s="403"/>
      <c r="AC30" s="394"/>
      <c r="AD30" s="395"/>
      <c r="AE30" s="62"/>
      <c r="AF30" s="355">
        <f t="shared" si="8"/>
        <v>3535717</v>
      </c>
      <c r="AG30" s="91">
        <f t="shared" si="9"/>
        <v>3535717</v>
      </c>
      <c r="AH30" s="357">
        <f t="shared" si="10"/>
        <v>3.9004258941893244E-2</v>
      </c>
      <c r="AI30" s="390" t="str">
        <f t="shared" si="1"/>
        <v>UTM</v>
      </c>
      <c r="AJ30" s="287" t="s">
        <v>420</v>
      </c>
    </row>
    <row r="31" spans="1:36" x14ac:dyDescent="0.25">
      <c r="A31" s="37" t="s">
        <v>88</v>
      </c>
      <c r="B31" s="63" t="s">
        <v>89</v>
      </c>
      <c r="C31" s="64" t="s">
        <v>22</v>
      </c>
      <c r="D31" s="64" t="s">
        <v>92</v>
      </c>
      <c r="E31" s="36">
        <v>0</v>
      </c>
      <c r="F31" s="36">
        <f t="shared" si="0"/>
        <v>0</v>
      </c>
      <c r="G31" s="65"/>
      <c r="H31" s="215">
        <v>0</v>
      </c>
      <c r="I31" s="66">
        <f>IFERROR(VLOOKUP(B31,Publicaciones!B18:E36,4,0),0)</f>
        <v>70201.890475701221</v>
      </c>
      <c r="J31" s="66">
        <f>IFERROR(VLOOKUP(B31,Acreditación!$B$3:$K$20,10,0),0)</f>
        <v>173744.76987447691</v>
      </c>
      <c r="K31" s="66">
        <f>IFERROR(VLOOKUP(B31,'Doctorado JC '!$B$2:$E$20,4,0),0)</f>
        <v>75644.083969465646</v>
      </c>
      <c r="L31" s="86">
        <f>IFERROR(VLOOKUP(B31,'Programas Doct. Acreditados '!$B$3:$G$20,6,0),0)</f>
        <v>0</v>
      </c>
      <c r="M31" s="66">
        <f>IFERROR(VLOOKUP(B31,'Académicos JC '!$B$3:$E$20,4,0),0)</f>
        <v>76873.472712462666</v>
      </c>
      <c r="N31" s="66">
        <f>IFERROR(VLOOKUP(B31,'Matrícula Regular Pre '!B19:E36,4,0),0)</f>
        <v>127197.1649124376</v>
      </c>
      <c r="O31" s="330">
        <f t="shared" si="2"/>
        <v>523661</v>
      </c>
      <c r="P31" s="275">
        <f t="shared" si="3"/>
        <v>523661</v>
      </c>
      <c r="Q31" s="217">
        <f>IFERROR(VLOOKUP(B31,Indicadores!$B$5:$AH$22,32,0),0)</f>
        <v>1359010</v>
      </c>
      <c r="R31" s="94">
        <f>+VLOOKUP(B31,Refuerzo!$B$5:$Q$22,15,0)</f>
        <v>469397</v>
      </c>
      <c r="S31" s="349">
        <f t="shared" si="4"/>
        <v>2352068</v>
      </c>
      <c r="T31" s="415">
        <f t="shared" si="5"/>
        <v>2352068</v>
      </c>
      <c r="U31" s="419">
        <f>VLOOKUP(B31,'Montos Anticipo AIUE 2024 '!$B$14:$J$31,9,0)</f>
        <v>641734</v>
      </c>
      <c r="V31" s="417">
        <f>VLOOKUP(B31,'Montos Anticipo AIUE 2024 '!$B$14:$L$31,10,0)</f>
        <v>406257</v>
      </c>
      <c r="W31" s="418">
        <f>VLOOKUP(B31,'Montos Anticipo AIUE 2024 '!$B$14:$L$31,11,0)</f>
        <v>235477</v>
      </c>
      <c r="X31" s="419">
        <f t="shared" si="6"/>
        <v>1710334</v>
      </c>
      <c r="Y31" s="417">
        <v>1282170</v>
      </c>
      <c r="Z31" s="418">
        <f t="shared" si="7"/>
        <v>428164</v>
      </c>
      <c r="AA31" s="62"/>
      <c r="AB31" s="403"/>
      <c r="AC31" s="394"/>
      <c r="AD31" s="395"/>
      <c r="AE31" s="62"/>
      <c r="AF31" s="355">
        <f t="shared" si="8"/>
        <v>2352068</v>
      </c>
      <c r="AG31" s="91">
        <f t="shared" si="9"/>
        <v>2352068</v>
      </c>
      <c r="AH31" s="357">
        <f t="shared" si="10"/>
        <v>2.5946836050775829E-2</v>
      </c>
      <c r="AI31" s="390" t="str">
        <f t="shared" si="1"/>
        <v>URO</v>
      </c>
      <c r="AJ31" s="287" t="s">
        <v>432</v>
      </c>
    </row>
    <row r="32" spans="1:36" ht="15.75" thickBot="1" x14ac:dyDescent="0.3">
      <c r="A32" s="68" t="s">
        <v>90</v>
      </c>
      <c r="B32" s="69" t="s">
        <v>91</v>
      </c>
      <c r="C32" s="70" t="s">
        <v>22</v>
      </c>
      <c r="D32" s="70" t="s">
        <v>92</v>
      </c>
      <c r="E32" s="71">
        <v>0</v>
      </c>
      <c r="F32" s="71">
        <f t="shared" si="0"/>
        <v>0</v>
      </c>
      <c r="G32" s="72"/>
      <c r="H32" s="215">
        <v>0</v>
      </c>
      <c r="I32" s="73">
        <f>IFERROR(VLOOKUP(B32,Publicaciones!B19:E37,4,0),0)</f>
        <v>10084.249460597965</v>
      </c>
      <c r="J32" s="73">
        <f>IFERROR(VLOOKUP(B32,Acreditación!$B$3:$K$20,10,0),0)</f>
        <v>47384.937238493701</v>
      </c>
      <c r="K32" s="73">
        <f>IFERROR(VLOOKUP(B32,'Doctorado JC '!$B$2:$E$20,4,0),0)</f>
        <v>27916.269083969466</v>
      </c>
      <c r="L32" s="86">
        <f>IFERROR(VLOOKUP(B32,'Programas Doct. Acreditados '!$B$3:$G$20,6,0),0)</f>
        <v>0</v>
      </c>
      <c r="M32" s="73">
        <f>IFERROR(VLOOKUP(B32,'Académicos JC '!$B$3:$E$20,4,0),0)</f>
        <v>32799.348357317402</v>
      </c>
      <c r="N32" s="73">
        <f>IFERROR(VLOOKUP(B32,'Matrícula Regular Pre '!B20:E37,4,0),0)</f>
        <v>13757.888441093119</v>
      </c>
      <c r="O32" s="330">
        <f t="shared" si="2"/>
        <v>131942</v>
      </c>
      <c r="P32" s="276">
        <f t="shared" si="3"/>
        <v>131942</v>
      </c>
      <c r="Q32" s="277">
        <f>IFERROR(VLOOKUP(B32,Indicadores!$B$5:$AH$22,32,0),0)</f>
        <v>1308558</v>
      </c>
      <c r="R32" s="94">
        <f>+VLOOKUP(B32,Refuerzo!$B$5:$Q$22,15,0)</f>
        <v>357513</v>
      </c>
      <c r="S32" s="353">
        <f t="shared" si="4"/>
        <v>1798013</v>
      </c>
      <c r="T32" s="415">
        <f t="shared" si="5"/>
        <v>1798013</v>
      </c>
      <c r="U32" s="419">
        <f>VLOOKUP(B32,'Montos Anticipo AIUE 2024 '!$B$14:$J$31,9,0)</f>
        <v>842374</v>
      </c>
      <c r="V32" s="417">
        <f>VLOOKUP(B32,'Montos Anticipo AIUE 2024 '!$B$14:$L$31,10,0)</f>
        <v>533274</v>
      </c>
      <c r="W32" s="418">
        <f>VLOOKUP(B32,'Montos Anticipo AIUE 2024 '!$B$14:$L$31,11,0)</f>
        <v>309100</v>
      </c>
      <c r="X32" s="419">
        <f t="shared" si="6"/>
        <v>955639</v>
      </c>
      <c r="Y32" s="417">
        <v>601728</v>
      </c>
      <c r="Z32" s="418">
        <f t="shared" si="7"/>
        <v>353911</v>
      </c>
      <c r="AA32" s="62"/>
      <c r="AB32" s="403">
        <v>2472084</v>
      </c>
      <c r="AC32" s="394">
        <v>1236042</v>
      </c>
      <c r="AD32" s="395">
        <v>1236042</v>
      </c>
      <c r="AE32" s="62"/>
      <c r="AF32" s="355">
        <f t="shared" si="8"/>
        <v>4270097</v>
      </c>
      <c r="AG32" s="92">
        <f t="shared" si="9"/>
        <v>4270097</v>
      </c>
      <c r="AH32" s="358">
        <f t="shared" si="10"/>
        <v>4.7105571258955828E-2</v>
      </c>
      <c r="AI32" s="390" t="str">
        <f t="shared" si="1"/>
        <v>URY</v>
      </c>
      <c r="AJ32" s="287" t="s">
        <v>433</v>
      </c>
    </row>
    <row r="33" spans="1:35" ht="15.75" thickBot="1" x14ac:dyDescent="0.3">
      <c r="A33" s="74" t="s">
        <v>139</v>
      </c>
      <c r="B33" s="75"/>
      <c r="C33" s="76"/>
      <c r="D33" s="76"/>
      <c r="E33" s="77">
        <f>SUM(E15:E32)</f>
        <v>4471499</v>
      </c>
      <c r="F33" s="225">
        <f t="shared" ref="F33:AH33" si="11">SUM(F15:F32)</f>
        <v>4628001.464999998</v>
      </c>
      <c r="G33" s="78">
        <f t="shared" si="11"/>
        <v>0</v>
      </c>
      <c r="H33" s="216">
        <f t="shared" si="11"/>
        <v>700000</v>
      </c>
      <c r="I33" s="79">
        <f t="shared" si="11"/>
        <v>3774999.9999999991</v>
      </c>
      <c r="J33" s="79">
        <f t="shared" si="11"/>
        <v>3774999.9999999981</v>
      </c>
      <c r="K33" s="79">
        <f t="shared" si="11"/>
        <v>3774999.9999999991</v>
      </c>
      <c r="L33" s="79">
        <f t="shared" si="11"/>
        <v>3775000.0000000009</v>
      </c>
      <c r="M33" s="79">
        <f t="shared" si="11"/>
        <v>3775000</v>
      </c>
      <c r="N33" s="79">
        <f t="shared" si="11"/>
        <v>3775000.0000000005</v>
      </c>
      <c r="O33" s="351">
        <f t="shared" si="11"/>
        <v>22649990</v>
      </c>
      <c r="P33" s="352">
        <f t="shared" si="11"/>
        <v>27977991.465</v>
      </c>
      <c r="Q33" s="360">
        <f t="shared" si="11"/>
        <v>49349999</v>
      </c>
      <c r="R33" s="236">
        <f>SUM(R15:R32)</f>
        <v>9789974</v>
      </c>
      <c r="S33" s="350">
        <f t="shared" si="11"/>
        <v>87117964.465000018</v>
      </c>
      <c r="T33" s="420">
        <f t="shared" ref="T33:Z33" si="12">SUM(T15:T32)</f>
        <v>87117963</v>
      </c>
      <c r="U33" s="421">
        <f t="shared" si="12"/>
        <v>34847188</v>
      </c>
      <c r="V33" s="422">
        <f t="shared" si="12"/>
        <v>22060408</v>
      </c>
      <c r="W33" s="423">
        <f t="shared" si="12"/>
        <v>12786780</v>
      </c>
      <c r="X33" s="421">
        <f t="shared" si="12"/>
        <v>52270775</v>
      </c>
      <c r="Y33" s="424">
        <f t="shared" si="12"/>
        <v>33189721</v>
      </c>
      <c r="Z33" s="423">
        <f t="shared" si="12"/>
        <v>19081054</v>
      </c>
      <c r="AA33" s="62"/>
      <c r="AB33" s="408">
        <f>SUM(AB15:AB32)</f>
        <v>3531548</v>
      </c>
      <c r="AC33" s="409">
        <f>SUM(AC15:AC32)</f>
        <v>2136586</v>
      </c>
      <c r="AD33" s="410">
        <f>SUM(AD16:AD32)</f>
        <v>1394962</v>
      </c>
      <c r="AE33" s="62"/>
      <c r="AF33" s="359">
        <f t="shared" si="11"/>
        <v>90649511</v>
      </c>
      <c r="AG33" s="93">
        <f t="shared" si="11"/>
        <v>90649511</v>
      </c>
      <c r="AH33" s="80">
        <f t="shared" si="11"/>
        <v>0.99999999999999989</v>
      </c>
      <c r="AI33" s="67"/>
    </row>
    <row r="34" spans="1:35" s="224" customFormat="1" ht="15.75" thickBot="1" x14ac:dyDescent="0.3">
      <c r="O34" s="218">
        <f>+B41-O33</f>
        <v>10</v>
      </c>
      <c r="Q34" s="250">
        <f>+B46-Q33</f>
        <v>1</v>
      </c>
      <c r="R34" s="250">
        <f>+B48-R33</f>
        <v>1</v>
      </c>
      <c r="X34" s="354">
        <f>+U33+X33-T33</f>
        <v>0</v>
      </c>
      <c r="Y34" s="354"/>
      <c r="Z34" s="354"/>
      <c r="AA34" s="62"/>
      <c r="AF34" s="218">
        <f>+D38-AF33</f>
        <v>13</v>
      </c>
      <c r="AG34" s="218">
        <f>+D38-AG33</f>
        <v>13</v>
      </c>
    </row>
    <row r="35" spans="1:35" ht="15.75" thickBot="1" x14ac:dyDescent="0.3">
      <c r="E35" s="465" t="s">
        <v>175</v>
      </c>
      <c r="F35" s="466"/>
      <c r="G35" s="466"/>
      <c r="H35" s="466"/>
      <c r="I35" s="466"/>
      <c r="J35" s="466"/>
      <c r="K35" s="467"/>
      <c r="L35" s="470" t="s">
        <v>244</v>
      </c>
      <c r="X35" s="250"/>
      <c r="Y35" s="250"/>
      <c r="Z35" s="250"/>
    </row>
    <row r="36" spans="1:35" x14ac:dyDescent="0.25">
      <c r="E36" s="232" t="s">
        <v>143</v>
      </c>
      <c r="F36" s="233" t="s">
        <v>144</v>
      </c>
      <c r="G36" s="233" t="s">
        <v>145</v>
      </c>
      <c r="H36" s="233" t="s">
        <v>146</v>
      </c>
      <c r="I36" s="234" t="s">
        <v>142</v>
      </c>
      <c r="J36" s="234" t="s">
        <v>180</v>
      </c>
      <c r="K36" s="235" t="s">
        <v>323</v>
      </c>
      <c r="L36" s="471"/>
      <c r="AF36" s="102"/>
    </row>
    <row r="37" spans="1:35" ht="38.25" x14ac:dyDescent="0.25">
      <c r="A37" s="88" t="s">
        <v>97</v>
      </c>
      <c r="B37" s="98" t="s">
        <v>137</v>
      </c>
      <c r="C37" s="98" t="s">
        <v>138</v>
      </c>
      <c r="D37" s="130" t="s">
        <v>213</v>
      </c>
      <c r="E37" s="132" t="s">
        <v>128</v>
      </c>
      <c r="F37" s="113" t="s">
        <v>95</v>
      </c>
      <c r="G37" s="113" t="s">
        <v>96</v>
      </c>
      <c r="H37" s="113" t="s">
        <v>98</v>
      </c>
      <c r="I37" s="113" t="s">
        <v>77</v>
      </c>
      <c r="J37" s="113" t="s">
        <v>78</v>
      </c>
      <c r="K37" s="348" t="s">
        <v>329</v>
      </c>
      <c r="L37" s="230" t="s">
        <v>76</v>
      </c>
      <c r="N37" s="35"/>
      <c r="O37" s="35"/>
    </row>
    <row r="38" spans="1:35" s="123" customFormat="1" ht="12.75" thickBot="1" x14ac:dyDescent="0.25">
      <c r="A38" s="46" t="s">
        <v>172</v>
      </c>
      <c r="B38" s="118">
        <v>57386715</v>
      </c>
      <c r="C38" s="118">
        <v>33262809</v>
      </c>
      <c r="D38" s="131">
        <f>B38+C38</f>
        <v>90649524</v>
      </c>
      <c r="E38" s="133">
        <f>F33</f>
        <v>4628001.464999998</v>
      </c>
      <c r="F38" s="134">
        <f>G33</f>
        <v>0</v>
      </c>
      <c r="G38" s="134">
        <f>H33</f>
        <v>700000</v>
      </c>
      <c r="H38" s="134">
        <f>+B41</f>
        <v>22650000</v>
      </c>
      <c r="I38" s="134">
        <f>+B45</f>
        <v>27978001.464999996</v>
      </c>
      <c r="J38" s="134">
        <f>+B46</f>
        <v>49350000</v>
      </c>
      <c r="K38" s="135">
        <f xml:space="preserve"> ROUND((D38-I38-L38-J38),0)</f>
        <v>9789975</v>
      </c>
      <c r="L38" s="231">
        <v>3531548</v>
      </c>
    </row>
    <row r="39" spans="1:35" ht="15" customHeight="1" x14ac:dyDescent="0.25">
      <c r="H39" s="463" t="s">
        <v>327</v>
      </c>
      <c r="I39" s="180"/>
      <c r="J39" s="464" t="s">
        <v>326</v>
      </c>
      <c r="K39" s="468" t="s">
        <v>328</v>
      </c>
    </row>
    <row r="40" spans="1:35" x14ac:dyDescent="0.25">
      <c r="A40" s="278"/>
      <c r="B40" s="278" t="s">
        <v>73</v>
      </c>
      <c r="H40" s="463"/>
      <c r="I40" s="180"/>
      <c r="J40" s="464"/>
      <c r="K40" s="469"/>
    </row>
    <row r="41" spans="1:35" ht="23.25" x14ac:dyDescent="0.25">
      <c r="A41" s="381" t="s">
        <v>313</v>
      </c>
      <c r="B41" s="382">
        <v>22650000</v>
      </c>
      <c r="F41" s="129"/>
    </row>
    <row r="42" spans="1:35" s="123" customFormat="1" ht="12" x14ac:dyDescent="0.2">
      <c r="A42" s="383" t="s">
        <v>315</v>
      </c>
      <c r="B42" s="283">
        <v>3.5000000000000003E-2</v>
      </c>
      <c r="D42" s="385"/>
      <c r="E42" s="386"/>
      <c r="F42" s="126"/>
      <c r="G42" s="126"/>
      <c r="H42" s="126"/>
      <c r="I42" s="126"/>
      <c r="J42" s="126"/>
    </row>
    <row r="43" spans="1:35" s="123" customFormat="1" ht="12" x14ac:dyDescent="0.2">
      <c r="A43" s="383" t="s">
        <v>316</v>
      </c>
      <c r="B43" s="384">
        <f>+E38</f>
        <v>4628001.464999998</v>
      </c>
      <c r="D43" s="385"/>
      <c r="E43" s="385"/>
    </row>
    <row r="44" spans="1:35" s="123" customFormat="1" ht="12" x14ac:dyDescent="0.2">
      <c r="A44" s="383" t="s">
        <v>317</v>
      </c>
      <c r="B44" s="384">
        <v>700000</v>
      </c>
      <c r="D44" s="385"/>
      <c r="E44" s="385"/>
    </row>
    <row r="45" spans="1:35" x14ac:dyDescent="0.25">
      <c r="A45" s="381" t="s">
        <v>318</v>
      </c>
      <c r="B45" s="382">
        <f>+B41+B43+B44</f>
        <v>27978001.464999996</v>
      </c>
      <c r="C45" s="278"/>
      <c r="D45" s="278"/>
      <c r="E45" s="278"/>
    </row>
    <row r="46" spans="1:35" x14ac:dyDescent="0.25">
      <c r="A46" s="381" t="s">
        <v>314</v>
      </c>
      <c r="B46" s="382">
        <v>49350000</v>
      </c>
      <c r="C46" s="278"/>
      <c r="D46" s="278"/>
      <c r="E46" s="278"/>
    </row>
    <row r="47" spans="1:35" x14ac:dyDescent="0.25">
      <c r="A47" s="381" t="s">
        <v>409</v>
      </c>
      <c r="B47" s="382">
        <v>3531548</v>
      </c>
      <c r="C47" s="224"/>
    </row>
    <row r="48" spans="1:35" x14ac:dyDescent="0.25">
      <c r="A48" s="381" t="s">
        <v>322</v>
      </c>
      <c r="B48" s="387">
        <f>ROUND((D38-B45-B46-B47),0)</f>
        <v>9789975</v>
      </c>
      <c r="C48" s="224"/>
    </row>
    <row r="49" spans="1:3" x14ac:dyDescent="0.25">
      <c r="C49" s="224"/>
    </row>
    <row r="51" spans="1:3" ht="24.75" x14ac:dyDescent="0.25">
      <c r="A51" s="414" t="s">
        <v>438</v>
      </c>
      <c r="B51" s="413" t="s">
        <v>137</v>
      </c>
      <c r="C51" s="413" t="s">
        <v>138</v>
      </c>
    </row>
    <row r="52" spans="1:3" x14ac:dyDescent="0.25">
      <c r="A52" s="176" t="s">
        <v>434</v>
      </c>
      <c r="B52" s="411">
        <f>+V33</f>
        <v>22060408</v>
      </c>
      <c r="C52" s="412">
        <f>+W33</f>
        <v>12786780</v>
      </c>
    </row>
    <row r="53" spans="1:3" x14ac:dyDescent="0.25">
      <c r="A53" s="46" t="s">
        <v>435</v>
      </c>
      <c r="B53" s="411">
        <f>+AC33</f>
        <v>2136586</v>
      </c>
      <c r="C53" s="412">
        <f>+AD33</f>
        <v>1394962</v>
      </c>
    </row>
    <row r="54" spans="1:3" x14ac:dyDescent="0.25">
      <c r="A54" s="46" t="s">
        <v>436</v>
      </c>
      <c r="B54" s="411">
        <f>+Y33</f>
        <v>33189721</v>
      </c>
      <c r="C54" s="412">
        <f>+Z33</f>
        <v>19081054</v>
      </c>
    </row>
    <row r="55" spans="1:3" x14ac:dyDescent="0.25">
      <c r="A55" s="46" t="s">
        <v>437</v>
      </c>
      <c r="B55" s="54">
        <f>+B38-B54-B53-B52</f>
        <v>0</v>
      </c>
      <c r="C55" s="54">
        <f>+C38-C54-C53-C52</f>
        <v>13</v>
      </c>
    </row>
  </sheetData>
  <mergeCells count="30">
    <mergeCell ref="AB12:AD13"/>
    <mergeCell ref="AF12:AF14"/>
    <mergeCell ref="AG12:AG14"/>
    <mergeCell ref="A11:A14"/>
    <mergeCell ref="B11:B14"/>
    <mergeCell ref="C11:C14"/>
    <mergeCell ref="D11:D14"/>
    <mergeCell ref="E13:F13"/>
    <mergeCell ref="E12:P12"/>
    <mergeCell ref="H39:H40"/>
    <mergeCell ref="J39:J40"/>
    <mergeCell ref="E35:K35"/>
    <mergeCell ref="K39:K40"/>
    <mergeCell ref="L35:L36"/>
    <mergeCell ref="AH12:AH14"/>
    <mergeCell ref="AI12:AI14"/>
    <mergeCell ref="AJ12:AJ14"/>
    <mergeCell ref="E11:Z11"/>
    <mergeCell ref="Q12:Q14"/>
    <mergeCell ref="R12:R14"/>
    <mergeCell ref="S12:S14"/>
    <mergeCell ref="T12:T14"/>
    <mergeCell ref="U12:W13"/>
    <mergeCell ref="X12:Z13"/>
    <mergeCell ref="P13:P14"/>
    <mergeCell ref="I13:O13"/>
    <mergeCell ref="H13:H14"/>
    <mergeCell ref="G13:G14"/>
    <mergeCell ref="AF11:AH11"/>
    <mergeCell ref="AB11:AD11"/>
  </mergeCells>
  <phoneticPr fontId="41" type="noConversion"/>
  <pageMargins left="0.31496062992125984" right="0.31496062992125984" top="0.35433070866141736" bottom="0.35433070866141736" header="0.31496062992125984" footer="0.31496062992125984"/>
  <pageSetup paperSize="14" scale="70" orientation="landscape" verticalDpi="0" r:id="rId1"/>
  <rowBreaks count="1" manualBreakCount="1">
    <brk id="38" max="34" man="1"/>
  </rowBreaks>
  <colBreaks count="2" manualBreakCount="2">
    <brk id="15" max="37" man="1"/>
    <brk id="31" max="3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880F-8821-470B-9E91-B69AAA1CC482}">
  <sheetPr>
    <pageSetUpPr fitToPage="1"/>
  </sheetPr>
  <dimension ref="A1:M108"/>
  <sheetViews>
    <sheetView topLeftCell="A23" zoomScale="80" zoomScaleNormal="80" workbookViewId="0">
      <selection activeCell="B40" sqref="B40"/>
    </sheetView>
  </sheetViews>
  <sheetFormatPr baseColWidth="10" defaultColWidth="11.42578125" defaultRowHeight="15" x14ac:dyDescent="0.25"/>
  <cols>
    <col min="1" max="1" width="44.7109375" style="278" customWidth="1"/>
    <col min="2" max="2" width="16" style="278" customWidth="1"/>
    <col min="3" max="3" width="11.42578125" style="278" customWidth="1"/>
    <col min="4" max="4" width="12.5703125" style="278" customWidth="1"/>
    <col min="5" max="5" width="13.5703125" style="278" customWidth="1"/>
    <col min="6" max="6" width="12.5703125" style="278" customWidth="1"/>
    <col min="7" max="7" width="16.5703125" style="278" customWidth="1"/>
    <col min="8" max="8" width="11.42578125" style="278" customWidth="1"/>
    <col min="9" max="9" width="15.140625" style="278" customWidth="1"/>
    <col min="10" max="10" width="15.28515625" style="278" customWidth="1"/>
    <col min="11" max="11" width="12.7109375" style="278" customWidth="1"/>
    <col min="12" max="12" width="13.140625" style="278" customWidth="1"/>
    <col min="13" max="13" width="6.42578125" style="278" customWidth="1"/>
    <col min="14" max="16384" width="11.42578125" style="278"/>
  </cols>
  <sheetData>
    <row r="1" spans="1:13" ht="98.25" customHeight="1" x14ac:dyDescent="0.25"/>
    <row r="2" spans="1:13" ht="18.75" x14ac:dyDescent="0.3">
      <c r="A2" s="327" t="s">
        <v>371</v>
      </c>
    </row>
    <row r="3" spans="1:13" ht="18.75" x14ac:dyDescent="0.3">
      <c r="A3" s="327" t="s">
        <v>370</v>
      </c>
    </row>
    <row r="4" spans="1:13" ht="18.75" x14ac:dyDescent="0.3">
      <c r="A4" s="327" t="s">
        <v>369</v>
      </c>
    </row>
    <row r="5" spans="1:13" ht="18.75" x14ac:dyDescent="0.3">
      <c r="A5" s="328">
        <v>0.4</v>
      </c>
    </row>
    <row r="6" spans="1:13" ht="18.75" x14ac:dyDescent="0.3">
      <c r="A6" s="327" t="s">
        <v>368</v>
      </c>
    </row>
    <row r="7" spans="1:13" x14ac:dyDescent="0.25">
      <c r="A7" s="214" t="s">
        <v>367</v>
      </c>
    </row>
    <row r="8" spans="1:13" x14ac:dyDescent="0.25">
      <c r="A8" s="326" t="s">
        <v>366</v>
      </c>
    </row>
    <row r="9" spans="1:13" ht="15.75" thickBot="1" x14ac:dyDescent="0.3">
      <c r="A9" s="325"/>
    </row>
    <row r="10" spans="1:13" s="323" customFormat="1" ht="42.75" customHeight="1" thickBot="1" x14ac:dyDescent="0.3">
      <c r="C10" s="507" t="s">
        <v>365</v>
      </c>
      <c r="D10" s="508"/>
      <c r="E10" s="508"/>
      <c r="F10" s="324" t="s">
        <v>364</v>
      </c>
      <c r="G10" s="509" t="s">
        <v>363</v>
      </c>
      <c r="H10" s="510"/>
      <c r="I10" s="511" t="s">
        <v>362</v>
      </c>
      <c r="J10" s="511"/>
      <c r="K10" s="512"/>
      <c r="L10" s="512"/>
      <c r="M10" s="513"/>
    </row>
    <row r="11" spans="1:13" s="322" customFormat="1" ht="15.75" customHeight="1" thickBot="1" x14ac:dyDescent="0.3">
      <c r="A11" s="529" t="s">
        <v>11</v>
      </c>
      <c r="B11" s="530" t="s">
        <v>173</v>
      </c>
      <c r="C11" s="514" t="s">
        <v>361</v>
      </c>
      <c r="D11" s="516" t="s">
        <v>360</v>
      </c>
      <c r="E11" s="516" t="s">
        <v>359</v>
      </c>
      <c r="F11" s="516" t="s">
        <v>358</v>
      </c>
      <c r="G11" s="514" t="s">
        <v>357</v>
      </c>
      <c r="H11" s="519" t="s">
        <v>87</v>
      </c>
      <c r="I11" s="521" t="s">
        <v>356</v>
      </c>
      <c r="J11" s="524" t="s">
        <v>355</v>
      </c>
      <c r="K11" s="527" t="s">
        <v>354</v>
      </c>
      <c r="L11" s="528"/>
      <c r="M11" s="500" t="s">
        <v>1</v>
      </c>
    </row>
    <row r="12" spans="1:13" ht="20.25" customHeight="1" x14ac:dyDescent="0.25">
      <c r="A12" s="514"/>
      <c r="B12" s="531"/>
      <c r="C12" s="514"/>
      <c r="D12" s="516"/>
      <c r="E12" s="516"/>
      <c r="F12" s="516"/>
      <c r="G12" s="514"/>
      <c r="H12" s="519"/>
      <c r="I12" s="522"/>
      <c r="J12" s="525"/>
      <c r="K12" s="503" t="s">
        <v>353</v>
      </c>
      <c r="L12" s="505" t="s">
        <v>352</v>
      </c>
      <c r="M12" s="501"/>
    </row>
    <row r="13" spans="1:13" ht="84.75" customHeight="1" thickBot="1" x14ac:dyDescent="0.3">
      <c r="A13" s="514"/>
      <c r="B13" s="531"/>
      <c r="C13" s="515"/>
      <c r="D13" s="321" t="s">
        <v>351</v>
      </c>
      <c r="E13" s="321" t="s">
        <v>350</v>
      </c>
      <c r="F13" s="321" t="s">
        <v>349</v>
      </c>
      <c r="G13" s="515"/>
      <c r="H13" s="520"/>
      <c r="I13" s="523"/>
      <c r="J13" s="526"/>
      <c r="K13" s="504"/>
      <c r="L13" s="506"/>
      <c r="M13" s="502"/>
    </row>
    <row r="14" spans="1:13" x14ac:dyDescent="0.25">
      <c r="A14" s="320" t="s">
        <v>12</v>
      </c>
      <c r="B14" s="319" t="s">
        <v>2</v>
      </c>
      <c r="C14" s="309">
        <v>10984446</v>
      </c>
      <c r="D14" s="101">
        <v>4979885</v>
      </c>
      <c r="E14" s="101">
        <v>6004561</v>
      </c>
      <c r="F14" s="314"/>
      <c r="G14" s="313">
        <v>10984446</v>
      </c>
      <c r="H14" s="391">
        <f t="shared" ref="H14:H31" si="0">+G14/$G$32</f>
        <v>0.14146037040584278</v>
      </c>
      <c r="I14" s="306">
        <f t="shared" ref="I14:I31" si="1">+H14*$B$43</f>
        <v>4929496.461586928</v>
      </c>
      <c r="J14" s="305">
        <f t="shared" ref="J14:J31" si="2">ROUND(I14,0)</f>
        <v>4929496</v>
      </c>
      <c r="K14" s="304">
        <f t="shared" ref="K14:K31" si="3">+ROUND(J14*$C$37,0)</f>
        <v>3120674</v>
      </c>
      <c r="L14" s="304">
        <f t="shared" ref="L14:L31" si="4">+J14-K14</f>
        <v>1808822</v>
      </c>
      <c r="M14" s="318" t="s">
        <v>2</v>
      </c>
    </row>
    <row r="15" spans="1:13" x14ac:dyDescent="0.25">
      <c r="A15" s="316" t="s">
        <v>13</v>
      </c>
      <c r="B15" s="315" t="s">
        <v>3</v>
      </c>
      <c r="C15" s="309">
        <v>6410363</v>
      </c>
      <c r="D15" s="101">
        <v>2707633</v>
      </c>
      <c r="E15" s="101">
        <v>3702730</v>
      </c>
      <c r="F15" s="314"/>
      <c r="G15" s="313">
        <v>6410363</v>
      </c>
      <c r="H15" s="391">
        <f t="shared" si="0"/>
        <v>8.2554215698808067E-2</v>
      </c>
      <c r="I15" s="306">
        <f t="shared" si="1"/>
        <v>2876782.4727790337</v>
      </c>
      <c r="J15" s="305">
        <f t="shared" si="2"/>
        <v>2876782</v>
      </c>
      <c r="K15" s="304">
        <f t="shared" si="3"/>
        <v>1821180</v>
      </c>
      <c r="L15" s="304">
        <f t="shared" si="4"/>
        <v>1055602</v>
      </c>
      <c r="M15" s="312" t="s">
        <v>3</v>
      </c>
    </row>
    <row r="16" spans="1:13" x14ac:dyDescent="0.25">
      <c r="A16" s="316" t="s">
        <v>19</v>
      </c>
      <c r="B16" s="315" t="s">
        <v>9</v>
      </c>
      <c r="C16" s="309">
        <v>3976751</v>
      </c>
      <c r="D16" s="101">
        <v>1671461</v>
      </c>
      <c r="E16" s="101">
        <v>2305290</v>
      </c>
      <c r="F16" s="314"/>
      <c r="G16" s="313">
        <v>3976751</v>
      </c>
      <c r="H16" s="391">
        <f t="shared" si="0"/>
        <v>5.1213567754969679E-2</v>
      </c>
      <c r="I16" s="306">
        <f t="shared" si="1"/>
        <v>1784648.9466207288</v>
      </c>
      <c r="J16" s="305">
        <f t="shared" si="2"/>
        <v>1784649</v>
      </c>
      <c r="K16" s="304">
        <f t="shared" si="3"/>
        <v>1129792</v>
      </c>
      <c r="L16" s="304">
        <f t="shared" si="4"/>
        <v>654857</v>
      </c>
      <c r="M16" s="312" t="s">
        <v>9</v>
      </c>
    </row>
    <row r="17" spans="1:13" x14ac:dyDescent="0.25">
      <c r="A17" s="316" t="s">
        <v>16</v>
      </c>
      <c r="B17" s="315" t="s">
        <v>6</v>
      </c>
      <c r="C17" s="309">
        <v>4637451</v>
      </c>
      <c r="D17" s="101">
        <v>2040900</v>
      </c>
      <c r="E17" s="101">
        <v>2596551</v>
      </c>
      <c r="F17" s="314"/>
      <c r="G17" s="313">
        <v>4637451</v>
      </c>
      <c r="H17" s="391">
        <f t="shared" si="0"/>
        <v>5.9722223241749833E-2</v>
      </c>
      <c r="I17" s="306">
        <f t="shared" si="1"/>
        <v>2081151.6844165616</v>
      </c>
      <c r="J17" s="305">
        <f t="shared" si="2"/>
        <v>2081152</v>
      </c>
      <c r="K17" s="304">
        <f t="shared" si="3"/>
        <v>1317497</v>
      </c>
      <c r="L17" s="304">
        <f t="shared" si="4"/>
        <v>763655</v>
      </c>
      <c r="M17" s="312" t="s">
        <v>6</v>
      </c>
    </row>
    <row r="18" spans="1:13" x14ac:dyDescent="0.25">
      <c r="A18" s="316" t="s">
        <v>15</v>
      </c>
      <c r="B18" s="315" t="s">
        <v>5</v>
      </c>
      <c r="C18" s="309">
        <v>5639022</v>
      </c>
      <c r="D18" s="101">
        <v>2318964</v>
      </c>
      <c r="E18" s="101">
        <v>3320058</v>
      </c>
      <c r="F18" s="314"/>
      <c r="G18" s="313">
        <v>5639022</v>
      </c>
      <c r="H18" s="391">
        <f t="shared" si="0"/>
        <v>7.2620698471884362E-2</v>
      </c>
      <c r="I18" s="306">
        <f t="shared" si="1"/>
        <v>2530627.3066307432</v>
      </c>
      <c r="J18" s="305">
        <f t="shared" si="2"/>
        <v>2530627</v>
      </c>
      <c r="K18" s="304">
        <f t="shared" si="3"/>
        <v>1602042</v>
      </c>
      <c r="L18" s="304">
        <f t="shared" si="4"/>
        <v>928585</v>
      </c>
      <c r="M18" s="312" t="s">
        <v>5</v>
      </c>
    </row>
    <row r="19" spans="1:13" x14ac:dyDescent="0.25">
      <c r="A19" s="316" t="s">
        <v>20</v>
      </c>
      <c r="B19" s="315" t="s">
        <v>10</v>
      </c>
      <c r="C19" s="309">
        <v>4036961</v>
      </c>
      <c r="D19" s="101">
        <v>1568876</v>
      </c>
      <c r="E19" s="101">
        <v>2468085</v>
      </c>
      <c r="F19" s="314"/>
      <c r="G19" s="313">
        <v>4036961</v>
      </c>
      <c r="H19" s="391">
        <f t="shared" si="0"/>
        <v>5.1988966796681552E-2</v>
      </c>
      <c r="I19" s="306">
        <f t="shared" si="1"/>
        <v>1811669.4246632401</v>
      </c>
      <c r="J19" s="305">
        <f t="shared" si="2"/>
        <v>1811669</v>
      </c>
      <c r="K19" s="304">
        <f t="shared" si="3"/>
        <v>1146898</v>
      </c>
      <c r="L19" s="304">
        <f t="shared" si="4"/>
        <v>664771</v>
      </c>
      <c r="M19" s="312" t="s">
        <v>10</v>
      </c>
    </row>
    <row r="20" spans="1:13" x14ac:dyDescent="0.25">
      <c r="A20" s="316" t="s">
        <v>14</v>
      </c>
      <c r="B20" s="315" t="s">
        <v>4</v>
      </c>
      <c r="C20" s="309">
        <v>4241468</v>
      </c>
      <c r="D20" s="101">
        <v>1724345</v>
      </c>
      <c r="E20" s="101">
        <v>2517123</v>
      </c>
      <c r="F20" s="314"/>
      <c r="G20" s="313">
        <v>4241468</v>
      </c>
      <c r="H20" s="391">
        <f t="shared" si="0"/>
        <v>5.4622657742095425E-2</v>
      </c>
      <c r="I20" s="306">
        <f t="shared" si="1"/>
        <v>1903446.1544928332</v>
      </c>
      <c r="J20" s="305">
        <f t="shared" si="2"/>
        <v>1903446</v>
      </c>
      <c r="K20" s="304">
        <f t="shared" si="3"/>
        <v>1204998</v>
      </c>
      <c r="L20" s="304">
        <f t="shared" si="4"/>
        <v>698448</v>
      </c>
      <c r="M20" s="312" t="s">
        <v>4</v>
      </c>
    </row>
    <row r="21" spans="1:13" x14ac:dyDescent="0.25">
      <c r="A21" s="316" t="s">
        <v>18</v>
      </c>
      <c r="B21" s="315" t="s">
        <v>8</v>
      </c>
      <c r="C21" s="309">
        <v>3757422</v>
      </c>
      <c r="D21" s="101">
        <v>1681453</v>
      </c>
      <c r="E21" s="101">
        <v>2075969</v>
      </c>
      <c r="F21" s="314"/>
      <c r="G21" s="313">
        <v>3757422</v>
      </c>
      <c r="H21" s="391">
        <f t="shared" si="0"/>
        <v>4.8388995484256792E-2</v>
      </c>
      <c r="I21" s="306">
        <f t="shared" si="1"/>
        <v>1686220.5389046366</v>
      </c>
      <c r="J21" s="305">
        <f t="shared" si="2"/>
        <v>1686221</v>
      </c>
      <c r="K21" s="304">
        <f t="shared" si="3"/>
        <v>1067481</v>
      </c>
      <c r="L21" s="304">
        <f t="shared" si="4"/>
        <v>618740</v>
      </c>
      <c r="M21" s="312" t="s">
        <v>8</v>
      </c>
    </row>
    <row r="22" spans="1:13" x14ac:dyDescent="0.25">
      <c r="A22" s="316" t="s">
        <v>17</v>
      </c>
      <c r="B22" s="315" t="s">
        <v>7</v>
      </c>
      <c r="C22" s="309">
        <v>3210710</v>
      </c>
      <c r="D22" s="101">
        <v>1302076</v>
      </c>
      <c r="E22" s="101">
        <v>1908634</v>
      </c>
      <c r="F22" s="314"/>
      <c r="G22" s="313">
        <v>3210710</v>
      </c>
      <c r="H22" s="391">
        <f t="shared" si="0"/>
        <v>4.1348305218646755E-2</v>
      </c>
      <c r="I22" s="306">
        <f t="shared" si="1"/>
        <v>1440872.264671497</v>
      </c>
      <c r="J22" s="305">
        <f t="shared" si="2"/>
        <v>1440872</v>
      </c>
      <c r="K22" s="304">
        <f t="shared" si="3"/>
        <v>912160</v>
      </c>
      <c r="L22" s="304">
        <f t="shared" si="4"/>
        <v>528712</v>
      </c>
      <c r="M22" s="312" t="s">
        <v>7</v>
      </c>
    </row>
    <row r="23" spans="1:13" x14ac:dyDescent="0.25">
      <c r="A23" s="316" t="s">
        <v>34</v>
      </c>
      <c r="B23" s="315" t="s">
        <v>27</v>
      </c>
      <c r="C23" s="309">
        <v>3401434</v>
      </c>
      <c r="D23" s="101">
        <v>1217917</v>
      </c>
      <c r="E23" s="101">
        <v>2183517</v>
      </c>
      <c r="F23" s="314"/>
      <c r="G23" s="313">
        <v>3401434</v>
      </c>
      <c r="H23" s="391">
        <f t="shared" si="0"/>
        <v>4.3804495333768075E-2</v>
      </c>
      <c r="I23" s="306">
        <f t="shared" si="1"/>
        <v>1526463.5892717275</v>
      </c>
      <c r="J23" s="305">
        <f t="shared" si="2"/>
        <v>1526464</v>
      </c>
      <c r="K23" s="304">
        <f t="shared" si="3"/>
        <v>966345</v>
      </c>
      <c r="L23" s="304">
        <f t="shared" si="4"/>
        <v>560119</v>
      </c>
      <c r="M23" s="312" t="s">
        <v>27</v>
      </c>
    </row>
    <row r="24" spans="1:13" x14ac:dyDescent="0.25">
      <c r="A24" s="316" t="s">
        <v>30</v>
      </c>
      <c r="B24" s="315" t="s">
        <v>23</v>
      </c>
      <c r="C24" s="309">
        <v>3323723</v>
      </c>
      <c r="D24" s="101">
        <v>636026</v>
      </c>
      <c r="E24" s="101">
        <v>2687697</v>
      </c>
      <c r="F24" s="314"/>
      <c r="G24" s="313">
        <v>3323723</v>
      </c>
      <c r="H24" s="391">
        <f t="shared" si="0"/>
        <v>4.2803714152395027E-2</v>
      </c>
      <c r="I24" s="306">
        <f t="shared" si="1"/>
        <v>1491589.1768956841</v>
      </c>
      <c r="J24" s="305">
        <f t="shared" si="2"/>
        <v>1491589</v>
      </c>
      <c r="K24" s="304">
        <f t="shared" si="3"/>
        <v>944267</v>
      </c>
      <c r="L24" s="304">
        <f t="shared" si="4"/>
        <v>547322</v>
      </c>
      <c r="M24" s="312" t="s">
        <v>23</v>
      </c>
    </row>
    <row r="25" spans="1:13" x14ac:dyDescent="0.25">
      <c r="A25" s="316" t="s">
        <v>31</v>
      </c>
      <c r="B25" s="315" t="s">
        <v>24</v>
      </c>
      <c r="C25" s="309">
        <v>4278351</v>
      </c>
      <c r="D25" s="101">
        <v>1213399</v>
      </c>
      <c r="E25" s="101">
        <v>3064952</v>
      </c>
      <c r="F25" s="317"/>
      <c r="G25" s="313">
        <v>4278351</v>
      </c>
      <c r="H25" s="391">
        <f t="shared" si="0"/>
        <v>5.5097645997459303E-2</v>
      </c>
      <c r="I25" s="306">
        <f t="shared" si="1"/>
        <v>1919998.1606652623</v>
      </c>
      <c r="J25" s="305">
        <f t="shared" si="2"/>
        <v>1919998</v>
      </c>
      <c r="K25" s="304">
        <f t="shared" si="3"/>
        <v>1215477</v>
      </c>
      <c r="L25" s="304">
        <f t="shared" si="4"/>
        <v>704521</v>
      </c>
      <c r="M25" s="312" t="s">
        <v>24</v>
      </c>
    </row>
    <row r="26" spans="1:13" x14ac:dyDescent="0.25">
      <c r="A26" s="316" t="s">
        <v>32</v>
      </c>
      <c r="B26" s="315" t="s">
        <v>25</v>
      </c>
      <c r="C26" s="309">
        <v>4214295</v>
      </c>
      <c r="D26" s="101">
        <v>1362759</v>
      </c>
      <c r="E26" s="101">
        <v>2851536</v>
      </c>
      <c r="F26" s="314"/>
      <c r="G26" s="313">
        <v>4214295</v>
      </c>
      <c r="H26" s="391">
        <f t="shared" si="0"/>
        <v>5.4272717231209584E-2</v>
      </c>
      <c r="I26" s="306">
        <f t="shared" si="1"/>
        <v>1891251.7108813212</v>
      </c>
      <c r="J26" s="305">
        <f t="shared" si="2"/>
        <v>1891252</v>
      </c>
      <c r="K26" s="304">
        <f t="shared" si="3"/>
        <v>1197279</v>
      </c>
      <c r="L26" s="304">
        <f t="shared" si="4"/>
        <v>693973</v>
      </c>
      <c r="M26" s="312" t="s">
        <v>25</v>
      </c>
    </row>
    <row r="27" spans="1:13" x14ac:dyDescent="0.25">
      <c r="A27" s="316" t="s">
        <v>33</v>
      </c>
      <c r="B27" s="315" t="s">
        <v>26</v>
      </c>
      <c r="C27" s="309">
        <v>3722430</v>
      </c>
      <c r="D27" s="101">
        <v>1206258</v>
      </c>
      <c r="E27" s="101">
        <v>2516172</v>
      </c>
      <c r="F27" s="314"/>
      <c r="G27" s="313">
        <v>3722430</v>
      </c>
      <c r="H27" s="391">
        <f t="shared" si="0"/>
        <v>4.7938359987369533E-2</v>
      </c>
      <c r="I27" s="306">
        <f t="shared" si="1"/>
        <v>1670517.1579436075</v>
      </c>
      <c r="J27" s="305">
        <f t="shared" si="2"/>
        <v>1670517</v>
      </c>
      <c r="K27" s="304">
        <f t="shared" si="3"/>
        <v>1057540</v>
      </c>
      <c r="L27" s="304">
        <f t="shared" si="4"/>
        <v>612977</v>
      </c>
      <c r="M27" s="312" t="s">
        <v>26</v>
      </c>
    </row>
    <row r="28" spans="1:13" x14ac:dyDescent="0.25">
      <c r="A28" s="316" t="s">
        <v>35</v>
      </c>
      <c r="B28" s="315" t="s">
        <v>28</v>
      </c>
      <c r="C28" s="309">
        <v>2533390</v>
      </c>
      <c r="D28" s="101">
        <v>2261424</v>
      </c>
      <c r="E28" s="101">
        <v>271966</v>
      </c>
      <c r="F28" s="101">
        <v>2922084</v>
      </c>
      <c r="G28" s="313">
        <v>5455474</v>
      </c>
      <c r="H28" s="391">
        <f t="shared" si="0"/>
        <v>7.0256922632187802E-2</v>
      </c>
      <c r="I28" s="306">
        <f t="shared" si="1"/>
        <v>2448256.3598819175</v>
      </c>
      <c r="J28" s="305">
        <f t="shared" si="2"/>
        <v>2448256</v>
      </c>
      <c r="K28" s="304">
        <f t="shared" si="3"/>
        <v>1549896</v>
      </c>
      <c r="L28" s="304">
        <f t="shared" si="4"/>
        <v>898360</v>
      </c>
      <c r="M28" s="312" t="s">
        <v>28</v>
      </c>
    </row>
    <row r="29" spans="1:13" x14ac:dyDescent="0.25">
      <c r="A29" s="316" t="s">
        <v>36</v>
      </c>
      <c r="B29" s="315" t="s">
        <v>29</v>
      </c>
      <c r="C29" s="309">
        <v>3052986</v>
      </c>
      <c r="D29" s="101">
        <v>740725</v>
      </c>
      <c r="E29" s="101">
        <v>2312261</v>
      </c>
      <c r="F29" s="314"/>
      <c r="G29" s="313">
        <v>3052986</v>
      </c>
      <c r="H29" s="391">
        <f t="shared" si="0"/>
        <v>3.9317097139341603E-2</v>
      </c>
      <c r="I29" s="306">
        <f t="shared" si="1"/>
        <v>1370090.369989932</v>
      </c>
      <c r="J29" s="305">
        <f t="shared" si="2"/>
        <v>1370090</v>
      </c>
      <c r="K29" s="304">
        <f t="shared" si="3"/>
        <v>867351</v>
      </c>
      <c r="L29" s="304">
        <f t="shared" si="4"/>
        <v>502739</v>
      </c>
      <c r="M29" s="312" t="s">
        <v>29</v>
      </c>
    </row>
    <row r="30" spans="1:13" x14ac:dyDescent="0.25">
      <c r="A30" s="316" t="s">
        <v>126</v>
      </c>
      <c r="B30" s="315" t="s">
        <v>89</v>
      </c>
      <c r="C30" s="309">
        <v>1429983</v>
      </c>
      <c r="D30" s="101">
        <v>658640</v>
      </c>
      <c r="E30" s="101">
        <v>771343</v>
      </c>
      <c r="F30" s="314"/>
      <c r="G30" s="313">
        <v>1429983</v>
      </c>
      <c r="H30" s="391">
        <f t="shared" si="0"/>
        <v>1.8415669288561139E-2</v>
      </c>
      <c r="I30" s="306">
        <f t="shared" si="1"/>
        <v>641734.33404192259</v>
      </c>
      <c r="J30" s="305">
        <f t="shared" si="2"/>
        <v>641734</v>
      </c>
      <c r="K30" s="304">
        <f t="shared" si="3"/>
        <v>406257</v>
      </c>
      <c r="L30" s="304">
        <f t="shared" si="4"/>
        <v>235477</v>
      </c>
      <c r="M30" s="312" t="s">
        <v>89</v>
      </c>
    </row>
    <row r="31" spans="1:13" ht="15.75" thickBot="1" x14ac:dyDescent="0.3">
      <c r="A31" s="311" t="s">
        <v>127</v>
      </c>
      <c r="B31" s="310" t="s">
        <v>91</v>
      </c>
      <c r="C31" s="309">
        <v>1877071</v>
      </c>
      <c r="D31" s="101">
        <v>598562</v>
      </c>
      <c r="E31" s="101">
        <v>1278509</v>
      </c>
      <c r="F31" s="308"/>
      <c r="G31" s="307">
        <v>1877071</v>
      </c>
      <c r="H31" s="392">
        <f t="shared" si="0"/>
        <v>2.4173377422772684E-2</v>
      </c>
      <c r="I31" s="306">
        <f t="shared" si="1"/>
        <v>842374.28566242103</v>
      </c>
      <c r="J31" s="305">
        <f t="shared" si="2"/>
        <v>842374</v>
      </c>
      <c r="K31" s="304">
        <f t="shared" si="3"/>
        <v>533274</v>
      </c>
      <c r="L31" s="304">
        <f t="shared" si="4"/>
        <v>309100</v>
      </c>
      <c r="M31" s="303" t="s">
        <v>91</v>
      </c>
    </row>
    <row r="32" spans="1:13" ht="15.75" thickBot="1" x14ac:dyDescent="0.3">
      <c r="A32" s="517" t="s">
        <v>174</v>
      </c>
      <c r="B32" s="518"/>
      <c r="C32" s="299">
        <v>74728257</v>
      </c>
      <c r="D32" s="302">
        <v>29891303</v>
      </c>
      <c r="E32" s="302">
        <v>44836954</v>
      </c>
      <c r="F32" s="301">
        <v>2922084</v>
      </c>
      <c r="G32" s="299">
        <v>77650341</v>
      </c>
      <c r="H32" s="393">
        <f>SUM(H14:H31)</f>
        <v>0.99999999999999978</v>
      </c>
      <c r="I32" s="299">
        <f>SUM(I14:I31)</f>
        <v>34847190.399999999</v>
      </c>
      <c r="J32" s="300">
        <f>SUM(J14:J31)</f>
        <v>34847188</v>
      </c>
      <c r="K32" s="299">
        <f>SUM(K14:K31)</f>
        <v>22060408</v>
      </c>
      <c r="L32" s="299">
        <f>SUM(L14:L31)</f>
        <v>12786780</v>
      </c>
      <c r="M32" s="298"/>
    </row>
    <row r="33" spans="1:10" ht="11.25" customHeight="1" x14ac:dyDescent="0.25">
      <c r="J33" s="297">
        <f>+B43-J32</f>
        <v>2.3999999985098839</v>
      </c>
    </row>
    <row r="34" spans="1:10" ht="11.25" customHeight="1" x14ac:dyDescent="0.25"/>
    <row r="35" spans="1:10" ht="11.25" customHeight="1" x14ac:dyDescent="0.25">
      <c r="A35" s="296"/>
      <c r="D35" s="279"/>
    </row>
    <row r="36" spans="1:10" s="292" customFormat="1" ht="21" customHeight="1" x14ac:dyDescent="0.25">
      <c r="A36" s="295" t="s">
        <v>348</v>
      </c>
      <c r="B36" s="294" t="s">
        <v>73</v>
      </c>
      <c r="C36" s="293" t="s">
        <v>347</v>
      </c>
      <c r="D36" s="293" t="s">
        <v>346</v>
      </c>
      <c r="E36" s="293" t="s">
        <v>345</v>
      </c>
    </row>
    <row r="37" spans="1:10" x14ac:dyDescent="0.25">
      <c r="A37" s="284" t="s">
        <v>137</v>
      </c>
      <c r="B37" s="118">
        <v>57386715</v>
      </c>
      <c r="C37" s="291">
        <f>+B37/B39</f>
        <v>0.63306140471294703</v>
      </c>
      <c r="D37" s="118">
        <f>+K32</f>
        <v>22060408</v>
      </c>
      <c r="E37" s="118">
        <f>+B37-D37</f>
        <v>35326307</v>
      </c>
    </row>
    <row r="38" spans="1:10" x14ac:dyDescent="0.25">
      <c r="A38" s="284" t="s">
        <v>138</v>
      </c>
      <c r="B38" s="118">
        <v>33262809</v>
      </c>
      <c r="C38" s="290">
        <f>1-C37</f>
        <v>0.36693859528705297</v>
      </c>
      <c r="D38" s="118">
        <f>+L32</f>
        <v>12786780</v>
      </c>
      <c r="E38" s="118">
        <f>+B38-D38</f>
        <v>20476029</v>
      </c>
    </row>
    <row r="39" spans="1:10" x14ac:dyDescent="0.25">
      <c r="A39" s="289" t="s">
        <v>344</v>
      </c>
      <c r="B39" s="288">
        <f>SUM(B37:B38)</f>
        <v>90649524</v>
      </c>
      <c r="D39" s="279"/>
    </row>
    <row r="40" spans="1:10" x14ac:dyDescent="0.25">
      <c r="A40" s="284" t="s">
        <v>343</v>
      </c>
      <c r="B40" s="287">
        <v>3531548</v>
      </c>
      <c r="D40" s="279"/>
    </row>
    <row r="41" spans="1:10" x14ac:dyDescent="0.25">
      <c r="A41" s="286" t="s">
        <v>342</v>
      </c>
      <c r="B41" s="285">
        <f>B39-B40</f>
        <v>87117976</v>
      </c>
      <c r="D41" s="279"/>
    </row>
    <row r="42" spans="1:10" x14ac:dyDescent="0.25">
      <c r="A42" s="284" t="s">
        <v>341</v>
      </c>
      <c r="B42" s="283">
        <f>+A5</f>
        <v>0.4</v>
      </c>
      <c r="D42" s="279"/>
    </row>
    <row r="43" spans="1:10" x14ac:dyDescent="0.25">
      <c r="A43" s="282" t="s">
        <v>340</v>
      </c>
      <c r="B43" s="281">
        <f>B41*B42</f>
        <v>34847190.399999999</v>
      </c>
      <c r="C43" s="280"/>
      <c r="D43" s="279"/>
    </row>
    <row r="44" spans="1:10" x14ac:dyDescent="0.25">
      <c r="D44" s="279"/>
    </row>
    <row r="45" spans="1:10" x14ac:dyDescent="0.25">
      <c r="D45" s="279"/>
    </row>
    <row r="46" spans="1:10" x14ac:dyDescent="0.25">
      <c r="D46" s="279"/>
    </row>
    <row r="47" spans="1:10" x14ac:dyDescent="0.25">
      <c r="D47" s="279"/>
    </row>
    <row r="48" spans="1:10" x14ac:dyDescent="0.25">
      <c r="D48" s="279"/>
    </row>
    <row r="49" spans="4:4" x14ac:dyDescent="0.25">
      <c r="D49" s="279"/>
    </row>
    <row r="50" spans="4:4" x14ac:dyDescent="0.25">
      <c r="D50" s="279"/>
    </row>
    <row r="51" spans="4:4" x14ac:dyDescent="0.25">
      <c r="D51" s="279"/>
    </row>
    <row r="52" spans="4:4" x14ac:dyDescent="0.25">
      <c r="D52" s="279"/>
    </row>
    <row r="53" spans="4:4" x14ac:dyDescent="0.25">
      <c r="D53" s="279"/>
    </row>
    <row r="54" spans="4:4" x14ac:dyDescent="0.25">
      <c r="D54" s="279"/>
    </row>
    <row r="55" spans="4:4" x14ac:dyDescent="0.25">
      <c r="D55" s="279"/>
    </row>
    <row r="56" spans="4:4" x14ac:dyDescent="0.25">
      <c r="D56" s="279"/>
    </row>
    <row r="57" spans="4:4" x14ac:dyDescent="0.25">
      <c r="D57" s="279"/>
    </row>
    <row r="58" spans="4:4" x14ac:dyDescent="0.25">
      <c r="D58" s="279"/>
    </row>
    <row r="59" spans="4:4" x14ac:dyDescent="0.25">
      <c r="D59" s="279"/>
    </row>
    <row r="60" spans="4:4" x14ac:dyDescent="0.25">
      <c r="D60" s="279"/>
    </row>
    <row r="61" spans="4:4" x14ac:dyDescent="0.25">
      <c r="D61" s="279"/>
    </row>
    <row r="62" spans="4:4" x14ac:dyDescent="0.25">
      <c r="D62" s="279"/>
    </row>
    <row r="63" spans="4:4" x14ac:dyDescent="0.25">
      <c r="D63" s="279"/>
    </row>
    <row r="64" spans="4:4" x14ac:dyDescent="0.25">
      <c r="D64" s="279"/>
    </row>
    <row r="65" spans="4:4" x14ac:dyDescent="0.25">
      <c r="D65" s="279"/>
    </row>
    <row r="66" spans="4:4" x14ac:dyDescent="0.25">
      <c r="D66" s="279"/>
    </row>
    <row r="67" spans="4:4" x14ac:dyDescent="0.25">
      <c r="D67" s="279"/>
    </row>
    <row r="68" spans="4:4" x14ac:dyDescent="0.25">
      <c r="D68" s="279"/>
    </row>
    <row r="69" spans="4:4" x14ac:dyDescent="0.25">
      <c r="D69" s="279"/>
    </row>
    <row r="70" spans="4:4" x14ac:dyDescent="0.25">
      <c r="D70" s="279"/>
    </row>
    <row r="71" spans="4:4" x14ac:dyDescent="0.25">
      <c r="D71" s="279"/>
    </row>
    <row r="72" spans="4:4" x14ac:dyDescent="0.25">
      <c r="D72" s="279"/>
    </row>
    <row r="73" spans="4:4" x14ac:dyDescent="0.25">
      <c r="D73" s="279"/>
    </row>
    <row r="74" spans="4:4" x14ac:dyDescent="0.25">
      <c r="D74" s="279"/>
    </row>
    <row r="75" spans="4:4" x14ac:dyDescent="0.25">
      <c r="D75" s="279"/>
    </row>
    <row r="76" spans="4:4" x14ac:dyDescent="0.25">
      <c r="D76" s="279"/>
    </row>
    <row r="77" spans="4:4" x14ac:dyDescent="0.25">
      <c r="D77" s="279"/>
    </row>
    <row r="78" spans="4:4" x14ac:dyDescent="0.25">
      <c r="D78" s="279"/>
    </row>
    <row r="79" spans="4:4" x14ac:dyDescent="0.25">
      <c r="D79" s="279"/>
    </row>
    <row r="80" spans="4:4" x14ac:dyDescent="0.25">
      <c r="D80" s="279"/>
    </row>
    <row r="81" spans="4:4" x14ac:dyDescent="0.25">
      <c r="D81" s="279"/>
    </row>
    <row r="82" spans="4:4" x14ac:dyDescent="0.25">
      <c r="D82" s="279"/>
    </row>
    <row r="83" spans="4:4" x14ac:dyDescent="0.25">
      <c r="D83" s="279"/>
    </row>
    <row r="84" spans="4:4" x14ac:dyDescent="0.25">
      <c r="D84" s="279"/>
    </row>
    <row r="85" spans="4:4" x14ac:dyDescent="0.25">
      <c r="D85" s="279"/>
    </row>
    <row r="86" spans="4:4" x14ac:dyDescent="0.25">
      <c r="D86" s="279"/>
    </row>
    <row r="87" spans="4:4" x14ac:dyDescent="0.25">
      <c r="D87" s="279"/>
    </row>
    <row r="88" spans="4:4" x14ac:dyDescent="0.25">
      <c r="D88" s="279"/>
    </row>
    <row r="89" spans="4:4" x14ac:dyDescent="0.25">
      <c r="D89" s="279"/>
    </row>
    <row r="90" spans="4:4" x14ac:dyDescent="0.25">
      <c r="D90" s="279"/>
    </row>
    <row r="91" spans="4:4" x14ac:dyDescent="0.25">
      <c r="D91" s="279"/>
    </row>
    <row r="92" spans="4:4" x14ac:dyDescent="0.25">
      <c r="D92" s="279"/>
    </row>
    <row r="93" spans="4:4" x14ac:dyDescent="0.25">
      <c r="D93" s="279"/>
    </row>
    <row r="94" spans="4:4" x14ac:dyDescent="0.25">
      <c r="D94" s="279"/>
    </row>
    <row r="95" spans="4:4" x14ac:dyDescent="0.25">
      <c r="D95" s="279"/>
    </row>
    <row r="96" spans="4:4" x14ac:dyDescent="0.25">
      <c r="D96" s="279"/>
    </row>
    <row r="97" spans="4:4" x14ac:dyDescent="0.25">
      <c r="D97" s="279"/>
    </row>
    <row r="98" spans="4:4" x14ac:dyDescent="0.25">
      <c r="D98" s="279"/>
    </row>
    <row r="99" spans="4:4" x14ac:dyDescent="0.25">
      <c r="D99" s="279"/>
    </row>
    <row r="100" spans="4:4" x14ac:dyDescent="0.25">
      <c r="D100" s="279"/>
    </row>
    <row r="101" spans="4:4" x14ac:dyDescent="0.25">
      <c r="D101" s="279"/>
    </row>
    <row r="102" spans="4:4" x14ac:dyDescent="0.25">
      <c r="D102" s="279"/>
    </row>
    <row r="103" spans="4:4" x14ac:dyDescent="0.25">
      <c r="D103" s="279"/>
    </row>
    <row r="104" spans="4:4" x14ac:dyDescent="0.25">
      <c r="D104" s="279"/>
    </row>
    <row r="105" spans="4:4" x14ac:dyDescent="0.25">
      <c r="D105" s="279"/>
    </row>
    <row r="106" spans="4:4" x14ac:dyDescent="0.25">
      <c r="D106" s="279"/>
    </row>
    <row r="107" spans="4:4" x14ac:dyDescent="0.25">
      <c r="D107" s="279"/>
    </row>
    <row r="108" spans="4:4" x14ac:dyDescent="0.25">
      <c r="D108" s="279"/>
    </row>
  </sheetData>
  <mergeCells count="18">
    <mergeCell ref="A32:B32"/>
    <mergeCell ref="H11:H13"/>
    <mergeCell ref="I11:I13"/>
    <mergeCell ref="J11:J13"/>
    <mergeCell ref="K11:L11"/>
    <mergeCell ref="A11:A13"/>
    <mergeCell ref="B11:B13"/>
    <mergeCell ref="G11:G13"/>
    <mergeCell ref="M11:M13"/>
    <mergeCell ref="K12:K13"/>
    <mergeCell ref="L12:L13"/>
    <mergeCell ref="C10:E10"/>
    <mergeCell ref="G10:H10"/>
    <mergeCell ref="I10:M10"/>
    <mergeCell ref="C11:C13"/>
    <mergeCell ref="D11:D12"/>
    <mergeCell ref="E11:E12"/>
    <mergeCell ref="F11:F12"/>
  </mergeCells>
  <pageMargins left="0.11811023622047245" right="0.11811023622047245" top="0.55118110236220474" bottom="0.35433070866141736" header="0.31496062992125984" footer="0.31496062992125984"/>
  <pageSetup paperSize="14" scale="6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C38"/>
  <sheetViews>
    <sheetView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AD8" sqref="AD8"/>
    </sheetView>
  </sheetViews>
  <sheetFormatPr baseColWidth="10" defaultRowHeight="15" x14ac:dyDescent="0.25"/>
  <cols>
    <col min="1" max="1" width="47" customWidth="1"/>
    <col min="2" max="2" width="14.140625" customWidth="1"/>
    <col min="3" max="3" width="11.28515625" customWidth="1"/>
    <col min="4" max="26" width="7.7109375" customWidth="1"/>
    <col min="27" max="27" width="11.28515625" customWidth="1"/>
    <col min="28" max="28" width="23.42578125" bestFit="1" customWidth="1"/>
  </cols>
  <sheetData>
    <row r="1" spans="1:29" x14ac:dyDescent="0.25">
      <c r="A1" s="16" t="s">
        <v>140</v>
      </c>
    </row>
    <row r="2" spans="1:29" x14ac:dyDescent="0.25">
      <c r="B2" s="341">
        <v>1</v>
      </c>
      <c r="C2" s="341">
        <v>2</v>
      </c>
      <c r="D2" s="341">
        <v>3</v>
      </c>
      <c r="E2" s="341">
        <v>4</v>
      </c>
      <c r="F2" s="341">
        <v>5</v>
      </c>
      <c r="G2" s="341">
        <v>6</v>
      </c>
      <c r="H2" s="341">
        <v>7</v>
      </c>
      <c r="I2" s="341">
        <v>8</v>
      </c>
      <c r="J2" s="341">
        <v>9</v>
      </c>
      <c r="K2" s="341">
        <v>10</v>
      </c>
      <c r="L2" s="341">
        <v>11</v>
      </c>
      <c r="M2" s="341">
        <v>12</v>
      </c>
      <c r="N2" s="341">
        <v>13</v>
      </c>
      <c r="O2" s="341">
        <v>14</v>
      </c>
      <c r="P2" s="341">
        <v>15</v>
      </c>
      <c r="Q2" s="341">
        <v>16</v>
      </c>
      <c r="R2" s="341">
        <v>17</v>
      </c>
      <c r="S2" s="341">
        <v>18</v>
      </c>
      <c r="T2" s="341">
        <v>19</v>
      </c>
      <c r="U2" s="341">
        <v>20</v>
      </c>
      <c r="V2" s="341">
        <v>21</v>
      </c>
      <c r="W2" s="341">
        <v>22</v>
      </c>
      <c r="X2" s="341">
        <v>23</v>
      </c>
      <c r="Y2" s="341">
        <v>24</v>
      </c>
      <c r="Z2" s="341">
        <v>25</v>
      </c>
      <c r="AA2" s="341">
        <v>26</v>
      </c>
      <c r="AB2" s="341">
        <v>27</v>
      </c>
    </row>
    <row r="3" spans="1:29" s="96" customFormat="1" ht="25.5" customHeight="1" x14ac:dyDescent="0.25">
      <c r="D3" s="532" t="s">
        <v>132</v>
      </c>
      <c r="E3" s="532"/>
      <c r="F3" s="532"/>
      <c r="G3" s="532"/>
      <c r="H3" s="532"/>
      <c r="I3" s="532"/>
      <c r="J3" s="532"/>
      <c r="K3" s="532"/>
      <c r="L3" s="532"/>
      <c r="M3" s="532" t="s">
        <v>133</v>
      </c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</row>
    <row r="4" spans="1:29" ht="39" customHeight="1" x14ac:dyDescent="0.25">
      <c r="A4" s="19" t="s">
        <v>11</v>
      </c>
      <c r="B4" s="19" t="s">
        <v>1</v>
      </c>
      <c r="C4" s="19" t="s">
        <v>21</v>
      </c>
      <c r="D4" s="362">
        <v>2</v>
      </c>
      <c r="E4" s="362">
        <v>3</v>
      </c>
      <c r="F4" s="362">
        <v>4</v>
      </c>
      <c r="G4" s="362">
        <v>5</v>
      </c>
      <c r="H4" s="362">
        <v>6</v>
      </c>
      <c r="I4" s="362">
        <v>7</v>
      </c>
      <c r="J4" s="362">
        <v>8</v>
      </c>
      <c r="K4" s="362">
        <v>9</v>
      </c>
      <c r="L4" s="363" t="s">
        <v>37</v>
      </c>
      <c r="M4" s="364">
        <v>2</v>
      </c>
      <c r="N4" s="364">
        <v>3</v>
      </c>
      <c r="O4" s="364">
        <v>4</v>
      </c>
      <c r="P4" s="364">
        <v>5</v>
      </c>
      <c r="Q4" s="364">
        <v>6</v>
      </c>
      <c r="R4" s="364">
        <v>7</v>
      </c>
      <c r="S4" s="364">
        <v>8</v>
      </c>
      <c r="T4" s="364">
        <v>9</v>
      </c>
      <c r="U4" s="364">
        <v>10</v>
      </c>
      <c r="V4" s="365" t="s">
        <v>134</v>
      </c>
      <c r="W4" s="361" t="s">
        <v>135</v>
      </c>
      <c r="X4" s="361" t="s">
        <v>136</v>
      </c>
      <c r="Y4" s="361" t="s">
        <v>38</v>
      </c>
      <c r="Z4" s="121" t="s">
        <v>177</v>
      </c>
      <c r="AA4" s="110" t="s">
        <v>39</v>
      </c>
      <c r="AB4" s="110" t="s">
        <v>69</v>
      </c>
    </row>
    <row r="5" spans="1:29" x14ac:dyDescent="0.25">
      <c r="A5" s="1" t="s">
        <v>12</v>
      </c>
      <c r="B5" s="1" t="s">
        <v>2</v>
      </c>
      <c r="C5" s="2" t="s">
        <v>22</v>
      </c>
      <c r="D5" s="366">
        <v>0</v>
      </c>
      <c r="E5" s="366">
        <v>0</v>
      </c>
      <c r="F5" s="366">
        <v>0</v>
      </c>
      <c r="G5" s="366">
        <v>1</v>
      </c>
      <c r="H5" s="366">
        <v>0</v>
      </c>
      <c r="I5" s="366">
        <v>2</v>
      </c>
      <c r="J5" s="366"/>
      <c r="K5" s="366"/>
      <c r="L5" s="367">
        <f>SUM(D5:K5)</f>
        <v>3</v>
      </c>
      <c r="M5" s="368">
        <v>0</v>
      </c>
      <c r="N5" s="368">
        <v>9</v>
      </c>
      <c r="O5" s="368">
        <v>5</v>
      </c>
      <c r="P5" s="368">
        <v>8</v>
      </c>
      <c r="Q5" s="368">
        <v>4</v>
      </c>
      <c r="R5" s="368">
        <v>8</v>
      </c>
      <c r="S5" s="368">
        <v>4</v>
      </c>
      <c r="T5" s="368">
        <v>0</v>
      </c>
      <c r="U5" s="368">
        <v>1</v>
      </c>
      <c r="V5" s="369">
        <f>SUM(M5:U5)</f>
        <v>39</v>
      </c>
      <c r="W5" s="370">
        <f>L5+V5</f>
        <v>42</v>
      </c>
      <c r="X5" s="370">
        <f>SUM(G5:K5)</f>
        <v>3</v>
      </c>
      <c r="Y5" s="370">
        <f>V5+X5</f>
        <v>42</v>
      </c>
      <c r="Z5" s="119">
        <f>+VLOOKUP(B5,Publicaciones!$B$3:$C$20,2,0)</f>
        <v>3324</v>
      </c>
      <c r="AA5" s="111" t="str">
        <f>IF(AND(Y5&gt;=10,Z5&gt;=300),"Categoría I",IF(AND(Y5&gt;=1,Z5&gt;=100),"Categoría II","Categoría III"))</f>
        <v>Categoría I</v>
      </c>
      <c r="AB5" s="111" t="str">
        <f t="shared" ref="AB5:AB22" si="0">CONCATENATE(C5,AA5)</f>
        <v>CRUCH-ESTATALCategoría I</v>
      </c>
      <c r="AC5" s="120" t="s">
        <v>176</v>
      </c>
    </row>
    <row r="6" spans="1:29" x14ac:dyDescent="0.25">
      <c r="A6" s="1" t="s">
        <v>13</v>
      </c>
      <c r="B6" s="1" t="s">
        <v>3</v>
      </c>
      <c r="C6" s="2" t="s">
        <v>22</v>
      </c>
      <c r="D6" s="366">
        <v>0</v>
      </c>
      <c r="E6" s="366">
        <v>0</v>
      </c>
      <c r="F6" s="366">
        <v>0</v>
      </c>
      <c r="G6" s="366">
        <v>0</v>
      </c>
      <c r="H6" s="366">
        <v>0</v>
      </c>
      <c r="I6" s="366">
        <v>1</v>
      </c>
      <c r="J6" s="366"/>
      <c r="K6" s="366"/>
      <c r="L6" s="367">
        <f t="shared" ref="L6:L22" si="1">SUM(D6:K6)</f>
        <v>1</v>
      </c>
      <c r="M6" s="368">
        <v>0</v>
      </c>
      <c r="N6" s="368">
        <v>1</v>
      </c>
      <c r="O6" s="368">
        <v>0</v>
      </c>
      <c r="P6" s="368">
        <v>3</v>
      </c>
      <c r="Q6" s="368">
        <v>4</v>
      </c>
      <c r="R6" s="368">
        <v>1</v>
      </c>
      <c r="S6" s="368">
        <v>2</v>
      </c>
      <c r="T6" s="368">
        <v>1</v>
      </c>
      <c r="U6" s="368">
        <v>0</v>
      </c>
      <c r="V6" s="369">
        <f t="shared" ref="V6:V22" si="2">SUM(M6:U6)</f>
        <v>12</v>
      </c>
      <c r="W6" s="370">
        <f t="shared" ref="W6:W20" si="3">L6+V6</f>
        <v>13</v>
      </c>
      <c r="X6" s="370">
        <f t="shared" ref="X6:X22" si="4">SUM(G6:K6)</f>
        <v>1</v>
      </c>
      <c r="Y6" s="370">
        <f t="shared" ref="Y6:Y20" si="5">V6+X6</f>
        <v>13</v>
      </c>
      <c r="Z6" s="119">
        <f>+VLOOKUP(B6,Publicaciones!$B$3:$C$20,2,0)</f>
        <v>1071</v>
      </c>
      <c r="AA6" s="111" t="str">
        <f t="shared" ref="AA6:AA22" si="6">IF(AND(Y6&gt;=10,Z6&gt;=300),"Categoría I",IF(AND(Y6&gt;=1,Z6&gt;=100),"Categoría II","Categoría III"))</f>
        <v>Categoría I</v>
      </c>
      <c r="AB6" s="111" t="str">
        <f t="shared" si="0"/>
        <v>CRUCH-ESTATALCategoría I</v>
      </c>
    </row>
    <row r="7" spans="1:29" x14ac:dyDescent="0.25">
      <c r="A7" s="1" t="s">
        <v>19</v>
      </c>
      <c r="B7" s="1" t="s">
        <v>9</v>
      </c>
      <c r="C7" s="2" t="s">
        <v>22</v>
      </c>
      <c r="D7" s="366">
        <v>0</v>
      </c>
      <c r="E7" s="366">
        <v>0</v>
      </c>
      <c r="F7" s="366">
        <v>0</v>
      </c>
      <c r="G7" s="366">
        <v>0</v>
      </c>
      <c r="H7" s="366">
        <v>0</v>
      </c>
      <c r="I7" s="366">
        <v>0</v>
      </c>
      <c r="J7" s="366"/>
      <c r="K7" s="366"/>
      <c r="L7" s="367">
        <f t="shared" si="1"/>
        <v>0</v>
      </c>
      <c r="M7" s="368">
        <v>0</v>
      </c>
      <c r="N7" s="368">
        <v>2</v>
      </c>
      <c r="O7" s="368">
        <v>2</v>
      </c>
      <c r="P7" s="368">
        <v>0</v>
      </c>
      <c r="Q7" s="368">
        <v>0</v>
      </c>
      <c r="R7" s="368">
        <v>0</v>
      </c>
      <c r="S7" s="368">
        <v>1</v>
      </c>
      <c r="T7" s="368">
        <v>0</v>
      </c>
      <c r="U7" s="368">
        <v>0</v>
      </c>
      <c r="V7" s="369">
        <f t="shared" si="2"/>
        <v>5</v>
      </c>
      <c r="W7" s="370">
        <f t="shared" si="3"/>
        <v>5</v>
      </c>
      <c r="X7" s="370">
        <f t="shared" si="4"/>
        <v>0</v>
      </c>
      <c r="Y7" s="370">
        <f t="shared" si="5"/>
        <v>5</v>
      </c>
      <c r="Z7" s="119">
        <f>+VLOOKUP(B7,Publicaciones!$B$3:$C$20,2,0)</f>
        <v>353</v>
      </c>
      <c r="AA7" s="111" t="str">
        <f t="shared" si="6"/>
        <v>Categoría II</v>
      </c>
      <c r="AB7" s="111" t="str">
        <f t="shared" si="0"/>
        <v>CRUCH-ESTATALCategoría II</v>
      </c>
    </row>
    <row r="8" spans="1:29" x14ac:dyDescent="0.25">
      <c r="A8" s="1" t="s">
        <v>16</v>
      </c>
      <c r="B8" s="1" t="s">
        <v>6</v>
      </c>
      <c r="C8" s="2" t="s">
        <v>22</v>
      </c>
      <c r="D8" s="366">
        <v>1</v>
      </c>
      <c r="E8" s="366">
        <v>1</v>
      </c>
      <c r="F8" s="366">
        <v>0</v>
      </c>
      <c r="G8" s="366">
        <v>0</v>
      </c>
      <c r="H8" s="366">
        <v>0</v>
      </c>
      <c r="I8" s="366">
        <v>0</v>
      </c>
      <c r="J8" s="366"/>
      <c r="K8" s="366"/>
      <c r="L8" s="367">
        <f t="shared" si="1"/>
        <v>2</v>
      </c>
      <c r="M8" s="368">
        <v>0</v>
      </c>
      <c r="N8" s="368">
        <v>2</v>
      </c>
      <c r="O8" s="368">
        <v>0</v>
      </c>
      <c r="P8" s="368">
        <v>3</v>
      </c>
      <c r="Q8" s="368">
        <v>2</v>
      </c>
      <c r="R8" s="368">
        <v>1</v>
      </c>
      <c r="S8" s="368">
        <v>1</v>
      </c>
      <c r="T8" s="368">
        <v>0</v>
      </c>
      <c r="U8" s="368">
        <v>0</v>
      </c>
      <c r="V8" s="369">
        <f t="shared" si="2"/>
        <v>9</v>
      </c>
      <c r="W8" s="370">
        <f t="shared" si="3"/>
        <v>11</v>
      </c>
      <c r="X8" s="370">
        <f t="shared" si="4"/>
        <v>0</v>
      </c>
      <c r="Y8" s="370">
        <f t="shared" si="5"/>
        <v>9</v>
      </c>
      <c r="Z8" s="119">
        <f>+VLOOKUP(B8,Publicaciones!$B$3:$C$20,2,0)</f>
        <v>835</v>
      </c>
      <c r="AA8" s="111" t="str">
        <f t="shared" si="6"/>
        <v>Categoría II</v>
      </c>
      <c r="AB8" s="111" t="str">
        <f t="shared" si="0"/>
        <v>CRUCH-ESTATALCategoría II</v>
      </c>
    </row>
    <row r="9" spans="1:29" x14ac:dyDescent="0.25">
      <c r="A9" s="1" t="s">
        <v>15</v>
      </c>
      <c r="B9" s="1" t="s">
        <v>5</v>
      </c>
      <c r="C9" s="2" t="s">
        <v>22</v>
      </c>
      <c r="D9" s="366">
        <v>0</v>
      </c>
      <c r="E9" s="366">
        <v>1</v>
      </c>
      <c r="F9" s="366">
        <v>0</v>
      </c>
      <c r="G9" s="366">
        <v>0</v>
      </c>
      <c r="H9" s="366">
        <v>0</v>
      </c>
      <c r="I9" s="366">
        <v>0</v>
      </c>
      <c r="J9" s="366"/>
      <c r="K9" s="366"/>
      <c r="L9" s="367">
        <f t="shared" si="1"/>
        <v>1</v>
      </c>
      <c r="M9" s="368">
        <v>0</v>
      </c>
      <c r="N9" s="368">
        <v>5</v>
      </c>
      <c r="O9" s="368">
        <v>0</v>
      </c>
      <c r="P9" s="368">
        <v>2</v>
      </c>
      <c r="Q9" s="368">
        <v>2</v>
      </c>
      <c r="R9" s="368">
        <v>2</v>
      </c>
      <c r="S9" s="368">
        <v>0</v>
      </c>
      <c r="T9" s="368">
        <v>0</v>
      </c>
      <c r="U9" s="368">
        <v>0</v>
      </c>
      <c r="V9" s="369">
        <f t="shared" si="2"/>
        <v>11</v>
      </c>
      <c r="W9" s="370">
        <f t="shared" si="3"/>
        <v>12</v>
      </c>
      <c r="X9" s="370">
        <f t="shared" si="4"/>
        <v>0</v>
      </c>
      <c r="Y9" s="370">
        <f t="shared" si="5"/>
        <v>11</v>
      </c>
      <c r="Z9" s="119">
        <f>+VLOOKUP(B9,Publicaciones!$B$3:$C$20,2,0)</f>
        <v>707</v>
      </c>
      <c r="AA9" s="111" t="str">
        <f t="shared" si="6"/>
        <v>Categoría I</v>
      </c>
      <c r="AB9" s="111" t="str">
        <f t="shared" si="0"/>
        <v>CRUCH-ESTATALCategoría I</v>
      </c>
    </row>
    <row r="10" spans="1:29" x14ac:dyDescent="0.25">
      <c r="A10" s="1" t="s">
        <v>20</v>
      </c>
      <c r="B10" s="1" t="s">
        <v>10</v>
      </c>
      <c r="C10" s="2" t="s">
        <v>22</v>
      </c>
      <c r="D10" s="366">
        <v>0</v>
      </c>
      <c r="E10" s="366">
        <v>0</v>
      </c>
      <c r="F10" s="366">
        <v>0</v>
      </c>
      <c r="G10" s="366">
        <v>2</v>
      </c>
      <c r="H10" s="366">
        <v>0</v>
      </c>
      <c r="I10" s="366">
        <v>0</v>
      </c>
      <c r="J10" s="366"/>
      <c r="K10" s="366"/>
      <c r="L10" s="367">
        <f t="shared" si="1"/>
        <v>2</v>
      </c>
      <c r="M10" s="368">
        <v>0</v>
      </c>
      <c r="N10" s="368">
        <v>4</v>
      </c>
      <c r="O10" s="368">
        <v>0</v>
      </c>
      <c r="P10" s="368">
        <v>0</v>
      </c>
      <c r="Q10" s="368">
        <v>0</v>
      </c>
      <c r="R10" s="368">
        <v>0</v>
      </c>
      <c r="S10" s="368">
        <v>0</v>
      </c>
      <c r="T10" s="368">
        <v>0</v>
      </c>
      <c r="U10" s="368">
        <v>0</v>
      </c>
      <c r="V10" s="369">
        <f t="shared" si="2"/>
        <v>4</v>
      </c>
      <c r="W10" s="370">
        <f t="shared" si="3"/>
        <v>6</v>
      </c>
      <c r="X10" s="370">
        <f t="shared" si="4"/>
        <v>2</v>
      </c>
      <c r="Y10" s="370">
        <f t="shared" si="5"/>
        <v>6</v>
      </c>
      <c r="Z10" s="119">
        <f>+VLOOKUP(B10,Publicaciones!$B$3:$C$20,2,0)</f>
        <v>594</v>
      </c>
      <c r="AA10" s="111" t="str">
        <f t="shared" si="6"/>
        <v>Categoría II</v>
      </c>
      <c r="AB10" s="111" t="str">
        <f t="shared" si="0"/>
        <v>CRUCH-ESTATALCategoría II</v>
      </c>
    </row>
    <row r="11" spans="1:29" x14ac:dyDescent="0.25">
      <c r="A11" s="1" t="s">
        <v>14</v>
      </c>
      <c r="B11" s="1" t="s">
        <v>4</v>
      </c>
      <c r="C11" s="2" t="s">
        <v>22</v>
      </c>
      <c r="D11" s="366">
        <v>0</v>
      </c>
      <c r="E11" s="366">
        <v>0</v>
      </c>
      <c r="F11" s="366">
        <v>1</v>
      </c>
      <c r="G11" s="366">
        <v>0</v>
      </c>
      <c r="H11" s="366">
        <v>1</v>
      </c>
      <c r="I11" s="366">
        <v>0</v>
      </c>
      <c r="J11" s="366"/>
      <c r="K11" s="366"/>
      <c r="L11" s="367">
        <f t="shared" si="1"/>
        <v>2</v>
      </c>
      <c r="M11" s="368">
        <v>0</v>
      </c>
      <c r="N11" s="368">
        <v>4</v>
      </c>
      <c r="O11" s="368">
        <v>1</v>
      </c>
      <c r="P11" s="368">
        <v>0</v>
      </c>
      <c r="Q11" s="368">
        <v>0</v>
      </c>
      <c r="R11" s="368">
        <v>3</v>
      </c>
      <c r="S11" s="368">
        <v>0</v>
      </c>
      <c r="T11" s="368">
        <v>0</v>
      </c>
      <c r="U11" s="368">
        <v>0</v>
      </c>
      <c r="V11" s="369">
        <f t="shared" si="2"/>
        <v>8</v>
      </c>
      <c r="W11" s="370">
        <f t="shared" si="3"/>
        <v>10</v>
      </c>
      <c r="X11" s="370">
        <f t="shared" si="4"/>
        <v>1</v>
      </c>
      <c r="Y11" s="370">
        <f t="shared" si="5"/>
        <v>9</v>
      </c>
      <c r="Z11" s="119">
        <f>+VLOOKUP(B11,Publicaciones!$B$3:$C$20,2,0)</f>
        <v>637</v>
      </c>
      <c r="AA11" s="111" t="str">
        <f t="shared" si="6"/>
        <v>Categoría II</v>
      </c>
      <c r="AB11" s="111" t="str">
        <f t="shared" si="0"/>
        <v>CRUCH-ESTATALCategoría II</v>
      </c>
    </row>
    <row r="12" spans="1:29" x14ac:dyDescent="0.25">
      <c r="A12" s="1" t="s">
        <v>18</v>
      </c>
      <c r="B12" s="1" t="s">
        <v>8</v>
      </c>
      <c r="C12" s="2" t="s">
        <v>22</v>
      </c>
      <c r="D12" s="366">
        <v>0</v>
      </c>
      <c r="E12" s="366">
        <v>1</v>
      </c>
      <c r="F12" s="366">
        <v>1</v>
      </c>
      <c r="G12" s="366">
        <v>0</v>
      </c>
      <c r="H12" s="366">
        <v>0</v>
      </c>
      <c r="I12" s="366">
        <v>0</v>
      </c>
      <c r="J12" s="366"/>
      <c r="K12" s="366"/>
      <c r="L12" s="367">
        <f t="shared" si="1"/>
        <v>2</v>
      </c>
      <c r="M12" s="368">
        <v>0</v>
      </c>
      <c r="N12" s="368">
        <v>2</v>
      </c>
      <c r="O12" s="368">
        <v>0</v>
      </c>
      <c r="P12" s="368">
        <v>1</v>
      </c>
      <c r="Q12" s="368">
        <v>2</v>
      </c>
      <c r="R12" s="368">
        <v>0</v>
      </c>
      <c r="S12" s="368">
        <v>0</v>
      </c>
      <c r="T12" s="368">
        <v>0</v>
      </c>
      <c r="U12" s="368">
        <v>0</v>
      </c>
      <c r="V12" s="369">
        <f t="shared" si="2"/>
        <v>5</v>
      </c>
      <c r="W12" s="370">
        <f t="shared" si="3"/>
        <v>7</v>
      </c>
      <c r="X12" s="370">
        <f t="shared" si="4"/>
        <v>0</v>
      </c>
      <c r="Y12" s="370">
        <f t="shared" si="5"/>
        <v>5</v>
      </c>
      <c r="Z12" s="119">
        <f>+VLOOKUP(B12,Publicaciones!$B$3:$C$20,2,0)</f>
        <v>469</v>
      </c>
      <c r="AA12" s="111" t="str">
        <f t="shared" si="6"/>
        <v>Categoría II</v>
      </c>
      <c r="AB12" s="111" t="str">
        <f t="shared" si="0"/>
        <v>CRUCH-ESTATALCategoría II</v>
      </c>
    </row>
    <row r="13" spans="1:29" x14ac:dyDescent="0.25">
      <c r="A13" s="1" t="s">
        <v>17</v>
      </c>
      <c r="B13" s="1" t="s">
        <v>7</v>
      </c>
      <c r="C13" s="2" t="s">
        <v>22</v>
      </c>
      <c r="D13" s="366">
        <v>0</v>
      </c>
      <c r="E13" s="366">
        <v>0</v>
      </c>
      <c r="F13" s="366">
        <v>0</v>
      </c>
      <c r="G13" s="366">
        <v>1</v>
      </c>
      <c r="H13" s="366">
        <v>0</v>
      </c>
      <c r="I13" s="366">
        <v>0</v>
      </c>
      <c r="J13" s="366"/>
      <c r="K13" s="366"/>
      <c r="L13" s="367">
        <f t="shared" si="1"/>
        <v>1</v>
      </c>
      <c r="M13" s="368">
        <v>0</v>
      </c>
      <c r="N13" s="368">
        <v>3</v>
      </c>
      <c r="O13" s="368">
        <v>1</v>
      </c>
      <c r="P13" s="368">
        <v>0</v>
      </c>
      <c r="Q13" s="368">
        <v>0</v>
      </c>
      <c r="R13" s="368">
        <v>0</v>
      </c>
      <c r="S13" s="368">
        <v>0</v>
      </c>
      <c r="T13" s="368">
        <v>0</v>
      </c>
      <c r="U13" s="368">
        <v>0</v>
      </c>
      <c r="V13" s="369">
        <f t="shared" si="2"/>
        <v>4</v>
      </c>
      <c r="W13" s="370">
        <f t="shared" si="3"/>
        <v>5</v>
      </c>
      <c r="X13" s="370">
        <f t="shared" si="4"/>
        <v>1</v>
      </c>
      <c r="Y13" s="370">
        <f t="shared" si="5"/>
        <v>5</v>
      </c>
      <c r="Z13" s="119">
        <f>+VLOOKUP(B13,Publicaciones!$B$3:$C$20,2,0)</f>
        <v>270</v>
      </c>
      <c r="AA13" s="111" t="str">
        <f t="shared" si="6"/>
        <v>Categoría II</v>
      </c>
      <c r="AB13" s="111" t="str">
        <f t="shared" si="0"/>
        <v>CRUCH-ESTATALCategoría II</v>
      </c>
    </row>
    <row r="14" spans="1:29" x14ac:dyDescent="0.25">
      <c r="A14" s="1" t="s">
        <v>34</v>
      </c>
      <c r="B14" s="1" t="s">
        <v>27</v>
      </c>
      <c r="C14" s="2" t="s">
        <v>22</v>
      </c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/>
      <c r="K14" s="366"/>
      <c r="L14" s="367">
        <f t="shared" si="1"/>
        <v>0</v>
      </c>
      <c r="M14" s="368">
        <v>0</v>
      </c>
      <c r="N14" s="368">
        <v>0</v>
      </c>
      <c r="O14" s="368">
        <v>2</v>
      </c>
      <c r="P14" s="368">
        <v>0</v>
      </c>
      <c r="Q14" s="368">
        <v>0</v>
      </c>
      <c r="R14" s="368">
        <v>0</v>
      </c>
      <c r="S14" s="368">
        <v>0</v>
      </c>
      <c r="T14" s="368">
        <v>0</v>
      </c>
      <c r="U14" s="368">
        <v>0</v>
      </c>
      <c r="V14" s="369">
        <f t="shared" si="2"/>
        <v>2</v>
      </c>
      <c r="W14" s="370">
        <f t="shared" si="3"/>
        <v>2</v>
      </c>
      <c r="X14" s="370">
        <f t="shared" si="4"/>
        <v>0</v>
      </c>
      <c r="Y14" s="370">
        <f t="shared" si="5"/>
        <v>2</v>
      </c>
      <c r="Z14" s="119">
        <f>+VLOOKUP(B14,Publicaciones!$B$3:$C$20,2,0)</f>
        <v>137</v>
      </c>
      <c r="AA14" s="111" t="str">
        <f t="shared" si="6"/>
        <v>Categoría II</v>
      </c>
      <c r="AB14" s="111" t="str">
        <f t="shared" si="0"/>
        <v>CRUCH-ESTATALCategoría II</v>
      </c>
    </row>
    <row r="15" spans="1:29" x14ac:dyDescent="0.25">
      <c r="A15" s="1" t="s">
        <v>30</v>
      </c>
      <c r="B15" s="1" t="s">
        <v>23</v>
      </c>
      <c r="C15" s="2" t="s">
        <v>22</v>
      </c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/>
      <c r="K15" s="366"/>
      <c r="L15" s="367">
        <f t="shared" si="1"/>
        <v>0</v>
      </c>
      <c r="M15" s="368">
        <v>0</v>
      </c>
      <c r="N15" s="368">
        <v>1</v>
      </c>
      <c r="O15" s="368">
        <v>0</v>
      </c>
      <c r="P15" s="368">
        <v>0</v>
      </c>
      <c r="Q15" s="368">
        <v>0</v>
      </c>
      <c r="R15" s="368">
        <v>0</v>
      </c>
      <c r="S15" s="368">
        <v>0</v>
      </c>
      <c r="T15" s="368">
        <v>0</v>
      </c>
      <c r="U15" s="368">
        <v>0</v>
      </c>
      <c r="V15" s="369">
        <f t="shared" si="2"/>
        <v>1</v>
      </c>
      <c r="W15" s="370">
        <f t="shared" si="3"/>
        <v>1</v>
      </c>
      <c r="X15" s="370">
        <f t="shared" si="4"/>
        <v>0</v>
      </c>
      <c r="Y15" s="370">
        <f t="shared" si="5"/>
        <v>1</v>
      </c>
      <c r="Z15" s="119">
        <f>+VLOOKUP(B15,Publicaciones!$B$3:$C$20,2,0)</f>
        <v>168</v>
      </c>
      <c r="AA15" s="111" t="str">
        <f t="shared" si="6"/>
        <v>Categoría II</v>
      </c>
      <c r="AB15" s="111" t="str">
        <f t="shared" si="0"/>
        <v>CRUCH-ESTATALCategoría II</v>
      </c>
    </row>
    <row r="16" spans="1:29" x14ac:dyDescent="0.25">
      <c r="A16" s="1" t="s">
        <v>31</v>
      </c>
      <c r="B16" s="1" t="s">
        <v>24</v>
      </c>
      <c r="C16" s="2" t="s">
        <v>22</v>
      </c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/>
      <c r="K16" s="366"/>
      <c r="L16" s="367">
        <f t="shared" si="1"/>
        <v>0</v>
      </c>
      <c r="M16" s="368">
        <v>0</v>
      </c>
      <c r="N16" s="368">
        <v>1</v>
      </c>
      <c r="O16" s="368">
        <v>0</v>
      </c>
      <c r="P16" s="368">
        <v>0</v>
      </c>
      <c r="Q16" s="368">
        <v>0</v>
      </c>
      <c r="R16" s="368">
        <v>0</v>
      </c>
      <c r="S16" s="368">
        <v>0</v>
      </c>
      <c r="T16" s="368">
        <v>0</v>
      </c>
      <c r="U16" s="368">
        <v>0</v>
      </c>
      <c r="V16" s="369">
        <f t="shared" si="2"/>
        <v>1</v>
      </c>
      <c r="W16" s="370">
        <f t="shared" si="3"/>
        <v>1</v>
      </c>
      <c r="X16" s="370">
        <f t="shared" si="4"/>
        <v>0</v>
      </c>
      <c r="Y16" s="370">
        <f t="shared" si="5"/>
        <v>1</v>
      </c>
      <c r="Z16" s="119">
        <f>+VLOOKUP(B16,Publicaciones!$B$3:$C$20,2,0)</f>
        <v>225</v>
      </c>
      <c r="AA16" s="111" t="str">
        <f t="shared" si="6"/>
        <v>Categoría II</v>
      </c>
      <c r="AB16" s="111" t="str">
        <f t="shared" si="0"/>
        <v>CRUCH-ESTATALCategoría II</v>
      </c>
    </row>
    <row r="17" spans="1:28" x14ac:dyDescent="0.25">
      <c r="A17" s="1" t="s">
        <v>32</v>
      </c>
      <c r="B17" s="1" t="s">
        <v>25</v>
      </c>
      <c r="C17" s="2" t="s">
        <v>22</v>
      </c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/>
      <c r="K17" s="366"/>
      <c r="L17" s="367">
        <f t="shared" si="1"/>
        <v>0</v>
      </c>
      <c r="M17" s="368">
        <v>0</v>
      </c>
      <c r="N17" s="368">
        <v>1</v>
      </c>
      <c r="O17" s="368">
        <v>0</v>
      </c>
      <c r="P17" s="368">
        <v>2</v>
      </c>
      <c r="Q17" s="368">
        <v>0</v>
      </c>
      <c r="R17" s="368">
        <v>0</v>
      </c>
      <c r="S17" s="368">
        <v>0</v>
      </c>
      <c r="T17" s="368">
        <v>0</v>
      </c>
      <c r="U17" s="368">
        <v>0</v>
      </c>
      <c r="V17" s="369">
        <f t="shared" si="2"/>
        <v>3</v>
      </c>
      <c r="W17" s="370">
        <f t="shared" si="3"/>
        <v>3</v>
      </c>
      <c r="X17" s="370">
        <f t="shared" si="4"/>
        <v>0</v>
      </c>
      <c r="Y17" s="370">
        <f t="shared" si="5"/>
        <v>3</v>
      </c>
      <c r="Z17" s="119">
        <f>+VLOOKUP(B17,Publicaciones!$B$3:$C$20,2,0)</f>
        <v>253</v>
      </c>
      <c r="AA17" s="111" t="str">
        <f t="shared" si="6"/>
        <v>Categoría II</v>
      </c>
      <c r="AB17" s="111" t="str">
        <f t="shared" si="0"/>
        <v>CRUCH-ESTATALCategoría II</v>
      </c>
    </row>
    <row r="18" spans="1:28" x14ac:dyDescent="0.25">
      <c r="A18" s="1" t="s">
        <v>33</v>
      </c>
      <c r="B18" s="1" t="s">
        <v>26</v>
      </c>
      <c r="C18" s="2" t="s">
        <v>22</v>
      </c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/>
      <c r="K18" s="366"/>
      <c r="L18" s="367">
        <f t="shared" si="1"/>
        <v>0</v>
      </c>
      <c r="M18" s="368">
        <v>1</v>
      </c>
      <c r="N18" s="368">
        <v>1</v>
      </c>
      <c r="O18" s="368">
        <v>0</v>
      </c>
      <c r="P18" s="368">
        <v>0</v>
      </c>
      <c r="Q18" s="368">
        <v>0</v>
      </c>
      <c r="R18" s="368">
        <v>0</v>
      </c>
      <c r="S18" s="368">
        <v>0</v>
      </c>
      <c r="T18" s="368">
        <v>0</v>
      </c>
      <c r="U18" s="368">
        <v>0</v>
      </c>
      <c r="V18" s="369">
        <f t="shared" si="2"/>
        <v>2</v>
      </c>
      <c r="W18" s="370">
        <f t="shared" si="3"/>
        <v>2</v>
      </c>
      <c r="X18" s="370">
        <f t="shared" si="4"/>
        <v>0</v>
      </c>
      <c r="Y18" s="370">
        <f t="shared" si="5"/>
        <v>2</v>
      </c>
      <c r="Z18" s="119">
        <f>+VLOOKUP(B18,Publicaciones!$B$3:$C$20,2,0)</f>
        <v>162</v>
      </c>
      <c r="AA18" s="111" t="str">
        <f t="shared" si="6"/>
        <v>Categoría II</v>
      </c>
      <c r="AB18" s="111" t="str">
        <f t="shared" si="0"/>
        <v>CRUCH-ESTATALCategoría II</v>
      </c>
    </row>
    <row r="19" spans="1:28" x14ac:dyDescent="0.25">
      <c r="A19" s="1" t="s">
        <v>35</v>
      </c>
      <c r="B19" s="1" t="s">
        <v>28</v>
      </c>
      <c r="C19" s="2" t="s">
        <v>22</v>
      </c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/>
      <c r="K19" s="366"/>
      <c r="L19" s="367">
        <f t="shared" si="1"/>
        <v>0</v>
      </c>
      <c r="M19" s="368">
        <v>1</v>
      </c>
      <c r="N19" s="368">
        <v>0</v>
      </c>
      <c r="O19" s="368">
        <v>0</v>
      </c>
      <c r="P19" s="368">
        <v>0</v>
      </c>
      <c r="Q19" s="368">
        <v>0</v>
      </c>
      <c r="R19" s="368">
        <v>0</v>
      </c>
      <c r="S19" s="368">
        <v>0</v>
      </c>
      <c r="T19" s="368">
        <v>0</v>
      </c>
      <c r="U19" s="368">
        <v>0</v>
      </c>
      <c r="V19" s="369">
        <f t="shared" si="2"/>
        <v>1</v>
      </c>
      <c r="W19" s="370">
        <f t="shared" si="3"/>
        <v>1</v>
      </c>
      <c r="X19" s="370">
        <f t="shared" si="4"/>
        <v>0</v>
      </c>
      <c r="Y19" s="370">
        <f t="shared" si="5"/>
        <v>1</v>
      </c>
      <c r="Z19" s="119">
        <f>+VLOOKUP(B19,Publicaciones!$B$3:$C$20,2,0)</f>
        <v>163</v>
      </c>
      <c r="AA19" s="111" t="str">
        <f t="shared" si="6"/>
        <v>Categoría II</v>
      </c>
      <c r="AB19" s="111" t="str">
        <f t="shared" si="0"/>
        <v>CRUCH-ESTATALCategoría II</v>
      </c>
    </row>
    <row r="20" spans="1:28" x14ac:dyDescent="0.25">
      <c r="A20" s="1" t="s">
        <v>36</v>
      </c>
      <c r="B20" s="1" t="s">
        <v>29</v>
      </c>
      <c r="C20" s="2" t="s">
        <v>22</v>
      </c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/>
      <c r="K20" s="366"/>
      <c r="L20" s="367">
        <f t="shared" si="1"/>
        <v>0</v>
      </c>
      <c r="M20" s="368">
        <v>0</v>
      </c>
      <c r="N20" s="368">
        <v>1</v>
      </c>
      <c r="O20" s="368">
        <v>0</v>
      </c>
      <c r="P20" s="368">
        <v>0</v>
      </c>
      <c r="Q20" s="368">
        <v>0</v>
      </c>
      <c r="R20" s="368">
        <v>0</v>
      </c>
      <c r="S20" s="368">
        <v>0</v>
      </c>
      <c r="T20" s="368">
        <v>0</v>
      </c>
      <c r="U20" s="368">
        <v>0</v>
      </c>
      <c r="V20" s="369">
        <f t="shared" si="2"/>
        <v>1</v>
      </c>
      <c r="W20" s="370">
        <f t="shared" si="3"/>
        <v>1</v>
      </c>
      <c r="X20" s="370">
        <f t="shared" si="4"/>
        <v>0</v>
      </c>
      <c r="Y20" s="370">
        <f t="shared" si="5"/>
        <v>1</v>
      </c>
      <c r="Z20" s="119">
        <f>+VLOOKUP(B20,Publicaciones!$B$3:$C$20,2,0)</f>
        <v>158</v>
      </c>
      <c r="AA20" s="111" t="str">
        <f t="shared" si="6"/>
        <v>Categoría II</v>
      </c>
      <c r="AB20" s="111" t="str">
        <f t="shared" si="0"/>
        <v>CRUCH-ESTATALCategoría II</v>
      </c>
    </row>
    <row r="21" spans="1:28" x14ac:dyDescent="0.25">
      <c r="A21" s="1" t="s">
        <v>88</v>
      </c>
      <c r="B21" s="1" t="s">
        <v>89</v>
      </c>
      <c r="C21" s="2" t="s">
        <v>22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/>
      <c r="K21" s="366"/>
      <c r="L21" s="367">
        <f t="shared" si="1"/>
        <v>0</v>
      </c>
      <c r="M21" s="368">
        <v>0</v>
      </c>
      <c r="N21" s="368">
        <v>0</v>
      </c>
      <c r="O21" s="368">
        <v>0</v>
      </c>
      <c r="P21" s="368">
        <v>0</v>
      </c>
      <c r="Q21" s="368">
        <v>0</v>
      </c>
      <c r="R21" s="368">
        <v>0</v>
      </c>
      <c r="S21" s="368">
        <v>0</v>
      </c>
      <c r="T21" s="368">
        <v>0</v>
      </c>
      <c r="U21" s="368">
        <v>0</v>
      </c>
      <c r="V21" s="369">
        <f t="shared" si="2"/>
        <v>0</v>
      </c>
      <c r="W21" s="370">
        <f t="shared" ref="W21:W22" si="7">L21+V21</f>
        <v>0</v>
      </c>
      <c r="X21" s="370">
        <f t="shared" si="4"/>
        <v>0</v>
      </c>
      <c r="Y21" s="370">
        <f t="shared" ref="Y21:Y22" si="8">V21+X21</f>
        <v>0</v>
      </c>
      <c r="Z21" s="119">
        <f>+VLOOKUP(B21,Publicaciones!$B$3:$C$20,2,0)</f>
        <v>181</v>
      </c>
      <c r="AA21" s="111" t="str">
        <f t="shared" si="6"/>
        <v>Categoría III</v>
      </c>
      <c r="AB21" s="111" t="str">
        <f t="shared" si="0"/>
        <v>CRUCH-ESTATALCategoría III</v>
      </c>
    </row>
    <row r="22" spans="1:28" x14ac:dyDescent="0.25">
      <c r="A22" s="1" t="s">
        <v>90</v>
      </c>
      <c r="B22" s="1" t="s">
        <v>91</v>
      </c>
      <c r="C22" s="2" t="s">
        <v>22</v>
      </c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/>
      <c r="K22" s="366"/>
      <c r="L22" s="367">
        <f t="shared" si="1"/>
        <v>0</v>
      </c>
      <c r="M22" s="368">
        <v>0</v>
      </c>
      <c r="N22" s="368">
        <v>0</v>
      </c>
      <c r="O22" s="368">
        <v>0</v>
      </c>
      <c r="P22" s="368">
        <v>0</v>
      </c>
      <c r="Q22" s="368">
        <v>0</v>
      </c>
      <c r="R22" s="368">
        <v>0</v>
      </c>
      <c r="S22" s="368">
        <v>0</v>
      </c>
      <c r="T22" s="368">
        <v>0</v>
      </c>
      <c r="U22" s="368">
        <v>0</v>
      </c>
      <c r="V22" s="369">
        <f t="shared" si="2"/>
        <v>0</v>
      </c>
      <c r="W22" s="370">
        <f t="shared" si="7"/>
        <v>0</v>
      </c>
      <c r="X22" s="370">
        <f t="shared" si="4"/>
        <v>0</v>
      </c>
      <c r="Y22" s="370">
        <f t="shared" si="8"/>
        <v>0</v>
      </c>
      <c r="Z22" s="119">
        <f>+VLOOKUP(B22,Publicaciones!$B$3:$C$20,2,0)</f>
        <v>26</v>
      </c>
      <c r="AA22" s="111" t="str">
        <f t="shared" si="6"/>
        <v>Categoría III</v>
      </c>
      <c r="AB22" s="111" t="str">
        <f t="shared" si="0"/>
        <v>CRUCH-ESTATALCategoría III</v>
      </c>
    </row>
    <row r="23" spans="1:28" x14ac:dyDescent="0.25">
      <c r="A23" s="1"/>
      <c r="B23" s="1"/>
      <c r="C23" s="2" t="s">
        <v>0</v>
      </c>
      <c r="D23" s="367">
        <f>SUM(D5:D22)</f>
        <v>1</v>
      </c>
      <c r="E23" s="367">
        <f t="shared" ref="E23:Z23" si="9">SUM(E5:E22)</f>
        <v>3</v>
      </c>
      <c r="F23" s="367">
        <f t="shared" si="9"/>
        <v>2</v>
      </c>
      <c r="G23" s="367">
        <f t="shared" si="9"/>
        <v>4</v>
      </c>
      <c r="H23" s="367">
        <f t="shared" si="9"/>
        <v>1</v>
      </c>
      <c r="I23" s="367">
        <f t="shared" si="9"/>
        <v>3</v>
      </c>
      <c r="J23" s="367">
        <f t="shared" si="9"/>
        <v>0</v>
      </c>
      <c r="K23" s="367">
        <f t="shared" si="9"/>
        <v>0</v>
      </c>
      <c r="L23" s="367">
        <f t="shared" si="9"/>
        <v>14</v>
      </c>
      <c r="M23" s="369">
        <f t="shared" si="9"/>
        <v>2</v>
      </c>
      <c r="N23" s="369">
        <f t="shared" si="9"/>
        <v>37</v>
      </c>
      <c r="O23" s="369">
        <f>SUM(O5:O22)</f>
        <v>11</v>
      </c>
      <c r="P23" s="369">
        <f t="shared" si="9"/>
        <v>19</v>
      </c>
      <c r="Q23" s="369">
        <f t="shared" si="9"/>
        <v>14</v>
      </c>
      <c r="R23" s="369">
        <f t="shared" si="9"/>
        <v>15</v>
      </c>
      <c r="S23" s="369">
        <f t="shared" si="9"/>
        <v>8</v>
      </c>
      <c r="T23" s="369">
        <f t="shared" si="9"/>
        <v>1</v>
      </c>
      <c r="U23" s="369">
        <f t="shared" si="9"/>
        <v>1</v>
      </c>
      <c r="V23" s="369">
        <f t="shared" si="9"/>
        <v>108</v>
      </c>
      <c r="W23" s="370">
        <f t="shared" si="9"/>
        <v>122</v>
      </c>
      <c r="X23" s="370">
        <f t="shared" si="9"/>
        <v>8</v>
      </c>
      <c r="Y23" s="370">
        <f t="shared" si="9"/>
        <v>116</v>
      </c>
      <c r="Z23" s="119">
        <f t="shared" si="9"/>
        <v>9733</v>
      </c>
      <c r="AA23" s="1"/>
    </row>
    <row r="26" spans="1:28" x14ac:dyDescent="0.25">
      <c r="A26" s="7" t="s">
        <v>39</v>
      </c>
      <c r="B26" s="7" t="s">
        <v>70</v>
      </c>
      <c r="C26" s="7" t="s">
        <v>68</v>
      </c>
    </row>
    <row r="27" spans="1:28" x14ac:dyDescent="0.25">
      <c r="A27" s="1" t="s">
        <v>65</v>
      </c>
      <c r="B27" s="1">
        <f>COUNTIF($AB$4:$AB$22,A27)</f>
        <v>3</v>
      </c>
      <c r="C27" s="1">
        <f>(3*$B$27)+(2*$B$28)+$B$29</f>
        <v>37</v>
      </c>
    </row>
    <row r="28" spans="1:28" x14ac:dyDescent="0.25">
      <c r="A28" s="1" t="s">
        <v>66</v>
      </c>
      <c r="B28" s="1">
        <f t="shared" ref="B28:B29" si="10">COUNTIF($AB$4:$AB$22,A28)</f>
        <v>13</v>
      </c>
      <c r="C28" s="1">
        <f>(3*$B$27)+(2*$B$28)+$B$29</f>
        <v>37</v>
      </c>
    </row>
    <row r="29" spans="1:28" x14ac:dyDescent="0.25">
      <c r="A29" s="1" t="s">
        <v>67</v>
      </c>
      <c r="B29" s="1">
        <f t="shared" si="10"/>
        <v>2</v>
      </c>
      <c r="C29" s="1">
        <f>(3*$B$27)+(2*$B$28)+$B$29</f>
        <v>37</v>
      </c>
    </row>
    <row r="30" spans="1:28" x14ac:dyDescent="0.25">
      <c r="B30" s="1">
        <f>SUM(B27:B29)</f>
        <v>18</v>
      </c>
    </row>
    <row r="31" spans="1:28" x14ac:dyDescent="0.25">
      <c r="D31" s="6"/>
      <c r="E31" s="6"/>
    </row>
    <row r="32" spans="1:28" x14ac:dyDescent="0.25">
      <c r="A32" s="7" t="s">
        <v>71</v>
      </c>
      <c r="B32" s="7" t="s">
        <v>73</v>
      </c>
    </row>
    <row r="33" spans="1:4" x14ac:dyDescent="0.25">
      <c r="A33" s="1" t="s">
        <v>72</v>
      </c>
      <c r="B33" s="6">
        <f>'Montos AIUE 2024'!J38</f>
        <v>49350000</v>
      </c>
    </row>
    <row r="34" spans="1:4" x14ac:dyDescent="0.25">
      <c r="A34" s="7" t="s">
        <v>39</v>
      </c>
      <c r="B34" s="7" t="s">
        <v>74</v>
      </c>
      <c r="C34" s="7" t="s">
        <v>86</v>
      </c>
      <c r="D34" s="7"/>
    </row>
    <row r="35" spans="1:4" x14ac:dyDescent="0.25">
      <c r="A35" s="1" t="s">
        <v>65</v>
      </c>
      <c r="B35" s="95">
        <f>($B$33*3*B27)/C27</f>
        <v>12004054.054054054</v>
      </c>
      <c r="C35" s="5">
        <f>ROUND(B35,0)</f>
        <v>12004054</v>
      </c>
      <c r="D35" s="100">
        <f>B35/$B$38</f>
        <v>0.24324324324324326</v>
      </c>
    </row>
    <row r="36" spans="1:4" x14ac:dyDescent="0.25">
      <c r="A36" s="1" t="s">
        <v>66</v>
      </c>
      <c r="B36" s="95">
        <f>($B$33*2*B28)/C28</f>
        <v>34678378.378378376</v>
      </c>
      <c r="C36" s="5">
        <f>ROUND(B36,0)</f>
        <v>34678378</v>
      </c>
      <c r="D36" s="100">
        <f>B36/$B$38</f>
        <v>0.70270270270270274</v>
      </c>
    </row>
    <row r="37" spans="1:4" x14ac:dyDescent="0.25">
      <c r="A37" s="1" t="s">
        <v>67</v>
      </c>
      <c r="B37" s="95">
        <f>($B$33*1*B29)/C29</f>
        <v>2667567.5675675673</v>
      </c>
      <c r="C37" s="5">
        <f>ROUND(B37,0)</f>
        <v>2667568</v>
      </c>
      <c r="D37" s="100">
        <f>B37/$B$38</f>
        <v>5.4054054054054057E-2</v>
      </c>
    </row>
    <row r="38" spans="1:4" x14ac:dyDescent="0.25">
      <c r="B38" s="6">
        <f>SUM(B35:B37)</f>
        <v>49349999.999999993</v>
      </c>
      <c r="C38" s="6">
        <f>SUM(C35:C37)</f>
        <v>49350000</v>
      </c>
    </row>
  </sheetData>
  <mergeCells count="2">
    <mergeCell ref="M3:Y3"/>
    <mergeCell ref="D3:L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Z40"/>
  <sheetViews>
    <sheetView zoomScale="90" zoomScaleNormal="90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AD6" sqref="AD6"/>
    </sheetView>
  </sheetViews>
  <sheetFormatPr baseColWidth="10" defaultRowHeight="15" x14ac:dyDescent="0.25"/>
  <cols>
    <col min="1" max="1" width="46.5703125" bestFit="1" customWidth="1"/>
    <col min="3" max="3" width="0" hidden="1" customWidth="1"/>
    <col min="4" max="4" width="12.85546875" customWidth="1"/>
    <col min="24" max="25" width="13.42578125" customWidth="1"/>
    <col min="28" max="28" width="11.140625" bestFit="1" customWidth="1"/>
  </cols>
  <sheetData>
    <row r="2" spans="1:26" x14ac:dyDescent="0.25">
      <c r="E2" s="89">
        <v>1</v>
      </c>
      <c r="F2" s="89">
        <v>2</v>
      </c>
      <c r="G2" s="89">
        <v>3</v>
      </c>
      <c r="H2" s="89">
        <v>4</v>
      </c>
      <c r="I2" s="89">
        <v>5</v>
      </c>
      <c r="J2" s="89">
        <v>6</v>
      </c>
      <c r="K2" s="89">
        <v>7</v>
      </c>
      <c r="L2" s="89">
        <v>8</v>
      </c>
      <c r="M2" s="89">
        <v>9</v>
      </c>
      <c r="N2" s="89">
        <v>10</v>
      </c>
      <c r="O2" s="89">
        <v>11</v>
      </c>
      <c r="P2" s="89">
        <v>12</v>
      </c>
      <c r="Q2" s="89">
        <v>13</v>
      </c>
      <c r="R2" s="89">
        <v>14</v>
      </c>
      <c r="S2" s="89">
        <v>15</v>
      </c>
      <c r="T2" s="89">
        <v>16</v>
      </c>
      <c r="U2" s="89">
        <v>17</v>
      </c>
      <c r="V2" s="89">
        <v>18</v>
      </c>
      <c r="W2" s="89">
        <v>19</v>
      </c>
      <c r="X2" s="89">
        <v>20</v>
      </c>
      <c r="Y2" s="89">
        <v>21</v>
      </c>
    </row>
    <row r="3" spans="1:26" ht="45" x14ac:dyDescent="0.25">
      <c r="A3" s="19" t="s">
        <v>11</v>
      </c>
      <c r="B3" s="19" t="s">
        <v>1</v>
      </c>
      <c r="C3" s="19" t="s">
        <v>21</v>
      </c>
      <c r="D3" s="7" t="s">
        <v>39</v>
      </c>
      <c r="E3" s="116" t="s">
        <v>223</v>
      </c>
      <c r="F3" s="116" t="s">
        <v>224</v>
      </c>
      <c r="G3" s="116" t="s">
        <v>225</v>
      </c>
      <c r="H3" s="117" t="s">
        <v>226</v>
      </c>
      <c r="I3" s="116" t="s">
        <v>227</v>
      </c>
      <c r="J3" s="116" t="s">
        <v>228</v>
      </c>
      <c r="K3" s="114" t="s">
        <v>229</v>
      </c>
      <c r="L3" s="114" t="s">
        <v>230</v>
      </c>
      <c r="M3" s="114" t="s">
        <v>231</v>
      </c>
      <c r="N3" s="114" t="s">
        <v>233</v>
      </c>
      <c r="O3" s="114" t="s">
        <v>232</v>
      </c>
      <c r="P3" s="114" t="s">
        <v>234</v>
      </c>
      <c r="Q3" s="114" t="s">
        <v>242</v>
      </c>
      <c r="R3" s="114" t="s">
        <v>235</v>
      </c>
      <c r="S3" s="114" t="s">
        <v>236</v>
      </c>
      <c r="T3" s="114" t="s">
        <v>237</v>
      </c>
      <c r="U3" s="115" t="s">
        <v>178</v>
      </c>
      <c r="V3" s="115" t="s">
        <v>211</v>
      </c>
      <c r="W3" s="115" t="s">
        <v>238</v>
      </c>
      <c r="X3" s="103" t="s">
        <v>239</v>
      </c>
      <c r="Y3" s="103" t="s">
        <v>179</v>
      </c>
    </row>
    <row r="4" spans="1:26" x14ac:dyDescent="0.25">
      <c r="A4" s="39" t="str">
        <f>Categorías!A5</f>
        <v>UNIVERSIDAD DE CHILE</v>
      </c>
      <c r="B4" s="39" t="str">
        <f>Categorías!B5</f>
        <v>UCH</v>
      </c>
      <c r="C4" s="40" t="str">
        <f>Categorías!C5</f>
        <v>CRUCH-ESTATAL</v>
      </c>
      <c r="D4" s="39" t="str">
        <f>Categorías!AA5</f>
        <v>Categoría I</v>
      </c>
      <c r="E4" s="104">
        <v>1576</v>
      </c>
      <c r="F4" s="104">
        <v>42778</v>
      </c>
      <c r="G4" s="104">
        <v>1316.9886363636419</v>
      </c>
      <c r="H4" s="104">
        <v>2341.6136363636388</v>
      </c>
      <c r="I4" s="104">
        <v>464.27272727272606</v>
      </c>
      <c r="J4" s="104">
        <v>203.54545454545379</v>
      </c>
      <c r="K4" s="104">
        <v>3324</v>
      </c>
      <c r="L4" s="104">
        <v>203941</v>
      </c>
      <c r="M4" s="104">
        <v>17811</v>
      </c>
      <c r="N4" s="105">
        <v>2919</v>
      </c>
      <c r="O4" s="105">
        <v>5973</v>
      </c>
      <c r="P4" s="105">
        <v>5214</v>
      </c>
      <c r="Q4" s="105">
        <v>5747</v>
      </c>
      <c r="R4" s="106">
        <v>4840</v>
      </c>
      <c r="S4" s="106">
        <v>6072</v>
      </c>
      <c r="T4" s="104">
        <v>28</v>
      </c>
      <c r="U4" s="104">
        <v>195</v>
      </c>
      <c r="V4" s="104">
        <v>213</v>
      </c>
      <c r="W4" s="104">
        <v>242</v>
      </c>
      <c r="X4" s="104">
        <v>3</v>
      </c>
      <c r="Y4" s="122">
        <v>1</v>
      </c>
      <c r="Z4" s="41" t="s">
        <v>2</v>
      </c>
    </row>
    <row r="5" spans="1:26" x14ac:dyDescent="0.25">
      <c r="A5" s="39" t="str">
        <f>Categorías!A6</f>
        <v>UNIVERSIDAD DE SANTIAGO DE CHILE</v>
      </c>
      <c r="B5" s="39" t="str">
        <f>Categorías!B6</f>
        <v>USA</v>
      </c>
      <c r="C5" s="40" t="str">
        <f>Categorías!C6</f>
        <v>CRUCH-ESTATAL</v>
      </c>
      <c r="D5" s="39" t="str">
        <f>Categorías!AA6</f>
        <v>Categoría I</v>
      </c>
      <c r="E5" s="104">
        <v>626</v>
      </c>
      <c r="F5" s="104">
        <v>26104</v>
      </c>
      <c r="G5" s="104">
        <v>483.20454545454476</v>
      </c>
      <c r="H5" s="104">
        <v>1241.0000000000064</v>
      </c>
      <c r="I5" s="104">
        <v>282.54545454545809</v>
      </c>
      <c r="J5" s="104">
        <v>117.40909090909096</v>
      </c>
      <c r="K5" s="104">
        <v>1071</v>
      </c>
      <c r="L5" s="104">
        <v>45277</v>
      </c>
      <c r="M5" s="104">
        <v>5121</v>
      </c>
      <c r="N5" s="105">
        <v>2481</v>
      </c>
      <c r="O5" s="105">
        <v>3945</v>
      </c>
      <c r="P5" s="105">
        <v>3419</v>
      </c>
      <c r="Q5" s="105">
        <v>4101</v>
      </c>
      <c r="R5" s="106">
        <v>2946</v>
      </c>
      <c r="S5" s="106">
        <v>4228</v>
      </c>
      <c r="T5" s="104">
        <v>10</v>
      </c>
      <c r="U5" s="104">
        <v>53</v>
      </c>
      <c r="V5" s="104">
        <v>53</v>
      </c>
      <c r="W5" s="104">
        <v>68</v>
      </c>
      <c r="X5" s="104">
        <v>3</v>
      </c>
      <c r="Y5" s="122">
        <v>3</v>
      </c>
      <c r="Z5" s="41" t="s">
        <v>3</v>
      </c>
    </row>
    <row r="6" spans="1:26" x14ac:dyDescent="0.25">
      <c r="A6" s="39" t="str">
        <f>Categorías!A7</f>
        <v>UNIVERSIDAD DE ANTOFAGASTA</v>
      </c>
      <c r="B6" s="39" t="str">
        <f>Categorías!B7</f>
        <v>ANT</v>
      </c>
      <c r="C6" s="40" t="str">
        <f>Categorías!C7</f>
        <v>CRUCH-ESTATAL</v>
      </c>
      <c r="D6" s="39" t="str">
        <f>Categorías!AA7</f>
        <v>Categoría II</v>
      </c>
      <c r="E6" s="104">
        <v>369</v>
      </c>
      <c r="F6" s="104">
        <v>7840</v>
      </c>
      <c r="G6" s="104">
        <v>157.45454545454547</v>
      </c>
      <c r="H6" s="104">
        <v>481.7272727272728</v>
      </c>
      <c r="I6" s="104">
        <v>141.40909090909091</v>
      </c>
      <c r="J6" s="104">
        <v>34</v>
      </c>
      <c r="K6" s="104">
        <v>353</v>
      </c>
      <c r="L6" s="104">
        <v>34474</v>
      </c>
      <c r="M6" s="104">
        <v>1743</v>
      </c>
      <c r="N6" s="105">
        <v>568</v>
      </c>
      <c r="O6" s="105">
        <v>1067</v>
      </c>
      <c r="P6" s="105">
        <v>953</v>
      </c>
      <c r="Q6" s="105">
        <v>1123</v>
      </c>
      <c r="R6" s="106">
        <v>1019</v>
      </c>
      <c r="S6" s="106">
        <v>1365</v>
      </c>
      <c r="T6" s="104">
        <v>1</v>
      </c>
      <c r="U6" s="104">
        <v>4</v>
      </c>
      <c r="V6" s="104">
        <v>21</v>
      </c>
      <c r="W6" s="104">
        <v>16</v>
      </c>
      <c r="X6" s="104"/>
      <c r="Y6" s="122">
        <v>3</v>
      </c>
      <c r="Z6" s="41" t="s">
        <v>9</v>
      </c>
    </row>
    <row r="7" spans="1:26" x14ac:dyDescent="0.25">
      <c r="A7" s="39" t="str">
        <f>Categorías!A8</f>
        <v>UNIVERSIDAD DE LA FRONTERA</v>
      </c>
      <c r="B7" s="39" t="str">
        <f>Categorías!B8</f>
        <v>FRO</v>
      </c>
      <c r="C7" s="40" t="str">
        <f>Categorías!C8</f>
        <v>CRUCH-ESTATAL</v>
      </c>
      <c r="D7" s="39" t="str">
        <f>Categorías!AA8</f>
        <v>Categoría II</v>
      </c>
      <c r="E7" s="104">
        <v>380</v>
      </c>
      <c r="F7" s="104">
        <v>11920</v>
      </c>
      <c r="G7" s="104">
        <v>278.95454545454527</v>
      </c>
      <c r="H7" s="104">
        <v>516.54545454545462</v>
      </c>
      <c r="I7" s="104">
        <v>109.52272727272729</v>
      </c>
      <c r="J7" s="104">
        <v>47.772727272727224</v>
      </c>
      <c r="K7" s="104">
        <v>835</v>
      </c>
      <c r="L7" s="104">
        <v>38883</v>
      </c>
      <c r="M7" s="104">
        <v>3781</v>
      </c>
      <c r="N7" s="105">
        <v>1246</v>
      </c>
      <c r="O7" s="105">
        <v>1807</v>
      </c>
      <c r="P7" s="105">
        <v>1524</v>
      </c>
      <c r="Q7" s="105">
        <v>1758</v>
      </c>
      <c r="R7" s="106">
        <v>1508</v>
      </c>
      <c r="S7" s="106">
        <v>1985</v>
      </c>
      <c r="T7" s="104">
        <v>8</v>
      </c>
      <c r="U7" s="104">
        <v>34</v>
      </c>
      <c r="V7" s="104">
        <v>40</v>
      </c>
      <c r="W7" s="104">
        <v>48</v>
      </c>
      <c r="X7" s="104">
        <v>1</v>
      </c>
      <c r="Y7" s="122"/>
      <c r="Z7" s="41" t="s">
        <v>6</v>
      </c>
    </row>
    <row r="8" spans="1:26" x14ac:dyDescent="0.25">
      <c r="A8" s="39" t="str">
        <f>Categorías!A9</f>
        <v>UNIVERSIDAD DE TALCA</v>
      </c>
      <c r="B8" s="39" t="str">
        <f>Categorías!B9</f>
        <v>TAL</v>
      </c>
      <c r="C8" s="40" t="str">
        <f>Categorías!C9</f>
        <v>CRUCH-ESTATAL</v>
      </c>
      <c r="D8" s="39" t="str">
        <f>Categorías!AA9</f>
        <v>Categoría I</v>
      </c>
      <c r="E8" s="104">
        <v>486</v>
      </c>
      <c r="F8" s="104">
        <v>11667</v>
      </c>
      <c r="G8" s="104">
        <v>285.90909090909076</v>
      </c>
      <c r="H8" s="104">
        <v>590.22727272727241</v>
      </c>
      <c r="I8" s="104">
        <v>267.72727272727258</v>
      </c>
      <c r="J8" s="104">
        <v>16.863636363636363</v>
      </c>
      <c r="K8" s="104">
        <v>707</v>
      </c>
      <c r="L8" s="104">
        <v>25952</v>
      </c>
      <c r="M8" s="104">
        <v>3031</v>
      </c>
      <c r="N8" s="105">
        <v>1490</v>
      </c>
      <c r="O8" s="105">
        <v>2005</v>
      </c>
      <c r="P8" s="105">
        <v>1685</v>
      </c>
      <c r="Q8" s="105">
        <v>2022</v>
      </c>
      <c r="R8" s="106">
        <v>1577</v>
      </c>
      <c r="S8" s="106">
        <v>2068</v>
      </c>
      <c r="T8" s="104">
        <v>7</v>
      </c>
      <c r="U8" s="104">
        <v>22</v>
      </c>
      <c r="V8" s="104">
        <v>21</v>
      </c>
      <c r="W8" s="104">
        <v>35</v>
      </c>
      <c r="X8" s="104">
        <v>3</v>
      </c>
      <c r="Y8" s="122">
        <v>1</v>
      </c>
      <c r="Z8" s="41" t="s">
        <v>5</v>
      </c>
    </row>
    <row r="9" spans="1:26" x14ac:dyDescent="0.25">
      <c r="A9" s="39" t="str">
        <f>Categorías!A10</f>
        <v>UNIVERSIDAD DE TARAPACÁ</v>
      </c>
      <c r="B9" s="39" t="str">
        <f>Categorías!B10</f>
        <v>UTA</v>
      </c>
      <c r="C9" s="40" t="str">
        <f>Categorías!C10</f>
        <v>CRUCH-ESTATAL</v>
      </c>
      <c r="D9" s="39" t="str">
        <f>Categorías!AA10</f>
        <v>Categoría II</v>
      </c>
      <c r="E9" s="104">
        <v>328</v>
      </c>
      <c r="F9" s="104">
        <v>10384</v>
      </c>
      <c r="G9" s="104">
        <v>178.59090909090909</v>
      </c>
      <c r="H9" s="104">
        <v>360.06818181818181</v>
      </c>
      <c r="I9" s="104">
        <v>142.65909090909093</v>
      </c>
      <c r="J9" s="104">
        <v>7.0227272727272725</v>
      </c>
      <c r="K9" s="104">
        <v>594</v>
      </c>
      <c r="L9" s="104">
        <v>19956</v>
      </c>
      <c r="M9" s="104">
        <v>2189</v>
      </c>
      <c r="N9" s="105">
        <v>1495</v>
      </c>
      <c r="O9" s="105">
        <v>1908</v>
      </c>
      <c r="P9" s="105">
        <v>1712</v>
      </c>
      <c r="Q9" s="105">
        <v>1965</v>
      </c>
      <c r="R9" s="106">
        <v>1316</v>
      </c>
      <c r="S9" s="106">
        <v>1792</v>
      </c>
      <c r="T9" s="104">
        <v>1</v>
      </c>
      <c r="U9" s="104">
        <v>0</v>
      </c>
      <c r="V9" s="104"/>
      <c r="W9" s="104">
        <v>5</v>
      </c>
      <c r="X9" s="104">
        <v>1</v>
      </c>
      <c r="Y9" s="122">
        <v>2</v>
      </c>
      <c r="Z9" s="41" t="s">
        <v>10</v>
      </c>
    </row>
    <row r="10" spans="1:26" x14ac:dyDescent="0.25">
      <c r="A10" s="39" t="str">
        <f>Categorías!A11</f>
        <v>UNIVERSIDAD DE VALPARAÍSO</v>
      </c>
      <c r="B10" s="39" t="str">
        <f>Categorías!B11</f>
        <v>UVA</v>
      </c>
      <c r="C10" s="40" t="str">
        <f>Categorías!C11</f>
        <v>CRUCH-ESTATAL</v>
      </c>
      <c r="D10" s="39" t="str">
        <f>Categorías!AA11</f>
        <v>Categoría II</v>
      </c>
      <c r="E10" s="104">
        <v>555</v>
      </c>
      <c r="F10" s="104">
        <v>16626</v>
      </c>
      <c r="G10" s="104">
        <v>319.72045454545429</v>
      </c>
      <c r="H10" s="104">
        <v>895.90568181818105</v>
      </c>
      <c r="I10" s="104">
        <v>365.08340909090833</v>
      </c>
      <c r="J10" s="104">
        <v>70.687499999999972</v>
      </c>
      <c r="K10" s="104">
        <v>637</v>
      </c>
      <c r="L10" s="104">
        <v>29045</v>
      </c>
      <c r="M10" s="104">
        <v>3006</v>
      </c>
      <c r="N10" s="105">
        <v>1961</v>
      </c>
      <c r="O10" s="105">
        <v>2866</v>
      </c>
      <c r="P10" s="105">
        <v>2358</v>
      </c>
      <c r="Q10" s="105">
        <v>2803</v>
      </c>
      <c r="R10" s="106">
        <v>2426</v>
      </c>
      <c r="S10" s="106">
        <v>3458</v>
      </c>
      <c r="T10" s="104">
        <v>13</v>
      </c>
      <c r="U10" s="104">
        <v>34</v>
      </c>
      <c r="V10" s="104">
        <v>40</v>
      </c>
      <c r="W10" s="104">
        <v>38</v>
      </c>
      <c r="X10" s="104">
        <v>1</v>
      </c>
      <c r="Y10" s="122"/>
      <c r="Z10" s="41" t="s">
        <v>4</v>
      </c>
    </row>
    <row r="11" spans="1:26" x14ac:dyDescent="0.25">
      <c r="A11" s="39" t="str">
        <f>Categorías!A12</f>
        <v>UNIVERSIDAD DEL BÍO-BÍO</v>
      </c>
      <c r="B11" s="39" t="str">
        <f>Categorías!B12</f>
        <v>UBB</v>
      </c>
      <c r="C11" s="40" t="str">
        <f>Categorías!C12</f>
        <v>CRUCH-ESTATAL</v>
      </c>
      <c r="D11" s="39" t="str">
        <f>Categorías!AA12</f>
        <v>Categoría II</v>
      </c>
      <c r="E11" s="104">
        <v>463</v>
      </c>
      <c r="F11" s="104">
        <v>11894</v>
      </c>
      <c r="G11" s="104">
        <v>292.29545454545456</v>
      </c>
      <c r="H11" s="104">
        <v>501.84090909090918</v>
      </c>
      <c r="I11" s="104">
        <v>173.97727272727278</v>
      </c>
      <c r="J11" s="104">
        <v>0</v>
      </c>
      <c r="K11" s="104">
        <v>469</v>
      </c>
      <c r="L11" s="104">
        <v>14022</v>
      </c>
      <c r="M11" s="104">
        <v>2079</v>
      </c>
      <c r="N11" s="105">
        <v>1497</v>
      </c>
      <c r="O11" s="105">
        <v>1887</v>
      </c>
      <c r="P11" s="105">
        <v>1897</v>
      </c>
      <c r="Q11" s="105">
        <v>2187</v>
      </c>
      <c r="R11" s="106">
        <v>1751</v>
      </c>
      <c r="S11" s="106">
        <v>2438</v>
      </c>
      <c r="T11" s="104">
        <v>1</v>
      </c>
      <c r="U11" s="104">
        <v>10</v>
      </c>
      <c r="V11" s="104">
        <v>10</v>
      </c>
      <c r="W11" s="104">
        <v>11</v>
      </c>
      <c r="X11" s="104">
        <v>1</v>
      </c>
      <c r="Y11" s="122"/>
      <c r="Z11" s="41" t="s">
        <v>8</v>
      </c>
    </row>
    <row r="12" spans="1:26" x14ac:dyDescent="0.25">
      <c r="A12" s="39" t="str">
        <f>Categorías!A13</f>
        <v>UNIVERSIDAD DE LA SERENA</v>
      </c>
      <c r="B12" s="39" t="str">
        <f>Categorías!B13</f>
        <v>ULS</v>
      </c>
      <c r="C12" s="40" t="str">
        <f>Categorías!C13</f>
        <v>CRUCH-ESTATAL</v>
      </c>
      <c r="D12" s="39" t="str">
        <f>Categorías!AA13</f>
        <v>Categoría II</v>
      </c>
      <c r="E12" s="104">
        <v>202</v>
      </c>
      <c r="F12" s="104">
        <v>7761</v>
      </c>
      <c r="G12" s="104">
        <v>120.09090909090905</v>
      </c>
      <c r="H12" s="104">
        <v>315.6761363636366</v>
      </c>
      <c r="I12" s="104">
        <v>76.693181818181884</v>
      </c>
      <c r="J12" s="104">
        <v>1.25</v>
      </c>
      <c r="K12" s="104">
        <v>270</v>
      </c>
      <c r="L12" s="104">
        <v>19487</v>
      </c>
      <c r="M12" s="104">
        <v>1230</v>
      </c>
      <c r="N12" s="105">
        <v>898</v>
      </c>
      <c r="O12" s="105">
        <v>1320</v>
      </c>
      <c r="P12" s="105">
        <v>1223</v>
      </c>
      <c r="Q12" s="105">
        <v>1436</v>
      </c>
      <c r="R12" s="106">
        <v>1230</v>
      </c>
      <c r="S12" s="106">
        <v>1795</v>
      </c>
      <c r="T12" s="104">
        <v>0</v>
      </c>
      <c r="U12" s="104">
        <v>4</v>
      </c>
      <c r="V12" s="104">
        <v>12</v>
      </c>
      <c r="W12" s="104">
        <v>13</v>
      </c>
      <c r="X12" s="104"/>
      <c r="Y12" s="122"/>
      <c r="Z12" s="41" t="s">
        <v>7</v>
      </c>
    </row>
    <row r="13" spans="1:26" x14ac:dyDescent="0.25">
      <c r="A13" s="39" t="str">
        <f>Categorías!A14</f>
        <v>UNIVERSIDAD DE PLAYA ANCHA CS. EDUCACIÓN</v>
      </c>
      <c r="B13" s="39" t="str">
        <f>Categorías!B14</f>
        <v>UPA</v>
      </c>
      <c r="C13" s="40" t="str">
        <f>Categorías!C14</f>
        <v>CRUCH-ESTATAL</v>
      </c>
      <c r="D13" s="39" t="str">
        <f>Categorías!AA14</f>
        <v>Categoría II</v>
      </c>
      <c r="E13" s="104">
        <v>304</v>
      </c>
      <c r="F13" s="104">
        <v>6998</v>
      </c>
      <c r="G13" s="104">
        <v>150.75000000000011</v>
      </c>
      <c r="H13" s="104">
        <v>455.36363636363637</v>
      </c>
      <c r="I13" s="104">
        <v>198.88636363636377</v>
      </c>
      <c r="J13" s="104">
        <v>0</v>
      </c>
      <c r="K13" s="104">
        <v>137</v>
      </c>
      <c r="L13" s="104">
        <v>4119</v>
      </c>
      <c r="M13" s="104">
        <v>818</v>
      </c>
      <c r="N13" s="105">
        <v>960</v>
      </c>
      <c r="O13" s="105">
        <v>1166</v>
      </c>
      <c r="P13" s="105">
        <v>1179</v>
      </c>
      <c r="Q13" s="105">
        <v>1402</v>
      </c>
      <c r="R13" s="106">
        <v>940</v>
      </c>
      <c r="S13" s="106">
        <v>1331</v>
      </c>
      <c r="T13" s="104">
        <v>2</v>
      </c>
      <c r="U13" s="104">
        <v>10</v>
      </c>
      <c r="V13" s="104">
        <v>10</v>
      </c>
      <c r="W13" s="104">
        <v>9</v>
      </c>
      <c r="X13" s="104"/>
      <c r="Y13" s="122"/>
      <c r="Z13" s="41" t="s">
        <v>27</v>
      </c>
    </row>
    <row r="14" spans="1:26" x14ac:dyDescent="0.25">
      <c r="A14" s="39" t="str">
        <f>Categorías!A15</f>
        <v>UNIVERSIDAD ARTURO PRAT</v>
      </c>
      <c r="B14" s="39" t="str">
        <f>Categorías!B15</f>
        <v>UAP</v>
      </c>
      <c r="C14" s="40" t="str">
        <f>Categorías!C15</f>
        <v>CRUCH-ESTATAL</v>
      </c>
      <c r="D14" s="39" t="str">
        <f>Categorías!AA15</f>
        <v>Categoría II</v>
      </c>
      <c r="E14" s="104">
        <v>266</v>
      </c>
      <c r="F14" s="104">
        <v>10272</v>
      </c>
      <c r="G14" s="104">
        <v>104.34090909090911</v>
      </c>
      <c r="H14" s="104">
        <v>410.02272727272748</v>
      </c>
      <c r="I14" s="104">
        <v>177.52272727272745</v>
      </c>
      <c r="J14" s="104">
        <v>1.7272727272727273</v>
      </c>
      <c r="K14" s="104">
        <v>168</v>
      </c>
      <c r="L14" s="104">
        <v>5458</v>
      </c>
      <c r="M14" s="104">
        <v>736</v>
      </c>
      <c r="N14" s="105">
        <v>617</v>
      </c>
      <c r="O14" s="105">
        <v>862</v>
      </c>
      <c r="P14" s="105">
        <v>677</v>
      </c>
      <c r="Q14" s="105">
        <v>878</v>
      </c>
      <c r="R14" s="106">
        <v>709</v>
      </c>
      <c r="S14" s="106">
        <v>1174</v>
      </c>
      <c r="T14" s="104">
        <v>0</v>
      </c>
      <c r="U14" s="104">
        <v>0</v>
      </c>
      <c r="V14" s="104"/>
      <c r="W14" s="104"/>
      <c r="X14" s="104"/>
      <c r="Y14" s="122"/>
      <c r="Z14" s="41" t="s">
        <v>23</v>
      </c>
    </row>
    <row r="15" spans="1:26" x14ac:dyDescent="0.25">
      <c r="A15" s="39" t="str">
        <f>Categorías!A16</f>
        <v>UNIVERSIDAD DE ATACAMA</v>
      </c>
      <c r="B15" s="39" t="str">
        <f>Categorías!B16</f>
        <v>ATA</v>
      </c>
      <c r="C15" s="40" t="str">
        <f>Categorías!C16</f>
        <v>CRUCH-ESTATAL</v>
      </c>
      <c r="D15" s="39" t="str">
        <f>Categorías!AA16</f>
        <v>Categoría II</v>
      </c>
      <c r="E15" s="104">
        <v>351</v>
      </c>
      <c r="F15" s="104">
        <v>7646</v>
      </c>
      <c r="G15" s="104">
        <v>102.5</v>
      </c>
      <c r="H15" s="104">
        <v>364.58636363636361</v>
      </c>
      <c r="I15" s="104">
        <v>115.29545454545455</v>
      </c>
      <c r="J15" s="104">
        <v>0</v>
      </c>
      <c r="K15" s="104">
        <v>225</v>
      </c>
      <c r="L15" s="104">
        <v>10726</v>
      </c>
      <c r="M15" s="104">
        <v>1032</v>
      </c>
      <c r="N15" s="105">
        <v>654</v>
      </c>
      <c r="O15" s="105">
        <v>966</v>
      </c>
      <c r="P15" s="105">
        <v>786</v>
      </c>
      <c r="Q15" s="105">
        <v>926</v>
      </c>
      <c r="R15" s="106">
        <v>691</v>
      </c>
      <c r="S15" s="106">
        <v>1096</v>
      </c>
      <c r="T15" s="104">
        <v>1</v>
      </c>
      <c r="U15" s="104">
        <v>0</v>
      </c>
      <c r="V15" s="104"/>
      <c r="W15" s="104">
        <v>4</v>
      </c>
      <c r="X15" s="104"/>
      <c r="Y15" s="122"/>
      <c r="Z15" s="41" t="s">
        <v>24</v>
      </c>
    </row>
    <row r="16" spans="1:26" x14ac:dyDescent="0.25">
      <c r="A16" s="39" t="str">
        <f>Categorías!A17</f>
        <v>UNIVERSIDAD DE LOS LAGOS</v>
      </c>
      <c r="B16" s="39" t="str">
        <f>Categorías!B17</f>
        <v>ULA</v>
      </c>
      <c r="C16" s="40" t="str">
        <f>Categorías!C17</f>
        <v>CRUCH-ESTATAL</v>
      </c>
      <c r="D16" s="39" t="str">
        <f>Categorías!AA17</f>
        <v>Categoría II</v>
      </c>
      <c r="E16" s="104">
        <v>385</v>
      </c>
      <c r="F16" s="104">
        <v>9591</v>
      </c>
      <c r="G16" s="104">
        <v>152.0647727272727</v>
      </c>
      <c r="H16" s="104">
        <v>500.23522727272717</v>
      </c>
      <c r="I16" s="104">
        <v>220.87045454545432</v>
      </c>
      <c r="J16" s="104">
        <v>0</v>
      </c>
      <c r="K16" s="104">
        <v>253</v>
      </c>
      <c r="L16" s="104">
        <v>9504</v>
      </c>
      <c r="M16" s="104">
        <v>1211</v>
      </c>
      <c r="N16" s="105">
        <v>1121</v>
      </c>
      <c r="O16" s="105">
        <v>1335</v>
      </c>
      <c r="P16" s="105">
        <v>1065</v>
      </c>
      <c r="Q16" s="105">
        <v>1245</v>
      </c>
      <c r="R16" s="106">
        <v>1007</v>
      </c>
      <c r="S16" s="106">
        <v>1391</v>
      </c>
      <c r="T16" s="104">
        <v>3</v>
      </c>
      <c r="U16" s="104">
        <v>15</v>
      </c>
      <c r="V16" s="104">
        <v>3</v>
      </c>
      <c r="W16" s="104">
        <v>14</v>
      </c>
      <c r="X16" s="104"/>
      <c r="Y16" s="122"/>
      <c r="Z16" s="41" t="s">
        <v>25</v>
      </c>
    </row>
    <row r="17" spans="1:26" x14ac:dyDescent="0.25">
      <c r="A17" s="39" t="str">
        <f>Categorías!A18</f>
        <v>UNIVERSIDAD DE MAGALLANES</v>
      </c>
      <c r="B17" s="39" t="str">
        <f>Categorías!B18</f>
        <v>MAG</v>
      </c>
      <c r="C17" s="40" t="str">
        <f>Categorías!C18</f>
        <v>CRUCH-ESTATAL</v>
      </c>
      <c r="D17" s="39" t="str">
        <f>Categorías!AA18</f>
        <v>Categoría II</v>
      </c>
      <c r="E17" s="104">
        <v>214</v>
      </c>
      <c r="F17" s="104">
        <v>3921</v>
      </c>
      <c r="G17" s="104">
        <v>92.345909090909075</v>
      </c>
      <c r="H17" s="104">
        <v>288.37863636363653</v>
      </c>
      <c r="I17" s="104">
        <v>79.684318181818199</v>
      </c>
      <c r="J17" s="104">
        <v>1.5325</v>
      </c>
      <c r="K17" s="104">
        <v>162</v>
      </c>
      <c r="L17" s="104">
        <v>9937</v>
      </c>
      <c r="M17" s="104">
        <v>794</v>
      </c>
      <c r="N17" s="105">
        <v>312</v>
      </c>
      <c r="O17" s="105">
        <v>584</v>
      </c>
      <c r="P17" s="105">
        <v>499</v>
      </c>
      <c r="Q17" s="105">
        <v>621</v>
      </c>
      <c r="R17" s="106">
        <v>402</v>
      </c>
      <c r="S17" s="106">
        <v>659</v>
      </c>
      <c r="T17" s="104">
        <v>0</v>
      </c>
      <c r="U17" s="104">
        <v>0</v>
      </c>
      <c r="V17" s="104">
        <v>3</v>
      </c>
      <c r="W17" s="104">
        <v>2</v>
      </c>
      <c r="X17" s="104"/>
      <c r="Y17" s="122"/>
      <c r="Z17" s="41" t="s">
        <v>26</v>
      </c>
    </row>
    <row r="18" spans="1:26" x14ac:dyDescent="0.25">
      <c r="A18" s="39" t="str">
        <f>Categorías!A19</f>
        <v>UNIVERSIDAD METROPOLITANA DE CS.DE LA EDUCACIÓN</v>
      </c>
      <c r="B18" s="39" t="str">
        <f>Categorías!B19</f>
        <v>UMC</v>
      </c>
      <c r="C18" s="40" t="str">
        <f>Categorías!C19</f>
        <v>CRUCH-ESTATAL</v>
      </c>
      <c r="D18" s="39" t="str">
        <f>Categorías!AA19</f>
        <v>Categoría II</v>
      </c>
      <c r="E18" s="104">
        <v>200</v>
      </c>
      <c r="F18" s="104">
        <v>4097</v>
      </c>
      <c r="G18" s="104">
        <v>102.81113636363641</v>
      </c>
      <c r="H18" s="104">
        <v>312.06636363636386</v>
      </c>
      <c r="I18" s="104">
        <v>139.89340909090933</v>
      </c>
      <c r="J18" s="104">
        <v>0</v>
      </c>
      <c r="K18" s="104">
        <v>163</v>
      </c>
      <c r="L18" s="104">
        <v>1962</v>
      </c>
      <c r="M18" s="104">
        <v>475</v>
      </c>
      <c r="N18" s="105">
        <v>391</v>
      </c>
      <c r="O18" s="105">
        <v>581</v>
      </c>
      <c r="P18" s="105">
        <v>619</v>
      </c>
      <c r="Q18" s="105">
        <v>712</v>
      </c>
      <c r="R18" s="106">
        <v>678</v>
      </c>
      <c r="S18" s="106">
        <v>1046</v>
      </c>
      <c r="T18" s="104">
        <v>0</v>
      </c>
      <c r="U18" s="104">
        <v>3</v>
      </c>
      <c r="V18" s="104"/>
      <c r="W18" s="104">
        <v>8</v>
      </c>
      <c r="X18" s="104"/>
      <c r="Y18" s="122"/>
      <c r="Z18" s="41" t="s">
        <v>28</v>
      </c>
    </row>
    <row r="19" spans="1:26" x14ac:dyDescent="0.25">
      <c r="A19" s="39" t="str">
        <f>Categorías!A20</f>
        <v>UNIVERSIDAD TECNOLÓGICA METROPOLITANA</v>
      </c>
      <c r="B19" s="39" t="str">
        <f>Categorías!B20</f>
        <v>UTM</v>
      </c>
      <c r="C19" s="40" t="str">
        <f>Categorías!C20</f>
        <v>CRUCH-ESTATAL</v>
      </c>
      <c r="D19" s="39" t="str">
        <f>Categorías!AA20</f>
        <v>Categoría II</v>
      </c>
      <c r="E19" s="104">
        <v>210</v>
      </c>
      <c r="F19" s="104">
        <v>8828</v>
      </c>
      <c r="G19" s="104">
        <v>120.15909090909091</v>
      </c>
      <c r="H19" s="104">
        <v>369.90909090909128</v>
      </c>
      <c r="I19" s="104">
        <v>162.04545454545459</v>
      </c>
      <c r="J19" s="104">
        <v>0</v>
      </c>
      <c r="K19" s="104">
        <v>158</v>
      </c>
      <c r="L19" s="104">
        <v>6661</v>
      </c>
      <c r="M19" s="104">
        <v>794</v>
      </c>
      <c r="N19" s="105">
        <v>1105</v>
      </c>
      <c r="O19" s="105">
        <v>1437</v>
      </c>
      <c r="P19" s="105">
        <v>1265</v>
      </c>
      <c r="Q19" s="105">
        <v>1544</v>
      </c>
      <c r="R19" s="106">
        <v>1226</v>
      </c>
      <c r="S19" s="106">
        <v>1810</v>
      </c>
      <c r="T19" s="104">
        <v>0</v>
      </c>
      <c r="U19" s="104">
        <v>0</v>
      </c>
      <c r="V19" s="104"/>
      <c r="W19" s="104"/>
      <c r="X19" s="104">
        <v>1</v>
      </c>
      <c r="Y19" s="122"/>
      <c r="Z19" s="41" t="s">
        <v>29</v>
      </c>
    </row>
    <row r="20" spans="1:26" x14ac:dyDescent="0.25">
      <c r="A20" s="39" t="str">
        <f>Categorías!A21</f>
        <v>U. DE O'HIGGINS</v>
      </c>
      <c r="B20" s="39" t="str">
        <f>Categorías!B21</f>
        <v>URO</v>
      </c>
      <c r="C20" s="40" t="str">
        <f>Categorías!C21</f>
        <v>CRUCH-ESTATAL</v>
      </c>
      <c r="D20" s="39" t="str">
        <f>Categorías!AA21</f>
        <v>Categoría III</v>
      </c>
      <c r="E20" s="104">
        <v>129</v>
      </c>
      <c r="F20" s="104">
        <v>5037</v>
      </c>
      <c r="G20" s="104">
        <v>100.42727272727275</v>
      </c>
      <c r="H20" s="104">
        <v>234.58749999999975</v>
      </c>
      <c r="I20" s="104">
        <v>62.915909090908926</v>
      </c>
      <c r="J20" s="104">
        <v>7.545454545454545</v>
      </c>
      <c r="K20" s="104">
        <v>181</v>
      </c>
      <c r="L20" s="104">
        <v>4212</v>
      </c>
      <c r="M20" s="104">
        <v>621</v>
      </c>
      <c r="N20" s="105">
        <v>1001</v>
      </c>
      <c r="O20" s="105">
        <v>1361</v>
      </c>
      <c r="P20" s="105">
        <v>894</v>
      </c>
      <c r="Q20" s="105">
        <v>1018</v>
      </c>
      <c r="R20" s="106">
        <v>853</v>
      </c>
      <c r="S20" s="106">
        <v>1085</v>
      </c>
      <c r="T20" s="104">
        <v>0</v>
      </c>
      <c r="U20" s="104">
        <v>0</v>
      </c>
      <c r="V20" s="104"/>
      <c r="W20" s="104"/>
      <c r="X20" s="104"/>
      <c r="Y20" s="122"/>
      <c r="Z20" s="41" t="s">
        <v>89</v>
      </c>
    </row>
    <row r="21" spans="1:26" x14ac:dyDescent="0.25">
      <c r="A21" s="39" t="str">
        <f>Categorías!A22</f>
        <v>U. DE AYSÉN</v>
      </c>
      <c r="B21" s="39" t="str">
        <f>Categorías!B22</f>
        <v>URY</v>
      </c>
      <c r="C21" s="40" t="str">
        <f>Categorías!C22</f>
        <v>CRUCH-ESTATAL</v>
      </c>
      <c r="D21" s="39" t="str">
        <f>Categorías!AA22</f>
        <v>Categoría III</v>
      </c>
      <c r="E21" s="104">
        <v>58</v>
      </c>
      <c r="F21" s="104">
        <v>604</v>
      </c>
      <c r="G21" s="104">
        <v>29.804545454545455</v>
      </c>
      <c r="H21" s="104">
        <v>68.247727272727261</v>
      </c>
      <c r="I21" s="104">
        <v>16.975000000000005</v>
      </c>
      <c r="J21" s="104">
        <v>0</v>
      </c>
      <c r="K21" s="104">
        <v>26</v>
      </c>
      <c r="L21" s="104">
        <v>1392</v>
      </c>
      <c r="M21" s="104">
        <v>136</v>
      </c>
      <c r="N21" s="105">
        <v>106</v>
      </c>
      <c r="O21" s="105">
        <v>144</v>
      </c>
      <c r="P21" s="105">
        <v>129</v>
      </c>
      <c r="Q21" s="105">
        <v>169</v>
      </c>
      <c r="R21" s="106">
        <v>80</v>
      </c>
      <c r="S21" s="106">
        <v>123</v>
      </c>
      <c r="T21" s="104">
        <v>0</v>
      </c>
      <c r="U21" s="104">
        <v>0</v>
      </c>
      <c r="V21" s="104"/>
      <c r="W21" s="104"/>
      <c r="X21" s="104"/>
      <c r="Y21" s="122"/>
      <c r="Z21" s="41" t="s">
        <v>91</v>
      </c>
    </row>
    <row r="22" spans="1:26" x14ac:dyDescent="0.25">
      <c r="E22" s="38">
        <f>SUM(E4:E21)</f>
        <v>7102</v>
      </c>
      <c r="F22" s="38">
        <f t="shared" ref="F22:Y22" si="0">SUM(F4:F21)</f>
        <v>203968</v>
      </c>
      <c r="G22" s="38">
        <f t="shared" si="0"/>
        <v>4388.4127272727319</v>
      </c>
      <c r="H22" s="38">
        <f t="shared" si="0"/>
        <v>10248.001818181827</v>
      </c>
      <c r="I22" s="38">
        <f t="shared" si="0"/>
        <v>3197.9793181818195</v>
      </c>
      <c r="J22" s="38">
        <f t="shared" si="0"/>
        <v>509.35636363636291</v>
      </c>
      <c r="K22" s="38">
        <f t="shared" si="0"/>
        <v>9733</v>
      </c>
      <c r="L22" s="38">
        <f>SUM(L4:L21)</f>
        <v>485008</v>
      </c>
      <c r="M22" s="38">
        <f>SUM(M4:M21)</f>
        <v>46608</v>
      </c>
      <c r="N22" s="38">
        <f t="shared" si="0"/>
        <v>20822</v>
      </c>
      <c r="O22" s="38">
        <f t="shared" si="0"/>
        <v>31214</v>
      </c>
      <c r="P22" s="38">
        <f t="shared" si="0"/>
        <v>27098</v>
      </c>
      <c r="Q22" s="38">
        <f t="shared" si="0"/>
        <v>31657</v>
      </c>
      <c r="R22" s="38">
        <f t="shared" si="0"/>
        <v>25199</v>
      </c>
      <c r="S22" s="38">
        <f>SUM(S4:S21)</f>
        <v>34916</v>
      </c>
      <c r="T22" s="38">
        <f t="shared" si="0"/>
        <v>75</v>
      </c>
      <c r="U22" s="38">
        <f t="shared" si="0"/>
        <v>384</v>
      </c>
      <c r="V22" s="38">
        <f t="shared" si="0"/>
        <v>426</v>
      </c>
      <c r="W22" s="38">
        <f t="shared" si="0"/>
        <v>513</v>
      </c>
      <c r="X22" s="38">
        <f t="shared" si="0"/>
        <v>14</v>
      </c>
      <c r="Y22" s="38">
        <f t="shared" si="0"/>
        <v>10</v>
      </c>
      <c r="Z22" s="41"/>
    </row>
    <row r="28" spans="1:26" x14ac:dyDescent="0.25">
      <c r="L28" s="17"/>
    </row>
    <row r="29" spans="1:26" x14ac:dyDescent="0.25">
      <c r="A29" s="7"/>
      <c r="L29" s="17"/>
    </row>
    <row r="30" spans="1:26" x14ac:dyDescent="0.25">
      <c r="L30" s="17"/>
    </row>
    <row r="31" spans="1:26" x14ac:dyDescent="0.25">
      <c r="L31" s="17"/>
    </row>
    <row r="32" spans="1:26" x14ac:dyDescent="0.25">
      <c r="L32" s="17"/>
    </row>
    <row r="33" spans="12:12" x14ac:dyDescent="0.25">
      <c r="L33" s="17"/>
    </row>
    <row r="34" spans="12:12" x14ac:dyDescent="0.25">
      <c r="L34" s="17"/>
    </row>
    <row r="35" spans="12:12" x14ac:dyDescent="0.25">
      <c r="L35" s="17"/>
    </row>
    <row r="36" spans="12:12" x14ac:dyDescent="0.25">
      <c r="L36" s="17"/>
    </row>
    <row r="37" spans="12:12" x14ac:dyDescent="0.25">
      <c r="L37" s="17"/>
    </row>
    <row r="38" spans="12:12" x14ac:dyDescent="0.25">
      <c r="L38" s="17"/>
    </row>
    <row r="39" spans="12:12" x14ac:dyDescent="0.25">
      <c r="L39" s="17"/>
    </row>
    <row r="40" spans="12:12" x14ac:dyDescent="0.25">
      <c r="L40" s="17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AI85"/>
  <sheetViews>
    <sheetView zoomScaleNormal="100" workbookViewId="0">
      <pane xSplit="2" ySplit="4" topLeftCell="I8" activePane="bottomRight" state="frozen"/>
      <selection pane="topRight" activeCell="C1" sqref="C1"/>
      <selection pane="bottomLeft" activeCell="A4" sqref="A4"/>
      <selection pane="bottomRight" activeCell="G5" sqref="G5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1.42578125" customWidth="1"/>
    <col min="33" max="35" width="10.7109375" customWidth="1"/>
    <col min="37" max="37" width="13.140625" bestFit="1" customWidth="1"/>
  </cols>
  <sheetData>
    <row r="1" spans="1:35" x14ac:dyDescent="0.25">
      <c r="A1" s="16" t="s">
        <v>141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3" t="s">
        <v>48</v>
      </c>
      <c r="O1" s="3" t="s">
        <v>84</v>
      </c>
      <c r="P1" s="3" t="s">
        <v>85</v>
      </c>
      <c r="Q1" s="20" t="s">
        <v>62</v>
      </c>
    </row>
    <row r="2" spans="1:35" x14ac:dyDescent="0.25">
      <c r="A2" s="16"/>
      <c r="B2" s="61">
        <v>1</v>
      </c>
      <c r="C2" s="61">
        <v>2</v>
      </c>
      <c r="D2" s="61">
        <v>3</v>
      </c>
      <c r="E2" s="61">
        <v>4</v>
      </c>
      <c r="F2" s="61">
        <v>5</v>
      </c>
      <c r="G2" s="61">
        <v>6</v>
      </c>
      <c r="H2" s="61">
        <v>7</v>
      </c>
      <c r="I2" s="61">
        <v>8</v>
      </c>
      <c r="J2" s="61">
        <v>9</v>
      </c>
      <c r="K2" s="61">
        <v>10</v>
      </c>
      <c r="L2" s="61">
        <v>11</v>
      </c>
      <c r="M2" s="61">
        <v>12</v>
      </c>
      <c r="N2" s="61">
        <v>13</v>
      </c>
      <c r="O2" s="61">
        <v>14</v>
      </c>
      <c r="P2" s="61">
        <v>15</v>
      </c>
      <c r="Q2" s="61">
        <v>16</v>
      </c>
      <c r="R2" s="61">
        <v>17</v>
      </c>
      <c r="S2" s="61">
        <v>18</v>
      </c>
      <c r="T2" s="61">
        <v>19</v>
      </c>
      <c r="U2" s="61">
        <v>20</v>
      </c>
      <c r="V2" s="61">
        <v>21</v>
      </c>
      <c r="W2" s="61">
        <v>22</v>
      </c>
      <c r="X2" s="61">
        <v>23</v>
      </c>
      <c r="Y2" s="61">
        <v>24</v>
      </c>
      <c r="Z2" s="61">
        <v>25</v>
      </c>
      <c r="AA2" s="61">
        <v>26</v>
      </c>
      <c r="AB2" s="61">
        <v>27</v>
      </c>
      <c r="AC2" s="61">
        <v>28</v>
      </c>
      <c r="AD2" s="61">
        <v>29</v>
      </c>
      <c r="AE2" s="61">
        <v>30</v>
      </c>
      <c r="AF2" s="61">
        <v>31</v>
      </c>
      <c r="AG2" s="61">
        <v>32</v>
      </c>
      <c r="AH2" s="61">
        <v>33</v>
      </c>
      <c r="AI2" s="61">
        <v>34</v>
      </c>
    </row>
    <row r="3" spans="1:35" ht="79.5" x14ac:dyDescent="0.25"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49</v>
      </c>
      <c r="R3" s="4" t="s">
        <v>50</v>
      </c>
      <c r="S3" s="4" t="s">
        <v>51</v>
      </c>
      <c r="T3" s="4" t="s">
        <v>52</v>
      </c>
      <c r="U3" s="4" t="s">
        <v>53</v>
      </c>
      <c r="V3" s="4" t="s">
        <v>54</v>
      </c>
      <c r="W3" s="4" t="s">
        <v>55</v>
      </c>
      <c r="X3" s="4" t="s">
        <v>56</v>
      </c>
      <c r="Y3" s="4" t="s">
        <v>57</v>
      </c>
      <c r="Z3" s="4" t="s">
        <v>58</v>
      </c>
      <c r="AA3" s="4" t="s">
        <v>59</v>
      </c>
      <c r="AB3" s="4"/>
      <c r="AC3" s="4"/>
    </row>
    <row r="4" spans="1:35" ht="67.5" x14ac:dyDescent="0.25">
      <c r="A4" s="8" t="s">
        <v>11</v>
      </c>
      <c r="B4" s="13" t="s">
        <v>1</v>
      </c>
      <c r="C4" s="13" t="s">
        <v>21</v>
      </c>
      <c r="D4" s="14" t="s">
        <v>39</v>
      </c>
      <c r="E4" s="15" t="s">
        <v>61</v>
      </c>
      <c r="F4" s="97" t="s">
        <v>201</v>
      </c>
      <c r="G4" s="97" t="s">
        <v>202</v>
      </c>
      <c r="H4" s="97" t="s">
        <v>203</v>
      </c>
      <c r="I4" s="97" t="s">
        <v>204</v>
      </c>
      <c r="J4" s="97" t="s">
        <v>205</v>
      </c>
      <c r="K4" s="97" t="s">
        <v>206</v>
      </c>
      <c r="L4" s="97" t="s">
        <v>207</v>
      </c>
      <c r="M4" s="97" t="s">
        <v>208</v>
      </c>
      <c r="N4" s="97" t="s">
        <v>209</v>
      </c>
      <c r="O4" s="97" t="s">
        <v>210</v>
      </c>
      <c r="P4" s="97" t="s">
        <v>212</v>
      </c>
      <c r="Q4" s="12" t="s">
        <v>60</v>
      </c>
      <c r="R4" s="9" t="s">
        <v>60</v>
      </c>
      <c r="S4" s="9" t="s">
        <v>60</v>
      </c>
      <c r="T4" s="9" t="s">
        <v>60</v>
      </c>
      <c r="U4" s="9" t="s">
        <v>60</v>
      </c>
      <c r="V4" s="9" t="s">
        <v>60</v>
      </c>
      <c r="W4" s="9" t="s">
        <v>60</v>
      </c>
      <c r="X4" s="9" t="s">
        <v>60</v>
      </c>
      <c r="Y4" s="9" t="s">
        <v>60</v>
      </c>
      <c r="Z4" s="9" t="s">
        <v>60</v>
      </c>
      <c r="AA4" s="9" t="s">
        <v>60</v>
      </c>
      <c r="AB4" s="29" t="s">
        <v>63</v>
      </c>
      <c r="AC4" s="30" t="s">
        <v>81</v>
      </c>
      <c r="AD4" s="30" t="s">
        <v>64</v>
      </c>
      <c r="AE4" s="30" t="s">
        <v>80</v>
      </c>
      <c r="AF4" s="30" t="s">
        <v>82</v>
      </c>
      <c r="AG4" s="30" t="s">
        <v>83</v>
      </c>
      <c r="AH4" s="30" t="s">
        <v>335</v>
      </c>
      <c r="AI4" s="30" t="s">
        <v>79</v>
      </c>
    </row>
    <row r="5" spans="1:35" x14ac:dyDescent="0.25">
      <c r="A5" s="21" t="str">
        <f>Valores!A4</f>
        <v>UNIVERSIDAD DE CHILE</v>
      </c>
      <c r="B5" s="22" t="str">
        <f>Valores!B4</f>
        <v>UCH</v>
      </c>
      <c r="C5" s="23" t="str">
        <f>Valores!C4</f>
        <v>CRUCH-ESTATAL</v>
      </c>
      <c r="D5" s="23" t="str">
        <f>Valores!D4</f>
        <v>Categoría I</v>
      </c>
      <c r="E5" s="23" t="str">
        <f>CONCATENATE(C5,D5)</f>
        <v>CRUCH-ESTATALCategoría I</v>
      </c>
      <c r="F5" s="24">
        <f>IFERROR(Valores!E4/Valores!F4*100,0)</f>
        <v>3.6841367057833465</v>
      </c>
      <c r="G5" s="25">
        <f>IFERROR(Valores!G4/Valores!H4,0)</f>
        <v>0.56242781298832567</v>
      </c>
      <c r="H5" s="25">
        <f>IFERROR((Valores!G4+Valores!I4+Valores!J4)/(Valores!H4),0)</f>
        <v>0.84762353078199837</v>
      </c>
      <c r="I5" s="25">
        <f>IFERROR(Valores!K4/Valores!H4,0)</f>
        <v>1.4195339266822593</v>
      </c>
      <c r="J5" s="25">
        <f>IFERROR(Valores!K4/Valores!G4,0)</f>
        <v>2.5239397730704409</v>
      </c>
      <c r="K5" s="25">
        <f>IFERROR(Valores!L4/Valores!M4,0)</f>
        <v>11.450283532648363</v>
      </c>
      <c r="L5" s="25">
        <f>IFERROR(Valores!N4/Valores!O4,0)</f>
        <v>0.48869914615770971</v>
      </c>
      <c r="M5" s="25">
        <f>IFERROR(Valores!P4/Valores!Q4,0)</f>
        <v>0.90725595963111183</v>
      </c>
      <c r="N5" s="25">
        <f>IFERROR(Valores!R4/Valores!S4,0)</f>
        <v>0.79710144927536231</v>
      </c>
      <c r="O5" s="25">
        <f>IF(Valores!W4&gt;0,Valores!T4/Valores!W4,IF(AND(Valores!W4=0,OR(Valores!V4&gt;0,Valores!U4&gt;0)),0,IF(AND(Valores!V4=0,Valores!W4=0,Valores!U4=0),"NC",)))</f>
        <v>0.11570247933884298</v>
      </c>
      <c r="P5" s="26">
        <f>IFERROR((Valores!X4+Valores!Y4)*1000/(Valores!H4),0)</f>
        <v>1.7082237384864731</v>
      </c>
      <c r="Q5" s="27">
        <f t="array" ref="Q5">F5/MAX(IF($E$5:$E$26=$E5,F$5:F$26))</f>
        <v>0.88442022523403929</v>
      </c>
      <c r="R5" s="27">
        <f t="array" ref="R5">G5/MAX(IF($E$5:$E$26=$E5,G$5:G$26))</f>
        <v>1</v>
      </c>
      <c r="S5" s="27">
        <f t="array" ref="S5">H5/MAX(IF($E$5:$E$26=$E5,H$5:H$26))</f>
        <v>0.87693343536007085</v>
      </c>
      <c r="T5" s="27">
        <f t="array" ref="T5">I5/MAX(IF($E$5:$E$26=$E5,I$5:I$26))</f>
        <v>1</v>
      </c>
      <c r="U5" s="27">
        <f t="array" ref="U5">J5/MAX(IF($E$5:$E$26=$E5,J$5:J$26))</f>
        <v>1</v>
      </c>
      <c r="V5" s="27">
        <f t="array" ref="V5">K5/MAX(IF($E$5:$E$26=$E5,K$5:K$26))</f>
        <v>1</v>
      </c>
      <c r="W5" s="27">
        <f t="array" ref="W5">L5/MAX(IF($E$5:$E$26=$E5,L$5:L$26))</f>
        <v>0.65761193828604558</v>
      </c>
      <c r="X5" s="27">
        <f t="array" ref="X5">M5/MAX(IF($E$5:$E$26=$E5,M$5:M$26))</f>
        <v>1</v>
      </c>
      <c r="Y5" s="27">
        <f t="array" ref="Y5">N5/MAX(IF($E$5:$E$26=$E5,N$5:N$26))</f>
        <v>1</v>
      </c>
      <c r="Z5" s="27">
        <f t="array" ref="Z5">IF(O5="NC","NC",IF(O5=0,0,IF(O5&gt;0,O5/MAX(IF($E$5:$E$26=$E5,$O$5:$O$26,"ERROR")))))</f>
        <v>0.57851239669421484</v>
      </c>
      <c r="AA5" s="28">
        <f t="array" ref="AA5">IF(P5=0,0,P5/MAX(IF($E$5:$E$26=$E5,$P$5:$P$26)))</f>
        <v>0.25206005959371414</v>
      </c>
      <c r="AB5" s="10">
        <f>IF(Z5="NC",(SUM(Q5:Y5)+AA5)/(COUNTA(Q5:Y5)+COUNTA(AA5)),AVERAGE(Q5:AA5))</f>
        <v>0.84086709592437137</v>
      </c>
      <c r="AC5" s="10">
        <f t="array" ref="AC5">SUM(IF($E$5:$E$26=$E5,$AB$5:$AB$26,"ERROR"))</f>
        <v>2.5370850267108076</v>
      </c>
      <c r="AD5" s="32">
        <f>AB5/AC5</f>
        <v>0.33143039632948751</v>
      </c>
      <c r="AE5" s="11">
        <f>VLOOKUP(E5,Categorías!$A$35:$C$37,3,0)</f>
        <v>12004054</v>
      </c>
      <c r="AF5" s="11">
        <f>AD5*AE5</f>
        <v>3978508.3747805697</v>
      </c>
      <c r="AG5" s="87">
        <f>ROUND(AF5,0)</f>
        <v>3978508</v>
      </c>
      <c r="AH5" s="87">
        <f>TRUNC(AF5,0)</f>
        <v>3978508</v>
      </c>
      <c r="AI5" s="18">
        <f t="array" ref="AI5">AG5/(SUM(IF($C$5:$C$26=$C5,$AG$5:$AG$26,0)))</f>
        <v>8.0618198188818602E-2</v>
      </c>
    </row>
    <row r="6" spans="1:35" x14ac:dyDescent="0.25">
      <c r="A6" s="21" t="str">
        <f>Valores!A5</f>
        <v>UNIVERSIDAD DE SANTIAGO DE CHILE</v>
      </c>
      <c r="B6" s="22" t="str">
        <f>Valores!B5</f>
        <v>USA</v>
      </c>
      <c r="C6" s="23" t="str">
        <f>Valores!C5</f>
        <v>CRUCH-ESTATAL</v>
      </c>
      <c r="D6" s="23" t="str">
        <f>Valores!D5</f>
        <v>Categoría I</v>
      </c>
      <c r="E6" s="23" t="str">
        <f t="shared" ref="E6:E20" si="0">CONCATENATE(C6,D6)</f>
        <v>CRUCH-ESTATALCategoría I</v>
      </c>
      <c r="F6" s="24">
        <f>IFERROR(Valores!E5/Valores!F5*100,0)</f>
        <v>2.3980999080600673</v>
      </c>
      <c r="G6" s="25">
        <f>IFERROR(Valores!G5/Valores!H5,0)</f>
        <v>0.38936707933484471</v>
      </c>
      <c r="H6" s="25">
        <f>IFERROR((Valores!G5+Valores!I5+Valores!J5)/(Valores!H5),0)</f>
        <v>0.71165116108709858</v>
      </c>
      <c r="I6" s="25">
        <f>IFERROR(Valores!K5/Valores!H5,0)</f>
        <v>0.86301369863013255</v>
      </c>
      <c r="J6" s="25">
        <f>IFERROR(Valores!K5/Valores!G5,0)</f>
        <v>2.2164526597996361</v>
      </c>
      <c r="K6" s="25">
        <f>IFERROR(Valores!L5/Valores!M5,0)</f>
        <v>8.8414372192931072</v>
      </c>
      <c r="L6" s="25">
        <f>IFERROR(Valores!N5/Valores!O5,0)</f>
        <v>0.62889733840304185</v>
      </c>
      <c r="M6" s="25">
        <f>IFERROR(Valores!P5/Valores!Q5,0)</f>
        <v>0.83369909778102902</v>
      </c>
      <c r="N6" s="25">
        <f>IFERROR(Valores!R5/Valores!S5,0)</f>
        <v>0.69678334910122985</v>
      </c>
      <c r="O6" s="25">
        <f>IF(Valores!W5&gt;0,Valores!T5/Valores!W5,IF(AND(Valores!W5=0,OR(Valores!V5&gt;0,Valores!U5&gt;0)),0,IF(AND(Valores!V5=0,Valores!W5=0,Valores!U5=0),"NC",)))</f>
        <v>0.14705882352941177</v>
      </c>
      <c r="P6" s="26">
        <f>IFERROR((Valores!X5+Valores!Y5)*1000/(Valores!H5),0)</f>
        <v>4.8348106365833754</v>
      </c>
      <c r="Q6" s="27">
        <f t="array" ref="Q6">F6/MAX(IF($E$5:$E$26=$E6,F$5:F$26))</f>
        <v>0.57569200879293847</v>
      </c>
      <c r="R6" s="27">
        <f t="array" ref="R6">G6/MAX(IF($E$5:$E$26=$E6,G$5:G$26))</f>
        <v>0.6922969852184867</v>
      </c>
      <c r="S6" s="27">
        <f t="array" ref="S6">H6/MAX(IF($E$5:$E$26=$E6,H$5:H$26))</f>
        <v>0.73625928824125375</v>
      </c>
      <c r="T6" s="27">
        <f t="array" ref="T6">I6/MAX(IF($E$5:$E$26=$E6,I$5:I$26))</f>
        <v>0.60795566939859746</v>
      </c>
      <c r="U6" s="27">
        <f t="array" ref="U6">J6/MAX(IF($E$5:$E$26=$E6,J$5:J$26))</f>
        <v>0.87817177075634478</v>
      </c>
      <c r="V6" s="27">
        <f t="array" ref="V6">K6/MAX(IF($E$5:$E$26=$E6,K$5:K$26))</f>
        <v>0.77215880236357348</v>
      </c>
      <c r="W6" s="27">
        <f t="array" ref="W6">L6/MAX(IF($E$5:$E$26=$E6,L$5:L$26))</f>
        <v>0.84626789496516708</v>
      </c>
      <c r="X6" s="27">
        <f t="array" ref="X6">M6/MAX(IF($E$5:$E$26=$E6,M$5:M$26))</f>
        <v>0.91892380417099617</v>
      </c>
      <c r="Y6" s="27">
        <f t="array" ref="Y6">N6/MAX(IF($E$5:$E$26=$E6,N$5:N$26))</f>
        <v>0.87414638341790651</v>
      </c>
      <c r="Z6" s="27">
        <f t="array" ref="Z6">IF(O6="NC","NC",IF(O6=0,0,IF(O6&gt;0,O6/MAX(IF($E$5:$E$26=$E6,$O$5:$O$26,"ERROR")))))</f>
        <v>0.73529411764705876</v>
      </c>
      <c r="AA6" s="28">
        <f t="array" ref="AA6">IF(P6=0,0,P6/MAX(IF($E$5:$E$26=$E6,$P$5:$P$26)))</f>
        <v>0.71340927404585341</v>
      </c>
      <c r="AB6" s="10">
        <f t="shared" ref="AB6:AB19" si="1">IF(Z6="NC",(SUM(Q6:Y6)+AA6)/(COUNTA(Q6:Y6)+COUNTA(AA6)),AVERAGE(Q6:AA6))</f>
        <v>0.75914327263801595</v>
      </c>
      <c r="AC6" s="10">
        <f t="array" ref="AC6">SUM(IF($E$5:$E$26=$E6,$AB$5:$AB$26,"ERROR"))</f>
        <v>2.5370850267108076</v>
      </c>
      <c r="AD6" s="32">
        <f t="shared" ref="AD6:AD19" si="2">AB6/AC6</f>
        <v>0.2992186957258598</v>
      </c>
      <c r="AE6" s="11">
        <f>VLOOKUP(E6,Categorías!$A$35:$C$37,3,0)</f>
        <v>12004054</v>
      </c>
      <c r="AF6" s="11">
        <f t="shared" ref="AF6:AF20" si="3">AD6*AE6</f>
        <v>3591837.3813027903</v>
      </c>
      <c r="AG6" s="87">
        <f t="shared" ref="AG6:AG20" si="4">ROUND(AF6,0)</f>
        <v>3591837</v>
      </c>
      <c r="AH6" s="87">
        <f t="shared" ref="AH6:AH22" si="5">TRUNC(AF6,0)</f>
        <v>3591837</v>
      </c>
      <c r="AI6" s="18">
        <f t="array" ref="AI6">AG6/(SUM(IF($C$5:$C$26=$C6,$AG$5:$AG$26,0)))</f>
        <v>7.2782919407961888E-2</v>
      </c>
    </row>
    <row r="7" spans="1:35" x14ac:dyDescent="0.25">
      <c r="A7" s="21" t="str">
        <f>Valores!A6</f>
        <v>UNIVERSIDAD DE ANTOFAGASTA</v>
      </c>
      <c r="B7" s="22" t="str">
        <f>Valores!B6</f>
        <v>ANT</v>
      </c>
      <c r="C7" s="23" t="str">
        <f>Valores!C6</f>
        <v>CRUCH-ESTATAL</v>
      </c>
      <c r="D7" s="23" t="str">
        <f>Valores!D6</f>
        <v>Categoría II</v>
      </c>
      <c r="E7" s="23" t="str">
        <f t="shared" si="0"/>
        <v>CRUCH-ESTATALCategoría II</v>
      </c>
      <c r="F7" s="24">
        <f>IFERROR(Valores!E6/Valores!F6*100,0)</f>
        <v>4.7066326530612246</v>
      </c>
      <c r="G7" s="25">
        <f>IFERROR(Valores!G6/Valores!H6,0)</f>
        <v>0.32685412341951309</v>
      </c>
      <c r="H7" s="25">
        <f>IFERROR((Valores!G6+Valores!I6+Valores!J6)/(Valores!H6),0)</f>
        <v>0.69097943008114726</v>
      </c>
      <c r="I7" s="25">
        <f>IFERROR(Valores!K6/Valores!H6,0)</f>
        <v>0.73277976976788062</v>
      </c>
      <c r="J7" s="25">
        <f>IFERROR(Valores!K6/Valores!G6,0)</f>
        <v>2.2419168591224015</v>
      </c>
      <c r="K7" s="25">
        <f>IFERROR(Valores!L6/Valores!M6,0)</f>
        <v>19.778542742398162</v>
      </c>
      <c r="L7" s="25">
        <f>IFERROR(Valores!N6/Valores!O6,0)</f>
        <v>0.53233364573570763</v>
      </c>
      <c r="M7" s="25">
        <f>IFERROR(Valores!P6/Valores!Q6,0)</f>
        <v>0.84861976847729292</v>
      </c>
      <c r="N7" s="25">
        <f>IFERROR(Valores!R6/Valores!S6,0)</f>
        <v>0.74652014652014653</v>
      </c>
      <c r="O7" s="25">
        <f>IF(Valores!W6&gt;0,Valores!T6/Valores!W6,IF(AND(Valores!W6=0,OR(Valores!V6&gt;0,Valores!U6&gt;0)),0,IF(AND(Valores!V6=0,Valores!W6=0,Valores!U6=0),"NC",)))</f>
        <v>6.25E-2</v>
      </c>
      <c r="P7" s="26">
        <f>IFERROR((Valores!X6+Valores!Y6)*1000/(Valores!H6),0)</f>
        <v>6.2275901113417618</v>
      </c>
      <c r="Q7" s="27">
        <f t="array" ref="Q7">F7/MAX(IF($E$5:$E$26=$E7,F$5:F$26))</f>
        <v>0.86236946881556364</v>
      </c>
      <c r="R7" s="27">
        <f t="array" ref="R7">G7/MAX(IF($E$5:$E$26=$E7,G$5:G$26))</f>
        <v>0.56117455090788193</v>
      </c>
      <c r="S7" s="27">
        <f t="array" ref="S7">H7/MAX(IF($E$5:$E$26=$E7,H$5:H$26))</f>
        <v>0.74368867204239675</v>
      </c>
      <c r="T7" s="27">
        <f t="array" ref="T7">I7/MAX(IF($E$5:$E$26=$E7,I$5:I$26))</f>
        <v>0.44419306291829397</v>
      </c>
      <c r="U7" s="27">
        <f t="array" ref="U7">J7/MAX(IF($E$5:$E$26=$E7,J$5:J$26))</f>
        <v>0.67405045450657453</v>
      </c>
      <c r="V7" s="27">
        <f t="array" ref="V7">K7/MAX(IF($E$5:$E$26=$E7,K$5:K$26))</f>
        <v>1</v>
      </c>
      <c r="W7" s="27">
        <f t="array" ref="W7">L7/MAX(IF($E$5:$E$26=$E7,L$5:L$26))</f>
        <v>0.63395666106794801</v>
      </c>
      <c r="X7" s="27">
        <f t="array" ref="X7">M7/MAX(IF($E$5:$E$26=$E7,M$5:M$26))</f>
        <v>0.97402911510390222</v>
      </c>
      <c r="Y7" s="27">
        <f t="array" ref="Y7">N7/MAX(IF($E$5:$E$26=$E7,N$5:N$26))</f>
        <v>0.98265417164621405</v>
      </c>
      <c r="Z7" s="27">
        <f t="array" ref="Z7">IF(O7="NC","NC",IF(O7=0,0,IF(O7&gt;0,O7/MAX(IF($E$5:$E$26=$E7,$O$5:$O$26,"ERROR")))))</f>
        <v>0.18269230769230768</v>
      </c>
      <c r="AA7" s="28">
        <f t="array" ref="AA7">IF(P7=0,0,P7/MAX(IF($E$5:$E$26=$E7,$P$5:$P$26)))</f>
        <v>0.74745234949990558</v>
      </c>
      <c r="AB7" s="10">
        <f t="shared" si="1"/>
        <v>0.70966007401827158</v>
      </c>
      <c r="AC7" s="10">
        <f t="array" ref="AC7">SUM(IF($E$5:$E$26=$E7,$AB$5:$AB$26,"ERROR"))</f>
        <v>8.3188936271159335</v>
      </c>
      <c r="AD7" s="32">
        <f t="shared" si="2"/>
        <v>8.5307025889247087E-2</v>
      </c>
      <c r="AE7" s="11">
        <f>VLOOKUP(E7,Categorías!$A$35:$C$37,3,0)</f>
        <v>34678378</v>
      </c>
      <c r="AF7" s="11">
        <f t="shared" si="3"/>
        <v>2958309.2898430964</v>
      </c>
      <c r="AG7" s="87">
        <f t="shared" si="4"/>
        <v>2958309</v>
      </c>
      <c r="AH7" s="87">
        <f t="shared" si="5"/>
        <v>2958309</v>
      </c>
      <c r="AI7" s="18">
        <f t="array" ref="AI7">AG7/(SUM(IF($C$5:$C$26=$C7,$AG$5:$AG$26,0)))</f>
        <v>5.9945472339320613E-2</v>
      </c>
    </row>
    <row r="8" spans="1:35" x14ac:dyDescent="0.25">
      <c r="A8" s="21" t="str">
        <f>Valores!A7</f>
        <v>UNIVERSIDAD DE LA FRONTERA</v>
      </c>
      <c r="B8" s="22" t="str">
        <f>Valores!B7</f>
        <v>FRO</v>
      </c>
      <c r="C8" s="23" t="str">
        <f>Valores!C7</f>
        <v>CRUCH-ESTATAL</v>
      </c>
      <c r="D8" s="23" t="str">
        <f>Valores!D7</f>
        <v>Categoría II</v>
      </c>
      <c r="E8" s="23" t="str">
        <f t="shared" si="0"/>
        <v>CRUCH-ESTATALCategoría II</v>
      </c>
      <c r="F8" s="24">
        <f>IFERROR(Valores!E7/Valores!F7*100,0)</f>
        <v>3.1879194630872485</v>
      </c>
      <c r="G8" s="25">
        <f>IFERROR(Valores!G7/Valores!H7,0)</f>
        <v>0.54003871876099918</v>
      </c>
      <c r="H8" s="25">
        <f>IFERROR((Valores!G7+Valores!I7+Valores!J7)/(Valores!H7),0)</f>
        <v>0.84455297430482168</v>
      </c>
      <c r="I8" s="25">
        <f>IFERROR(Valores!K7/Valores!H7,0)</f>
        <v>1.6165082717353043</v>
      </c>
      <c r="J8" s="25">
        <f>IFERROR(Valores!K7/Valores!G7,0)</f>
        <v>2.9933192113410483</v>
      </c>
      <c r="K8" s="25">
        <f>IFERROR(Valores!L7/Valores!M7,0)</f>
        <v>10.28378735784184</v>
      </c>
      <c r="L8" s="25">
        <f>IFERROR(Valores!N7/Valores!O7,0)</f>
        <v>0.68954067515218598</v>
      </c>
      <c r="M8" s="25">
        <f>IFERROR(Valores!P7/Valores!Q7,0)</f>
        <v>0.86689419795221845</v>
      </c>
      <c r="N8" s="25">
        <f>IFERROR(Valores!R7/Valores!S7,0)</f>
        <v>0.75969773299748111</v>
      </c>
      <c r="O8" s="25">
        <f>IF(Valores!W7&gt;0,Valores!T7/Valores!W7,IF(AND(Valores!W7=0,OR(Valores!V7&gt;0,Valores!U7&gt;0)),0,IF(AND(Valores!V7=0,Valores!W7=0,Valores!U7=0),"NC",)))</f>
        <v>0.16666666666666666</v>
      </c>
      <c r="P8" s="26">
        <f>IFERROR((Valores!X7+Valores!Y7)*1000/(Valores!H7),0)</f>
        <v>1.9359380499824004</v>
      </c>
      <c r="Q8" s="27">
        <f t="array" ref="Q8">F8/MAX(IF($E$5:$E$26=$E8,F$5:F$26))</f>
        <v>0.58410430910117295</v>
      </c>
      <c r="R8" s="27">
        <f t="array" ref="R8">G8/MAX(IF($E$5:$E$26=$E8,G$5:G$26))</f>
        <v>0.92719033892867009</v>
      </c>
      <c r="S8" s="27">
        <f t="array" ref="S8">H8/MAX(IF($E$5:$E$26=$E8,H$5:H$26))</f>
        <v>0.90897710204838988</v>
      </c>
      <c r="T8" s="27">
        <f t="array" ref="T8">I8/MAX(IF($E$5:$E$26=$E8,I$5:I$26))</f>
        <v>0.9798875324878491</v>
      </c>
      <c r="U8" s="27">
        <f t="array" ref="U8">J8/MAX(IF($E$5:$E$26=$E8,J$5:J$26))</f>
        <v>0.89996565513919335</v>
      </c>
      <c r="V8" s="27">
        <f t="array" ref="V8">K8/MAX(IF($E$5:$E$26=$E8,K$5:K$26))</f>
        <v>0.51994666603000317</v>
      </c>
      <c r="W8" s="27">
        <f t="array" ref="W8">L8/MAX(IF($E$5:$E$26=$E8,L$5:L$26))</f>
        <v>0.82117466666205907</v>
      </c>
      <c r="X8" s="27">
        <f t="array" ref="X8">M8/MAX(IF($E$5:$E$26=$E8,M$5:M$26))</f>
        <v>0.99500414659819458</v>
      </c>
      <c r="Y8" s="27">
        <f t="array" ref="Y8">N8/MAX(IF($E$5:$E$26=$E8,N$5:N$26))</f>
        <v>1</v>
      </c>
      <c r="Z8" s="27">
        <f t="array" ref="Z8">IF(O8="NC","NC",IF(O8=0,0,IF(O8&gt;0,O8/MAX(IF($E$5:$E$26=$E8,$O$5:$O$26,"ERROR")))))</f>
        <v>0.48717948717948711</v>
      </c>
      <c r="AA8" s="28">
        <f t="array" ref="AA8">IF(P8=0,0,P8/MAX(IF($E$5:$E$26=$E8,$P$5:$P$26)))</f>
        <v>0.23235656458993309</v>
      </c>
      <c r="AB8" s="10">
        <f t="shared" si="1"/>
        <v>0.75961695170590471</v>
      </c>
      <c r="AC8" s="10">
        <f t="array" ref="AC8">SUM(IF($E$5:$E$26=$E8,$AB$5:$AB$26,"ERROR"))</f>
        <v>8.3188936271159335</v>
      </c>
      <c r="AD8" s="32">
        <f t="shared" si="2"/>
        <v>9.1312256864288732E-2</v>
      </c>
      <c r="AE8" s="11">
        <f>VLOOKUP(E8,Categorías!$A$35:$C$37,3,0)</f>
        <v>34678378</v>
      </c>
      <c r="AF8" s="11">
        <f t="shared" si="3"/>
        <v>3166560.9595728992</v>
      </c>
      <c r="AG8" s="87">
        <f t="shared" si="4"/>
        <v>3166561</v>
      </c>
      <c r="AH8" s="87">
        <f t="shared" si="5"/>
        <v>3166560</v>
      </c>
      <c r="AI8" s="18">
        <f t="array" ref="AI8">AG8/(SUM(IF($C$5:$C$26=$C8,$AG$5:$AG$26,0)))</f>
        <v>6.4165371107707619E-2</v>
      </c>
    </row>
    <row r="9" spans="1:35" x14ac:dyDescent="0.25">
      <c r="A9" s="21" t="str">
        <f>Valores!A8</f>
        <v>UNIVERSIDAD DE TALCA</v>
      </c>
      <c r="B9" s="22" t="str">
        <f>Valores!B8</f>
        <v>TAL</v>
      </c>
      <c r="C9" s="23" t="str">
        <f>Valores!C8</f>
        <v>CRUCH-ESTATAL</v>
      </c>
      <c r="D9" s="23" t="str">
        <f>Valores!D8</f>
        <v>Categoría I</v>
      </c>
      <c r="E9" s="23" t="str">
        <f t="shared" si="0"/>
        <v>CRUCH-ESTATALCategoría I</v>
      </c>
      <c r="F9" s="24">
        <f>IFERROR(Valores!E8/Valores!F8*100,0)</f>
        <v>4.1655952687066078</v>
      </c>
      <c r="G9" s="25">
        <f>IFERROR(Valores!G8/Valores!H8,0)</f>
        <v>0.48440508278783212</v>
      </c>
      <c r="H9" s="25">
        <f>IFERROR((Valores!G8+Valores!I8+Valores!J8)/(Valores!H8),0)</f>
        <v>0.96657681940700801</v>
      </c>
      <c r="I9" s="25">
        <f>IFERROR(Valores!K8/Valores!H8,0)</f>
        <v>1.1978436657681948</v>
      </c>
      <c r="J9" s="25">
        <f>IFERROR(Valores!K8/Valores!G8,0)</f>
        <v>2.4728139904610504</v>
      </c>
      <c r="K9" s="25">
        <f>IFERROR(Valores!L8/Valores!M8,0)</f>
        <v>8.5621906961398881</v>
      </c>
      <c r="L9" s="25">
        <f>IFERROR(Valores!N8/Valores!O8,0)</f>
        <v>0.743142144638404</v>
      </c>
      <c r="M9" s="25">
        <f>IFERROR(Valores!P8/Valores!Q8,0)</f>
        <v>0.83333333333333337</v>
      </c>
      <c r="N9" s="25">
        <f>IFERROR(Valores!R8/Valores!S8,0)</f>
        <v>0.7625725338491296</v>
      </c>
      <c r="O9" s="25">
        <f>IF(Valores!W8&gt;0,Valores!T8/Valores!W8,IF(AND(Valores!W8=0,OR(Valores!V8&gt;0,Valores!U8&gt;0)),0,IF(AND(Valores!V8=0,Valores!W8=0,Valores!U8=0),"NC",)))</f>
        <v>0.2</v>
      </c>
      <c r="P9" s="26">
        <f>IFERROR((Valores!X8+Valores!Y8)*1000/(Valores!H8),0)</f>
        <v>6.7770504428186404</v>
      </c>
      <c r="Q9" s="27">
        <f t="array" ref="Q9">F9/MAX(IF($E$5:$E$26=$E9,F$5:F$26))</f>
        <v>1</v>
      </c>
      <c r="R9" s="27">
        <f t="array" ref="R9">G9/MAX(IF($E$5:$E$26=$E9,G$5:G$26))</f>
        <v>0.86127512118232841</v>
      </c>
      <c r="S9" s="27">
        <f t="array" ref="S9">H9/MAX(IF($E$5:$E$26=$E9,H$5:H$26))</f>
        <v>1</v>
      </c>
      <c r="T9" s="27">
        <f t="array" ref="T9">I9/MAX(IF($E$5:$E$26=$E9,I$5:I$26))</f>
        <v>0.84382883934856001</v>
      </c>
      <c r="U9" s="27">
        <f t="array" ref="U9">J9/MAX(IF($E$5:$E$26=$E9,J$5:J$26))</f>
        <v>0.9797436598309972</v>
      </c>
      <c r="V9" s="27">
        <f t="array" ref="V9">K9/MAX(IF($E$5:$E$26=$E9,K$5:K$26))</f>
        <v>0.74777106363579438</v>
      </c>
      <c r="W9" s="27">
        <f t="array" ref="W9">L9/MAX(IF($E$5:$E$26=$E9,L$5:L$26))</f>
        <v>1</v>
      </c>
      <c r="X9" s="27">
        <f t="array" ref="X9">M9/MAX(IF($E$5:$E$26=$E9,M$5:M$26))</f>
        <v>0.91852064953330781</v>
      </c>
      <c r="Y9" s="27">
        <f t="array" ref="Y9">N9/MAX(IF($E$5:$E$26=$E9,N$5:N$26))</f>
        <v>0.95668190610163528</v>
      </c>
      <c r="Z9" s="27">
        <f t="array" ref="Z9">IF(O9="NC","NC",IF(O9=0,0,IF(O9&gt;0,O9/MAX(IF($E$5:$E$26=$E9,$O$5:$O$26,"ERROR")))))</f>
        <v>1</v>
      </c>
      <c r="AA9" s="28">
        <f t="array" ref="AA9">IF(P9=0,0,P9/MAX(IF($E$5:$E$26=$E9,$P$5:$P$26)))</f>
        <v>1</v>
      </c>
      <c r="AB9" s="10">
        <f t="shared" si="1"/>
        <v>0.93707465814842028</v>
      </c>
      <c r="AC9" s="10">
        <f t="array" ref="AC9">SUM(IF($E$5:$E$26=$E9,$AB$5:$AB$26,"ERROR"))</f>
        <v>2.5370850267108076</v>
      </c>
      <c r="AD9" s="32">
        <f t="shared" si="2"/>
        <v>0.3693509079446527</v>
      </c>
      <c r="AE9" s="11">
        <f>VLOOKUP(E9,Categorías!$A$35:$C$37,3,0)</f>
        <v>12004054</v>
      </c>
      <c r="AF9" s="11">
        <f t="shared" si="3"/>
        <v>4433708.2439166401</v>
      </c>
      <c r="AG9" s="87">
        <f t="shared" si="4"/>
        <v>4433708</v>
      </c>
      <c r="AH9" s="87">
        <f t="shared" si="5"/>
        <v>4433708</v>
      </c>
      <c r="AI9" s="18">
        <f t="array" ref="AI9">AG9/(SUM(IF($C$5:$C$26=$C9,$AG$5:$AG$26,0)))</f>
        <v>8.984210921665875E-2</v>
      </c>
    </row>
    <row r="10" spans="1:35" x14ac:dyDescent="0.25">
      <c r="A10" s="21" t="str">
        <f>Valores!A9</f>
        <v>UNIVERSIDAD DE TARAPACÁ</v>
      </c>
      <c r="B10" s="22" t="str">
        <f>Valores!B9</f>
        <v>UTA</v>
      </c>
      <c r="C10" s="23" t="str">
        <f>Valores!C9</f>
        <v>CRUCH-ESTATAL</v>
      </c>
      <c r="D10" s="23" t="str">
        <f>Valores!D9</f>
        <v>Categoría II</v>
      </c>
      <c r="E10" s="23" t="str">
        <f t="shared" si="0"/>
        <v>CRUCH-ESTATALCategoría II</v>
      </c>
      <c r="F10" s="24">
        <f>IFERROR(Valores!E9/Valores!F9*100,0)</f>
        <v>3.1587057010785826</v>
      </c>
      <c r="G10" s="25">
        <f>IFERROR(Valores!G9/Valores!H9,0)</f>
        <v>0.49599192072208548</v>
      </c>
      <c r="H10" s="25">
        <f>IFERROR((Valores!G9+Valores!I9+Valores!J9)/(Valores!H9),0)</f>
        <v>0.91169601716846549</v>
      </c>
      <c r="I10" s="25">
        <f>IFERROR(Valores!K9/Valores!H9,0)</f>
        <v>1.6496875591743989</v>
      </c>
      <c r="J10" s="25">
        <f>IFERROR(Valores!K9/Valores!G9,0)</f>
        <v>3.3260371595825911</v>
      </c>
      <c r="K10" s="25">
        <f>IFERROR(Valores!L9/Valores!M9,0)</f>
        <v>9.1164915486523519</v>
      </c>
      <c r="L10" s="25">
        <f>IFERROR(Valores!N9/Valores!O9,0)</f>
        <v>0.78354297693920338</v>
      </c>
      <c r="M10" s="25">
        <f>IFERROR(Valores!P9/Valores!Q9,0)</f>
        <v>0.87124681933842241</v>
      </c>
      <c r="N10" s="25">
        <f>IFERROR(Valores!R9/Valores!S9,0)</f>
        <v>0.734375</v>
      </c>
      <c r="O10" s="25">
        <f>IF(Valores!W9&gt;0,Valores!T9/Valores!W9,IF(AND(Valores!W9=0,OR(Valores!V9&gt;0,Valores!U9&gt;0)),0,IF(AND(Valores!V9=0,Valores!W9=0,Valores!U9=0),"NC",)))</f>
        <v>0.2</v>
      </c>
      <c r="P10" s="26">
        <f>IFERROR((Valores!X9+Valores!Y9)*1000/(Valores!H9),0)</f>
        <v>8.3317553493656504</v>
      </c>
      <c r="Q10" s="27">
        <f t="array" ref="Q10">F10/MAX(IF($E$5:$E$26=$E10,F$5:F$26))</f>
        <v>0.57875163803407115</v>
      </c>
      <c r="R10" s="27">
        <f t="array" ref="R10">G10/MAX(IF($E$5:$E$26=$E10,G$5:G$26))</f>
        <v>0.85156656569974121</v>
      </c>
      <c r="S10" s="27">
        <f t="array" ref="S10">H10/MAX(IF($E$5:$E$26=$E10,H$5:H$26))</f>
        <v>0.98124194555941147</v>
      </c>
      <c r="T10" s="27">
        <f t="array" ref="T10">I10/MAX(IF($E$5:$E$26=$E10,I$5:I$26))</f>
        <v>1</v>
      </c>
      <c r="U10" s="27">
        <f t="array" ref="U10">J10/MAX(IF($E$5:$E$26=$E10,J$5:J$26))</f>
        <v>1</v>
      </c>
      <c r="V10" s="27">
        <f t="array" ref="V10">K10/MAX(IF($E$5:$E$26=$E10,K$5:K$26))</f>
        <v>0.46092837411675613</v>
      </c>
      <c r="W10" s="27">
        <f t="array" ref="W10">L10/MAX(IF($E$5:$E$26=$E10,L$5:L$26))</f>
        <v>0.93312210010154906</v>
      </c>
      <c r="X10" s="27">
        <f t="array" ref="X10">M10/MAX(IF($E$5:$E$26=$E10,M$5:M$26))</f>
        <v>1</v>
      </c>
      <c r="Y10" s="27">
        <f t="array" ref="Y10">N10/MAX(IF($E$5:$E$26=$E10,N$5:N$26))</f>
        <v>0.96666735742705567</v>
      </c>
      <c r="Z10" s="27">
        <f t="array" ref="Z10">IF(O10="NC","NC",IF(O10=0,0,IF(O10&gt;0,O10/MAX(IF($E$5:$E$26=$E10,$O$5:$O$26,"ERROR")))))</f>
        <v>0.58461538461538465</v>
      </c>
      <c r="AA10" s="28">
        <f t="array" ref="AA10">IF(P10=0,0,P10/MAX(IF($E$5:$E$26=$E10,$P$5:$P$26)))</f>
        <v>1</v>
      </c>
      <c r="AB10" s="10">
        <f t="shared" si="1"/>
        <v>0.85062666959581534</v>
      </c>
      <c r="AC10" s="10">
        <f t="array" ref="AC10">SUM(IF($E$5:$E$26=$E10,$AB$5:$AB$26,"ERROR"))</f>
        <v>8.3188936271159335</v>
      </c>
      <c r="AD10" s="32">
        <f t="shared" si="2"/>
        <v>0.10225237967019396</v>
      </c>
      <c r="AE10" s="11">
        <f>VLOOKUP(E10,Categorías!$A$35:$C$37,3,0)</f>
        <v>34678378</v>
      </c>
      <c r="AF10" s="11">
        <f t="shared" si="3"/>
        <v>3545946.6736025014</v>
      </c>
      <c r="AG10" s="87">
        <f t="shared" si="4"/>
        <v>3545947</v>
      </c>
      <c r="AH10" s="87">
        <f t="shared" si="5"/>
        <v>3545946</v>
      </c>
      <c r="AI10" s="18">
        <f t="array" ref="AI10">AG10/(SUM(IF($C$5:$C$26=$C10,$AG$5:$AG$26,0)))</f>
        <v>7.1853030837954024E-2</v>
      </c>
    </row>
    <row r="11" spans="1:35" x14ac:dyDescent="0.25">
      <c r="A11" s="21" t="str">
        <f>Valores!A10</f>
        <v>UNIVERSIDAD DE VALPARAÍSO</v>
      </c>
      <c r="B11" s="22" t="str">
        <f>Valores!B10</f>
        <v>UVA</v>
      </c>
      <c r="C11" s="23" t="str">
        <f>Valores!C10</f>
        <v>CRUCH-ESTATAL</v>
      </c>
      <c r="D11" s="23" t="str">
        <f>Valores!D10</f>
        <v>Categoría II</v>
      </c>
      <c r="E11" s="23" t="str">
        <f t="shared" si="0"/>
        <v>CRUCH-ESTATALCategoría II</v>
      </c>
      <c r="F11" s="24">
        <f>IFERROR(Valores!E10/Valores!F10*100,0)</f>
        <v>3.3381450739805127</v>
      </c>
      <c r="G11" s="25">
        <f>IFERROR(Valores!G10/Valores!H10,0)</f>
        <v>0.3568684304988477</v>
      </c>
      <c r="H11" s="25">
        <f>IFERROR((Valores!G10+Valores!I10+Valores!J10)/(Valores!H10),0)</f>
        <v>0.84327109311679227</v>
      </c>
      <c r="I11" s="25">
        <f>IFERROR(Valores!K10/Valores!H10,0)</f>
        <v>0.7110123453031918</v>
      </c>
      <c r="J11" s="25">
        <f>IFERROR(Valores!K10/Valores!G10,0)</f>
        <v>1.9923654897389071</v>
      </c>
      <c r="K11" s="25">
        <f>IFERROR(Valores!L10/Valores!M10,0)</f>
        <v>9.662341982701264</v>
      </c>
      <c r="L11" s="25">
        <f>IFERROR(Valores!N10/Valores!O10,0)</f>
        <v>0.68422889043963708</v>
      </c>
      <c r="M11" s="25">
        <f>IFERROR(Valores!P10/Valores!Q10,0)</f>
        <v>0.84124152693542631</v>
      </c>
      <c r="N11" s="25">
        <f>IFERROR(Valores!R10/Valores!S10,0)</f>
        <v>0.70156159629843839</v>
      </c>
      <c r="O11" s="25">
        <f>IF(Valores!W10&gt;0,Valores!T10/Valores!W10,IF(AND(Valores!W10=0,OR(Valores!V10&gt;0,Valores!U10&gt;0)),0,IF(AND(Valores!V10=0,Valores!W10=0,Valores!U10=0),"NC",)))</f>
        <v>0.34210526315789475</v>
      </c>
      <c r="P11" s="26">
        <f>IFERROR((Valores!X10+Valores!Y10)*1000/(Valores!H10),0)</f>
        <v>1.1161889251227499</v>
      </c>
      <c r="Q11" s="27">
        <f t="array" ref="Q11">F11/MAX(IF($E$5:$E$26=$E11,F$5:F$26))</f>
        <v>0.61162929135876587</v>
      </c>
      <c r="R11" s="27">
        <f t="array" ref="R11">G11/MAX(IF($E$5:$E$26=$E11,G$5:G$26))</f>
        <v>0.61270599594472108</v>
      </c>
      <c r="S11" s="27">
        <f t="array" ref="S11">H11/MAX(IF($E$5:$E$26=$E11,H$5:H$26))</f>
        <v>0.907597436494048</v>
      </c>
      <c r="T11" s="27">
        <f t="array" ref="T11">I11/MAX(IF($E$5:$E$26=$E11,I$5:I$26))</f>
        <v>0.43099818589831906</v>
      </c>
      <c r="U11" s="27">
        <f t="array" ref="U11">J11/MAX(IF($E$5:$E$26=$E11,J$5:J$26))</f>
        <v>0.59902081490543047</v>
      </c>
      <c r="V11" s="27">
        <f t="array" ref="V11">K11/MAX(IF($E$5:$E$26=$E11,K$5:K$26))</f>
        <v>0.4885264859270263</v>
      </c>
      <c r="W11" s="27">
        <f t="array" ref="W11">L11/MAX(IF($E$5:$E$26=$E11,L$5:L$26))</f>
        <v>0.81484885703560705</v>
      </c>
      <c r="X11" s="27">
        <f t="array" ref="X11">M11/MAX(IF($E$5:$E$26=$E11,M$5:M$26))</f>
        <v>0.96556051426875744</v>
      </c>
      <c r="Y11" s="27">
        <f t="array" ref="Y11">N11/MAX(IF($E$5:$E$26=$E11,N$5:N$26))</f>
        <v>0.92347464764748022</v>
      </c>
      <c r="Z11" s="27">
        <f t="array" ref="Z11">IF(O11="NC","NC",IF(O11=0,0,IF(O11&gt;0,O11/MAX(IF($E$5:$E$26=$E11,$O$5:$O$26,"ERROR")))))</f>
        <v>1</v>
      </c>
      <c r="AA11" s="28">
        <f t="array" ref="AA11">IF(P11=0,0,P11/MAX(IF($E$5:$E$26=$E11,$P$5:$P$26)))</f>
        <v>0.13396803894484641</v>
      </c>
      <c r="AB11" s="10">
        <f t="shared" si="1"/>
        <v>0.68075729712954569</v>
      </c>
      <c r="AC11" s="10">
        <f t="array" ref="AC11">SUM(IF($E$5:$E$26=$E11,$AB$5:$AB$26,"ERROR"))</f>
        <v>8.3188936271159335</v>
      </c>
      <c r="AD11" s="32">
        <f t="shared" si="2"/>
        <v>8.1832672425402389E-2</v>
      </c>
      <c r="AE11" s="11">
        <f>VLOOKUP(E11,Categorías!$A$35:$C$37,3,0)</f>
        <v>34678378</v>
      </c>
      <c r="AF11" s="11">
        <f t="shared" si="3"/>
        <v>2837824.3471182808</v>
      </c>
      <c r="AG11" s="87">
        <f t="shared" si="4"/>
        <v>2837824</v>
      </c>
      <c r="AH11" s="87">
        <f t="shared" si="5"/>
        <v>2837824</v>
      </c>
      <c r="AI11" s="18">
        <f t="array" ref="AI11">AG11/(SUM(IF($C$5:$C$26=$C11,$AG$5:$AG$26,0)))</f>
        <v>5.7504033586707873E-2</v>
      </c>
    </row>
    <row r="12" spans="1:35" x14ac:dyDescent="0.25">
      <c r="A12" s="21" t="str">
        <f>Valores!A11</f>
        <v>UNIVERSIDAD DEL BÍO-BÍO</v>
      </c>
      <c r="B12" s="22" t="str">
        <f>Valores!B11</f>
        <v>UBB</v>
      </c>
      <c r="C12" s="23" t="str">
        <f>Valores!C11</f>
        <v>CRUCH-ESTATAL</v>
      </c>
      <c r="D12" s="23" t="str">
        <f>Valores!D11</f>
        <v>Categoría II</v>
      </c>
      <c r="E12" s="23" t="str">
        <f t="shared" si="0"/>
        <v>CRUCH-ESTATALCategoría II</v>
      </c>
      <c r="F12" s="24">
        <f>IFERROR(Valores!E11/Valores!F11*100,0)</f>
        <v>3.8927190179922646</v>
      </c>
      <c r="G12" s="25">
        <f>IFERROR(Valores!G11/Valores!H11,0)</f>
        <v>0.58244644717177652</v>
      </c>
      <c r="H12" s="25">
        <f>IFERROR((Valores!G11+Valores!I11+Valores!J11)/(Valores!H11),0)</f>
        <v>0.92912458674878862</v>
      </c>
      <c r="I12" s="25">
        <f>IFERROR(Valores!K11/Valores!H11,0)</f>
        <v>0.93455912322811452</v>
      </c>
      <c r="J12" s="25">
        <f>IFERROR(Valores!K11/Valores!G11,0)</f>
        <v>1.6045408599642328</v>
      </c>
      <c r="K12" s="25">
        <f>IFERROR(Valores!L11/Valores!M11,0)</f>
        <v>6.7445887445887447</v>
      </c>
      <c r="L12" s="25">
        <f>IFERROR(Valores!N11/Valores!O11,0)</f>
        <v>0.7933227344992051</v>
      </c>
      <c r="M12" s="25">
        <f>IFERROR(Valores!P11/Valores!Q11,0)</f>
        <v>0.86739826245999085</v>
      </c>
      <c r="N12" s="25">
        <f>IFERROR(Valores!R11/Valores!S11,0)</f>
        <v>0.71821164889253486</v>
      </c>
      <c r="O12" s="25">
        <f>IF(Valores!W11&gt;0,Valores!T11/Valores!W11,IF(AND(Valores!W11=0,OR(Valores!V11&gt;0,Valores!U11&gt;0)),0,IF(AND(Valores!V11=0,Valores!W11=0,Valores!U11=0),"NC",)))</f>
        <v>9.0909090909090912E-2</v>
      </c>
      <c r="P12" s="26">
        <f>IFERROR((Valores!X11+Valores!Y11)*1000/(Valores!H11),0)</f>
        <v>1.9926633757529093</v>
      </c>
      <c r="Q12" s="27">
        <f t="array" ref="Q12">F12/MAX(IF($E$5:$E$26=$E12,F$5:F$26))</f>
        <v>0.71324071353026497</v>
      </c>
      <c r="R12" s="27">
        <f t="array" ref="R12">G12/MAX(IF($E$5:$E$26=$E12,G$5:G$26))</f>
        <v>1</v>
      </c>
      <c r="S12" s="27">
        <f t="array" ref="S12">H12/MAX(IF($E$5:$E$26=$E12,H$5:H$26))</f>
        <v>1</v>
      </c>
      <c r="T12" s="27">
        <f t="array" ref="T12">I12/MAX(IF($E$5:$E$26=$E12,I$5:I$26))</f>
        <v>0.56650674124973288</v>
      </c>
      <c r="U12" s="27">
        <f t="array" ref="U12">J12/MAX(IF($E$5:$E$26=$E12,J$5:J$26))</f>
        <v>0.48241820009178682</v>
      </c>
      <c r="V12" s="27">
        <f t="array" ref="V12">K12/MAX(IF($E$5:$E$26=$E12,K$5:K$26))</f>
        <v>0.34100534262975529</v>
      </c>
      <c r="W12" s="27">
        <f t="array" ref="W12">L12/MAX(IF($E$5:$E$26=$E12,L$5:L$26))</f>
        <v>0.94476882297630582</v>
      </c>
      <c r="X12" s="27">
        <f t="array" ref="X12">M12/MAX(IF($E$5:$E$26=$E12,M$5:M$26))</f>
        <v>0.99558270194736098</v>
      </c>
      <c r="Y12" s="27">
        <f t="array" ref="Y12">N12/MAX(IF($E$5:$E$26=$E12,N$5:N$26))</f>
        <v>0.9453913282836085</v>
      </c>
      <c r="Z12" s="27">
        <f t="array" ref="Z12">IF(O12="NC","NC",IF(O12=0,0,IF(O12&gt;0,O12/MAX(IF($E$5:$E$26=$E12,$O$5:$O$26,"ERROR")))))</f>
        <v>0.26573426573426573</v>
      </c>
      <c r="AA12" s="28">
        <f t="array" ref="AA12">IF(P12=0,0,P12/MAX(IF($E$5:$E$26=$E12,$P$5:$P$26)))</f>
        <v>0.23916489289434351</v>
      </c>
      <c r="AB12" s="31">
        <f t="shared" si="1"/>
        <v>0.68125572812158408</v>
      </c>
      <c r="AC12" s="10">
        <f t="array" ref="AC12">SUM(IF($E$5:$E$26=$E12,$AB$5:$AB$26,"ERROR"))</f>
        <v>8.3188936271159335</v>
      </c>
      <c r="AD12" s="32">
        <f t="shared" si="2"/>
        <v>8.1892587963979982E-2</v>
      </c>
      <c r="AE12" s="11">
        <f>VLOOKUP(E12,Categorías!$A$35:$C$37,3,0)</f>
        <v>34678378</v>
      </c>
      <c r="AF12" s="11">
        <f t="shared" si="3"/>
        <v>2839902.1208131481</v>
      </c>
      <c r="AG12" s="87">
        <f t="shared" si="4"/>
        <v>2839902</v>
      </c>
      <c r="AH12" s="87">
        <f t="shared" si="5"/>
        <v>2839902</v>
      </c>
      <c r="AI12" s="18">
        <f t="array" ref="AI12">AG12/(SUM(IF($C$5:$C$26=$C12,$AG$5:$AG$26,0)))</f>
        <v>5.7546140983711067E-2</v>
      </c>
    </row>
    <row r="13" spans="1:35" x14ac:dyDescent="0.25">
      <c r="A13" s="21" t="str">
        <f>Valores!A12</f>
        <v>UNIVERSIDAD DE LA SERENA</v>
      </c>
      <c r="B13" s="22" t="str">
        <f>Valores!B12</f>
        <v>ULS</v>
      </c>
      <c r="C13" s="23" t="str">
        <f>Valores!C12</f>
        <v>CRUCH-ESTATAL</v>
      </c>
      <c r="D13" s="23" t="str">
        <f>Valores!D12</f>
        <v>Categoría II</v>
      </c>
      <c r="E13" s="23" t="str">
        <f t="shared" si="0"/>
        <v>CRUCH-ESTATALCategoría II</v>
      </c>
      <c r="F13" s="24">
        <f>IFERROR(Valores!E12/Valores!F12*100,0)</f>
        <v>2.6027573766267231</v>
      </c>
      <c r="G13" s="25">
        <f>IFERROR(Valores!G12/Valores!H12,0)</f>
        <v>0.38042441368635105</v>
      </c>
      <c r="H13" s="25">
        <f>IFERROR((Valores!G12+Valores!I12+Valores!J12)/(Valores!H12),0)</f>
        <v>0.62733310534746811</v>
      </c>
      <c r="I13" s="25">
        <f>IFERROR(Valores!K12/Valores!H12,0)</f>
        <v>0.8553069709677994</v>
      </c>
      <c r="J13" s="25">
        <f>IFERROR(Valores!K12/Valores!G12,0)</f>
        <v>2.2482967448902356</v>
      </c>
      <c r="K13" s="25">
        <f>IFERROR(Valores!L12/Valores!M12,0)</f>
        <v>15.84308943089431</v>
      </c>
      <c r="L13" s="25">
        <f>IFERROR(Valores!N12/Valores!O12,0)</f>
        <v>0.6803030303030303</v>
      </c>
      <c r="M13" s="25">
        <f>IFERROR(Valores!P12/Valores!Q12,0)</f>
        <v>0.85167130919220058</v>
      </c>
      <c r="N13" s="25">
        <f>IFERROR(Valores!R12/Valores!S12,0)</f>
        <v>0.68523676880222839</v>
      </c>
      <c r="O13" s="25">
        <f>IF(Valores!W12&gt;0,Valores!T12/Valores!W12,IF(AND(Valores!W12=0,OR(Valores!V12&gt;0,Valores!U12&gt;0)),0,IF(AND(Valores!V12=0,Valores!W12=0,Valores!U12=0),"NC",)))</f>
        <v>0</v>
      </c>
      <c r="P13" s="26">
        <f>IFERROR((Valores!X12+Valores!Y12)*1000/(Valores!H12),0)</f>
        <v>0</v>
      </c>
      <c r="Q13" s="27">
        <f t="array" ref="Q13">F13/MAX(IF($E$5:$E$26=$E13,F$5:F$26))</f>
        <v>0.47688839596978416</v>
      </c>
      <c r="R13" s="27">
        <f t="array" ref="R13">G13/MAX(IF($E$5:$E$26=$E13,G$5:G$26))</f>
        <v>0.65314917025179375</v>
      </c>
      <c r="S13" s="27">
        <f t="array" ref="S13">H13/MAX(IF($E$5:$E$26=$E13,H$5:H$26))</f>
        <v>0.6751872830560266</v>
      </c>
      <c r="T13" s="27">
        <f t="array" ref="T13">I13/MAX(IF($E$5:$E$26=$E13,I$5:I$26))</f>
        <v>0.51846603692389215</v>
      </c>
      <c r="U13" s="27">
        <f t="array" ref="U13">J13/MAX(IF($E$5:$E$26=$E13,J$5:J$26))</f>
        <v>0.67596861881494763</v>
      </c>
      <c r="V13" s="27">
        <f t="array" ref="V13">K13/MAX(IF($E$5:$E$26=$E13,K$5:K$26))</f>
        <v>0.80102410158521742</v>
      </c>
      <c r="W13" s="27">
        <f t="array" ref="W13">L13/MAX(IF($E$5:$E$26=$E13,L$5:L$26))</f>
        <v>0.8101735463466061</v>
      </c>
      <c r="X13" s="27">
        <f t="array" ref="X13">M13/MAX(IF($E$5:$E$26=$E13,M$5:M$26))</f>
        <v>0.97753161364642183</v>
      </c>
      <c r="Y13" s="27">
        <f t="array" ref="Y13">N13/MAX(IF($E$5:$E$26=$E13,N$5:N$26))</f>
        <v>0.90198606503476353</v>
      </c>
      <c r="Z13" s="27">
        <f t="array" ref="Z13">IF(O13="NC","NC",IF(O13=0,0,IF(O13&gt;0,O13/MAX(IF($E$5:$E$26=$E13,$O$5:$O$26,"ERROR")))))</f>
        <v>0</v>
      </c>
      <c r="AA13" s="28">
        <f t="array" ref="AA13">IF(P13=0,0,P13/MAX(IF($E$5:$E$26=$E13,$P$5:$P$26)))</f>
        <v>0</v>
      </c>
      <c r="AB13" s="10">
        <f t="shared" si="1"/>
        <v>0.59003407560267751</v>
      </c>
      <c r="AC13" s="10">
        <f t="array" ref="AC13">SUM(IF($E$5:$E$26=$E13,$AB$5:$AB$26,"ERROR"))</f>
        <v>8.3188936271159335</v>
      </c>
      <c r="AD13" s="32">
        <f t="shared" si="2"/>
        <v>7.09269888581609E-2</v>
      </c>
      <c r="AE13" s="11">
        <f>VLOOKUP(E13,Categorías!$A$35:$C$37,3,0)</f>
        <v>34678378</v>
      </c>
      <c r="AF13" s="11">
        <f t="shared" si="3"/>
        <v>2459632.9300250919</v>
      </c>
      <c r="AG13" s="87">
        <f t="shared" si="4"/>
        <v>2459633</v>
      </c>
      <c r="AH13" s="87">
        <f t="shared" si="5"/>
        <v>2459632</v>
      </c>
      <c r="AI13" s="18">
        <f t="array" ref="AI13">AG13/(SUM(IF($C$5:$C$26=$C13,$AG$5:$AG$26,0)))</f>
        <v>4.9840588649252053E-2</v>
      </c>
    </row>
    <row r="14" spans="1:35" x14ac:dyDescent="0.25">
      <c r="A14" s="21" t="str">
        <f>Valores!A13</f>
        <v>UNIVERSIDAD DE PLAYA ANCHA CS. EDUCACIÓN</v>
      </c>
      <c r="B14" s="22" t="str">
        <f>Valores!B13</f>
        <v>UPA</v>
      </c>
      <c r="C14" s="23" t="str">
        <f>Valores!C13</f>
        <v>CRUCH-ESTATAL</v>
      </c>
      <c r="D14" s="23" t="str">
        <f>Valores!D13</f>
        <v>Categoría II</v>
      </c>
      <c r="E14" s="23" t="str">
        <f t="shared" si="0"/>
        <v>CRUCH-ESTATALCategoría II</v>
      </c>
      <c r="F14" s="24">
        <f>IFERROR(Valores!E13/Valores!F13*100,0)</f>
        <v>4.3440983138039435</v>
      </c>
      <c r="G14" s="25">
        <f>IFERROR(Valores!G13/Valores!H13,0)</f>
        <v>0.33105410261529272</v>
      </c>
      <c r="H14" s="25">
        <f>IFERROR((Valores!G13+Valores!I13+Valores!J13)/(Valores!H13),0)</f>
        <v>0.76781792773008628</v>
      </c>
      <c r="I14" s="25">
        <f>IFERROR(Valores!K13/Valores!H13,0)</f>
        <v>0.3008584547813935</v>
      </c>
      <c r="J14" s="25">
        <f>IFERROR(Valores!K13/Valores!G13,0)</f>
        <v>0.908789386401326</v>
      </c>
      <c r="K14" s="25">
        <f>IFERROR(Valores!L13/Valores!M13,0)</f>
        <v>5.0354523227383865</v>
      </c>
      <c r="L14" s="25">
        <f>IFERROR(Valores!N13/Valores!O13,0)</f>
        <v>0.823327615780446</v>
      </c>
      <c r="M14" s="25">
        <f>IFERROR(Valores!P13/Valores!Q13,0)</f>
        <v>0.84094151212553492</v>
      </c>
      <c r="N14" s="25">
        <f>IFERROR(Valores!R13/Valores!S13,0)</f>
        <v>0.7062359128474831</v>
      </c>
      <c r="O14" s="25">
        <f>IF(Valores!W13&gt;0,Valores!T13/Valores!W13,IF(AND(Valores!W13=0,OR(Valores!V13&gt;0,Valores!U13&gt;0)),0,IF(AND(Valores!V13=0,Valores!W13=0,Valores!U13=0),"NC",)))</f>
        <v>0.22222222222222221</v>
      </c>
      <c r="P14" s="26">
        <f>IFERROR((Valores!X13+Valores!Y13)*1000/(Valores!H13),0)</f>
        <v>0</v>
      </c>
      <c r="Q14" s="27">
        <f t="array" ref="Q14">F14/MAX(IF($E$5:$E$26=$E14,F$5:F$26))</f>
        <v>0.79594436861800288</v>
      </c>
      <c r="R14" s="27">
        <f t="array" ref="R14">G14/MAX(IF($E$5:$E$26=$E14,G$5:G$26))</f>
        <v>0.56838547856685173</v>
      </c>
      <c r="S14" s="27">
        <f t="array" ref="S14">H14/MAX(IF($E$5:$E$26=$E14,H$5:H$26))</f>
        <v>0.82638855830610425</v>
      </c>
      <c r="T14" s="27">
        <f t="array" ref="T14">I14/MAX(IF($E$5:$E$26=$E14,I$5:I$26))</f>
        <v>0.18237299124202697</v>
      </c>
      <c r="U14" s="27">
        <f t="array" ref="U14">J14/MAX(IF($E$5:$E$26=$E14,J$5:J$26))</f>
        <v>0.27323488668279844</v>
      </c>
      <c r="V14" s="27">
        <f t="array" ref="V14">K14/MAX(IF($E$5:$E$26=$E14,K$5:K$26))</f>
        <v>0.25459167484286732</v>
      </c>
      <c r="W14" s="27">
        <f t="array" ref="W14">L14/MAX(IF($E$5:$E$26=$E14,L$5:L$26))</f>
        <v>0.98050166553692719</v>
      </c>
      <c r="X14" s="27">
        <f t="array" ref="X14">M14/MAX(IF($E$5:$E$26=$E14,M$5:M$26))</f>
        <v>0.96521616315810521</v>
      </c>
      <c r="Y14" s="27">
        <f t="array" ref="Y14">N14/MAX(IF($E$5:$E$26=$E14,N$5:N$26))</f>
        <v>0.92962751127470422</v>
      </c>
      <c r="Z14" s="27">
        <f t="array" ref="Z14">IF(O14="NC","NC",IF(O14=0,0,IF(O14&gt;0,O14/MAX(IF($E$5:$E$26=$E14,$O$5:$O$26,"ERROR")))))</f>
        <v>0.64957264957264949</v>
      </c>
      <c r="AA14" s="28">
        <f t="array" ref="AA14">IF(P14=0,0,P14/MAX(IF($E$5:$E$26=$E14,$P$5:$P$26)))</f>
        <v>0</v>
      </c>
      <c r="AB14" s="10">
        <f t="shared" si="1"/>
        <v>0.58416690434554897</v>
      </c>
      <c r="AC14" s="10">
        <f t="array" ref="AC14">SUM(IF($E$5:$E$26=$E14,$AB$5:$AB$26,"ERROR"))</f>
        <v>8.3188936271159335</v>
      </c>
      <c r="AD14" s="32">
        <f t="shared" si="2"/>
        <v>7.0221706218411284E-2</v>
      </c>
      <c r="AE14" s="11">
        <f>VLOOKUP(E14,Categorías!$A$35:$C$37,3,0)</f>
        <v>34678378</v>
      </c>
      <c r="AF14" s="11">
        <f t="shared" si="3"/>
        <v>2435174.8720470169</v>
      </c>
      <c r="AG14" s="87">
        <f t="shared" si="4"/>
        <v>2435175</v>
      </c>
      <c r="AH14" s="87">
        <f t="shared" si="5"/>
        <v>2435174</v>
      </c>
      <c r="AI14" s="18">
        <f t="array" ref="AI14">AG14/(SUM(IF($C$5:$C$26=$C14,$AG$5:$AG$26,0)))</f>
        <v>4.9344985802330009E-2</v>
      </c>
    </row>
    <row r="15" spans="1:35" x14ac:dyDescent="0.25">
      <c r="A15" s="21" t="str">
        <f>Valores!A14</f>
        <v>UNIVERSIDAD ARTURO PRAT</v>
      </c>
      <c r="B15" s="22" t="str">
        <f>Valores!B14</f>
        <v>UAP</v>
      </c>
      <c r="C15" s="23" t="str">
        <f>Valores!C14</f>
        <v>CRUCH-ESTATAL</v>
      </c>
      <c r="D15" s="23" t="str">
        <f>Valores!D14</f>
        <v>Categoría II</v>
      </c>
      <c r="E15" s="23" t="str">
        <f t="shared" si="0"/>
        <v>CRUCH-ESTATALCategoría II</v>
      </c>
      <c r="F15" s="24">
        <f>IFERROR(Valores!E14/Valores!F14*100,0)</f>
        <v>2.5895638629283488</v>
      </c>
      <c r="G15" s="25">
        <f>IFERROR(Valores!G14/Valores!H14,0)</f>
        <v>0.25447591596918123</v>
      </c>
      <c r="H15" s="25">
        <f>IFERROR((Valores!G14+Valores!I14+Valores!J14)/(Valores!H14),0)</f>
        <v>0.69164680450085925</v>
      </c>
      <c r="I15" s="25">
        <f>IFERROR(Valores!K14/Valores!H14,0)</f>
        <v>0.40973338506734641</v>
      </c>
      <c r="J15" s="25">
        <f>IFERROR(Valores!K14/Valores!G14,0)</f>
        <v>1.6101067305597907</v>
      </c>
      <c r="K15" s="25">
        <f>IFERROR(Valores!L14/Valores!M14,0)</f>
        <v>7.4157608695652177</v>
      </c>
      <c r="L15" s="25">
        <f>IFERROR(Valores!N14/Valores!O14,0)</f>
        <v>0.71577726218097448</v>
      </c>
      <c r="M15" s="25">
        <f>IFERROR(Valores!P14/Valores!Q14,0)</f>
        <v>0.77107061503416852</v>
      </c>
      <c r="N15" s="25">
        <f>IFERROR(Valores!R14/Valores!S14,0)</f>
        <v>0.60391822827938668</v>
      </c>
      <c r="O15" s="25" t="str">
        <f>IF(Valores!W14&gt;0,Valores!T14/Valores!W14,IF(AND(Valores!W14=0,OR(Valores!V14&gt;0,Valores!U14&gt;0)),0,IF(AND(Valores!V14=0,Valores!W14=0,Valores!U14=0),"NC",)))</f>
        <v>NC</v>
      </c>
      <c r="P15" s="26">
        <f>IFERROR((Valores!X14+Valores!Y14)*1000/(Valores!H14),0)</f>
        <v>0</v>
      </c>
      <c r="Q15" s="27">
        <f t="array" ref="Q15">F15/MAX(IF($E$5:$E$26=$E15,F$5:F$26))</f>
        <v>0.47447102367018951</v>
      </c>
      <c r="R15" s="27">
        <f t="array" ref="R15">G15/MAX(IF($E$5:$E$26=$E15,G$5:G$26))</f>
        <v>0.43690869298775303</v>
      </c>
      <c r="S15" s="27">
        <f t="array" ref="S15">H15/MAX(IF($E$5:$E$26=$E15,H$5:H$26))</f>
        <v>0.7444069550684087</v>
      </c>
      <c r="T15" s="27">
        <f t="array" ref="T15">I15/MAX(IF($E$5:$E$26=$E15,I$5:I$26))</f>
        <v>0.2483702945983306</v>
      </c>
      <c r="U15" s="27">
        <f t="array" ref="U15">J15/MAX(IF($E$5:$E$26=$E15,J$5:J$26))</f>
        <v>0.48409162414825663</v>
      </c>
      <c r="V15" s="27">
        <f t="array" ref="V15">K15/MAX(IF($E$5:$E$26=$E15,K$5:K$26))</f>
        <v>0.37493969935754989</v>
      </c>
      <c r="W15" s="27">
        <f t="array" ref="W15">L15/MAX(IF($E$5:$E$26=$E15,L$5:L$26))</f>
        <v>0.85241984389973324</v>
      </c>
      <c r="X15" s="27">
        <f t="array" ref="X15">M15/MAX(IF($E$5:$E$26=$E15,M$5:M$26))</f>
        <v>0.88501971877461516</v>
      </c>
      <c r="Y15" s="27">
        <f t="array" ref="Y15">N15/MAX(IF($E$5:$E$26=$E15,N$5:N$26))</f>
        <v>0.79494541321921919</v>
      </c>
      <c r="Z15" s="27" t="str">
        <f t="array" ref="Z15">IF(O15="NC","NC",IF(O15=0,0,IF(O15&gt;0,O15/MAX(IF($E$5:$E$26=$E15,$O$5:$O$26,"ERROR")))))</f>
        <v>NC</v>
      </c>
      <c r="AA15" s="28">
        <f t="array" ref="AA15">IF(P15=0,0,P15/MAX(IF($E$5:$E$26=$E15,$P$5:$P$26)))</f>
        <v>0</v>
      </c>
      <c r="AB15" s="10">
        <f t="shared" si="1"/>
        <v>0.52955732657240551</v>
      </c>
      <c r="AC15" s="10">
        <f t="array" ref="AC15">SUM(IF($E$5:$E$26=$E15,$AB$5:$AB$26,"ERROR"))</f>
        <v>8.3188936271159335</v>
      </c>
      <c r="AD15" s="32">
        <f t="shared" si="2"/>
        <v>6.365718210968363E-2</v>
      </c>
      <c r="AE15" s="11">
        <f>VLOOKUP(E15,Categorías!$A$35:$C$37,3,0)</f>
        <v>34678378</v>
      </c>
      <c r="AF15" s="11">
        <f t="shared" si="3"/>
        <v>2207527.8236144464</v>
      </c>
      <c r="AG15" s="87">
        <f t="shared" si="4"/>
        <v>2207528</v>
      </c>
      <c r="AH15" s="87">
        <f t="shared" si="5"/>
        <v>2207527</v>
      </c>
      <c r="AI15" s="18">
        <f t="array" ref="AI15">AG15/(SUM(IF($C$5:$C$26=$C15,$AG$5:$AG$26,0)))</f>
        <v>4.4732077907438259E-2</v>
      </c>
    </row>
    <row r="16" spans="1:35" x14ac:dyDescent="0.25">
      <c r="A16" s="21" t="str">
        <f>Valores!A15</f>
        <v>UNIVERSIDAD DE ATACAMA</v>
      </c>
      <c r="B16" s="22" t="str">
        <f>Valores!B15</f>
        <v>ATA</v>
      </c>
      <c r="C16" s="23" t="str">
        <f>Valores!C15</f>
        <v>CRUCH-ESTATAL</v>
      </c>
      <c r="D16" s="23" t="str">
        <f>Valores!D15</f>
        <v>Categoría II</v>
      </c>
      <c r="E16" s="23" t="str">
        <f t="shared" si="0"/>
        <v>CRUCH-ESTATALCategoría II</v>
      </c>
      <c r="F16" s="24">
        <f>IFERROR(Valores!E15/Valores!F15*100,0)</f>
        <v>4.5906356264713573</v>
      </c>
      <c r="G16" s="25">
        <f>IFERROR(Valores!G15/Valores!H15,0)</f>
        <v>0.28114052039047988</v>
      </c>
      <c r="H16" s="25">
        <f>IFERROR((Valores!G15+Valores!I15+Valores!J15)/(Valores!H15),0)</f>
        <v>0.59737685297161169</v>
      </c>
      <c r="I16" s="25">
        <f>IFERROR(Valores!K15/Valores!H15,0)</f>
        <v>0.61713772768641928</v>
      </c>
      <c r="J16" s="25">
        <f>IFERROR(Valores!K15/Valores!G15,0)</f>
        <v>2.1951219512195124</v>
      </c>
      <c r="K16" s="25">
        <f>IFERROR(Valores!L15/Valores!M15,0)</f>
        <v>10.393410852713178</v>
      </c>
      <c r="L16" s="25">
        <f>IFERROR(Valores!N15/Valores!O15,0)</f>
        <v>0.67701863354037262</v>
      </c>
      <c r="M16" s="25">
        <f>IFERROR(Valores!P15/Valores!Q15,0)</f>
        <v>0.84881209503239741</v>
      </c>
      <c r="N16" s="25">
        <f>IFERROR(Valores!R15/Valores!S15,0)</f>
        <v>0.63047445255474455</v>
      </c>
      <c r="O16" s="25">
        <f>IF(Valores!W15&gt;0,Valores!T15/Valores!W15,IF(AND(Valores!W15=0,OR(Valores!V15&gt;0,Valores!U15&gt;0)),0,IF(AND(Valores!V15=0,Valores!W15=0,Valores!U15=0),"NC",)))</f>
        <v>0.25</v>
      </c>
      <c r="P16" s="26">
        <f>IFERROR((Valores!X15+Valores!Y15)*1000/(Valores!H15),0)</f>
        <v>0</v>
      </c>
      <c r="Q16" s="27">
        <f t="array" ref="Q16">F16/MAX(IF($E$5:$E$26=$E16,F$5:F$26))</f>
        <v>0.84111599492496225</v>
      </c>
      <c r="R16" s="27">
        <f t="array" ref="R16">G16/MAX(IF($E$5:$E$26=$E16,G$5:G$26))</f>
        <v>0.48268904678813368</v>
      </c>
      <c r="S16" s="27">
        <f t="array" ref="S16">H16/MAX(IF($E$5:$E$26=$E16,H$5:H$26))</f>
        <v>0.64294591004416835</v>
      </c>
      <c r="T16" s="27">
        <f t="array" ref="T16">I16/MAX(IF($E$5:$E$26=$E16,I$5:I$26))</f>
        <v>0.37409370292837235</v>
      </c>
      <c r="U16" s="27">
        <f t="array" ref="U16">J16/MAX(IF($E$5:$E$26=$E16,J$5:J$26))</f>
        <v>0.6599811865887254</v>
      </c>
      <c r="V16" s="27">
        <f t="array" ref="V16">K16/MAX(IF($E$5:$E$26=$E16,K$5:K$26))</f>
        <v>0.52548921263210158</v>
      </c>
      <c r="W16" s="27">
        <f t="array" ref="W16">L16/MAX(IF($E$5:$E$26=$E16,L$5:L$26))</f>
        <v>0.80626215501908782</v>
      </c>
      <c r="X16" s="27">
        <f t="array" ref="X16">M16/MAX(IF($E$5:$E$26=$E16,M$5:M$26))</f>
        <v>0.97424986374921785</v>
      </c>
      <c r="Y16" s="27">
        <f t="array" ref="Y16">N16/MAX(IF($E$5:$E$26=$E16,N$5:N$26))</f>
        <v>0.82990171639334742</v>
      </c>
      <c r="Z16" s="27">
        <f t="array" ref="Z16">IF(O16="NC","NC",IF(O16=0,0,IF(O16&gt;0,O16/MAX(IF($E$5:$E$26=$E16,$O$5:$O$26,"ERROR")))))</f>
        <v>0.73076923076923073</v>
      </c>
      <c r="AA16" s="28">
        <f t="array" ref="AA16">IF(P16=0,0,P16/MAX(IF($E$5:$E$26=$E16,$P$5:$P$26)))</f>
        <v>0</v>
      </c>
      <c r="AB16" s="10">
        <f t="shared" si="1"/>
        <v>0.62431800180339525</v>
      </c>
      <c r="AC16" s="10">
        <f t="array" ref="AC16">SUM(IF($E$5:$E$26=$E16,$AB$5:$AB$26,"ERROR"))</f>
        <v>8.3188936271159335</v>
      </c>
      <c r="AD16" s="32">
        <f t="shared" si="2"/>
        <v>7.5048201093519604E-2</v>
      </c>
      <c r="AE16" s="11">
        <f>VLOOKUP(E16,Categorías!$A$35:$C$37,3,0)</f>
        <v>34678378</v>
      </c>
      <c r="AF16" s="11">
        <f t="shared" si="3"/>
        <v>2602549.8857410862</v>
      </c>
      <c r="AG16" s="87">
        <f t="shared" si="4"/>
        <v>2602550</v>
      </c>
      <c r="AH16" s="87">
        <f t="shared" si="5"/>
        <v>2602549</v>
      </c>
      <c r="AI16" s="18">
        <f t="array" ref="AI16">AG16/(SUM(IF($C$5:$C$26=$C16,$AG$5:$AG$26,0)))</f>
        <v>5.2736576549879968E-2</v>
      </c>
    </row>
    <row r="17" spans="1:35" x14ac:dyDescent="0.25">
      <c r="A17" s="21" t="str">
        <f>Valores!A16</f>
        <v>UNIVERSIDAD DE LOS LAGOS</v>
      </c>
      <c r="B17" s="22" t="str">
        <f>Valores!B16</f>
        <v>ULA</v>
      </c>
      <c r="C17" s="23" t="str">
        <f>Valores!C16</f>
        <v>CRUCH-ESTATAL</v>
      </c>
      <c r="D17" s="23" t="str">
        <f>Valores!D16</f>
        <v>Categoría II</v>
      </c>
      <c r="E17" s="23" t="str">
        <f t="shared" si="0"/>
        <v>CRUCH-ESTATALCategoría II</v>
      </c>
      <c r="F17" s="24">
        <f>IFERROR(Valores!E16/Valores!F16*100,0)</f>
        <v>4.014179960379523</v>
      </c>
      <c r="G17" s="25">
        <f>IFERROR(Valores!G16/Valores!H16,0)</f>
        <v>0.30398653360805256</v>
      </c>
      <c r="H17" s="25">
        <f>IFERROR((Valores!G16+Valores!I16+Valores!J16)/(Valores!H16),0)</f>
        <v>0.74551972140379386</v>
      </c>
      <c r="I17" s="25">
        <f>IFERROR(Valores!K16/Valores!H16,0)</f>
        <v>0.50576206193904238</v>
      </c>
      <c r="J17" s="25">
        <f>IFERROR(Valores!K16/Valores!G16,0)</f>
        <v>1.6637646935740604</v>
      </c>
      <c r="K17" s="25">
        <f>IFERROR(Valores!L16/Valores!M16,0)</f>
        <v>7.8480594549958713</v>
      </c>
      <c r="L17" s="25">
        <f>IFERROR(Valores!N16/Valores!O16,0)</f>
        <v>0.83970037453183521</v>
      </c>
      <c r="M17" s="25">
        <f>IFERROR(Valores!P16/Valores!Q16,0)</f>
        <v>0.85542168674698793</v>
      </c>
      <c r="N17" s="25">
        <f>IFERROR(Valores!R16/Valores!S16,0)</f>
        <v>0.72393961179007904</v>
      </c>
      <c r="O17" s="25">
        <f>IF(Valores!W16&gt;0,Valores!T16/Valores!W16,IF(AND(Valores!W16=0,OR(Valores!V16&gt;0,Valores!U16&gt;0)),0,IF(AND(Valores!V16=0,Valores!W16=0,Valores!U16=0),"NC",)))</f>
        <v>0.21428571428571427</v>
      </c>
      <c r="P17" s="26">
        <f>IFERROR((Valores!X16+Valores!Y16)*1000/(Valores!H16),0)</f>
        <v>0</v>
      </c>
      <c r="Q17" s="27">
        <f t="array" ref="Q17">F17/MAX(IF($E$5:$E$26=$E17,F$5:F$26))</f>
        <v>0.7354953095629958</v>
      </c>
      <c r="R17" s="27">
        <f t="array" ref="R17">G17/MAX(IF($E$5:$E$26=$E17,G$5:G$26))</f>
        <v>0.52191327646368169</v>
      </c>
      <c r="S17" s="27">
        <f t="array" ref="S17">H17/MAX(IF($E$5:$E$26=$E17,H$5:H$26))</f>
        <v>0.80238940184817564</v>
      </c>
      <c r="T17" s="27">
        <f t="array" ref="T17">I17/MAX(IF($E$5:$E$26=$E17,I$5:I$26))</f>
        <v>0.30658051527778724</v>
      </c>
      <c r="U17" s="27">
        <f t="array" ref="U17">J17/MAX(IF($E$5:$E$26=$E17,J$5:J$26))</f>
        <v>0.50022432514940951</v>
      </c>
      <c r="V17" s="27">
        <f t="array" ref="V17">K17/MAX(IF($E$5:$E$26=$E17,K$5:K$26))</f>
        <v>0.39679664762017186</v>
      </c>
      <c r="W17" s="27">
        <f t="array" ref="W17">L17/MAX(IF($E$5:$E$26=$E17,L$5:L$26))</f>
        <v>1</v>
      </c>
      <c r="X17" s="27">
        <f t="array" ref="X17">M17/MAX(IF($E$5:$E$26=$E17,M$5:M$26))</f>
        <v>0.98183622339826593</v>
      </c>
      <c r="Y17" s="27">
        <f t="array" ref="Y17">N17/MAX(IF($E$5:$E$26=$E17,N$5:N$26))</f>
        <v>0.95293112029397009</v>
      </c>
      <c r="Z17" s="27">
        <f t="array" ref="Z17">IF(O17="NC","NC",IF(O17=0,0,IF(O17&gt;0,O17/MAX(IF($E$5:$E$26=$E17,$O$5:$O$26,"ERROR")))))</f>
        <v>0.62637362637362637</v>
      </c>
      <c r="AA17" s="28">
        <f t="array" ref="AA17">IF(P17=0,0,P17/MAX(IF($E$5:$E$26=$E17,$P$5:$P$26)))</f>
        <v>0</v>
      </c>
      <c r="AB17" s="10">
        <f t="shared" si="1"/>
        <v>0.62041276781709864</v>
      </c>
      <c r="AC17" s="10">
        <f t="array" ref="AC17">SUM(IF($E$5:$E$26=$E17,$AB$5:$AB$26,"ERROR"))</f>
        <v>8.3188936271159335</v>
      </c>
      <c r="AD17" s="32">
        <f t="shared" si="2"/>
        <v>7.4578759583465035E-2</v>
      </c>
      <c r="AE17" s="11">
        <f>VLOOKUP(E17,Categorías!$A$35:$C$37,3,0)</f>
        <v>34678378</v>
      </c>
      <c r="AF17" s="11">
        <f t="shared" si="3"/>
        <v>2586270.4156065229</v>
      </c>
      <c r="AG17" s="87">
        <f t="shared" si="4"/>
        <v>2586270</v>
      </c>
      <c r="AH17" s="87">
        <f t="shared" si="5"/>
        <v>2586270</v>
      </c>
      <c r="AI17" s="18">
        <f t="array" ref="AI17">AG17/(SUM(IF($C$5:$C$26=$C17,$AG$5:$AG$26,0)))</f>
        <v>5.2406687992030153E-2</v>
      </c>
    </row>
    <row r="18" spans="1:35" x14ac:dyDescent="0.25">
      <c r="A18" s="21" t="str">
        <f>Valores!A17</f>
        <v>UNIVERSIDAD DE MAGALLANES</v>
      </c>
      <c r="B18" s="22" t="str">
        <f>Valores!B17</f>
        <v>MAG</v>
      </c>
      <c r="C18" s="23" t="str">
        <f>Valores!C17</f>
        <v>CRUCH-ESTATAL</v>
      </c>
      <c r="D18" s="23" t="str">
        <f>Valores!D17</f>
        <v>Categoría II</v>
      </c>
      <c r="E18" s="23" t="str">
        <f t="shared" si="0"/>
        <v>CRUCH-ESTATALCategoría II</v>
      </c>
      <c r="F18" s="24">
        <f>IFERROR(Valores!E17/Valores!F17*100,0)</f>
        <v>5.4577913797500637</v>
      </c>
      <c r="G18" s="25">
        <f>IFERROR(Valores!G17/Valores!H17,0)</f>
        <v>0.32022451543346553</v>
      </c>
      <c r="H18" s="25">
        <f>IFERROR((Valores!G17+Valores!I17+Valores!J17)/(Valores!H17),0)</f>
        <v>0.60185709129253961</v>
      </c>
      <c r="I18" s="25">
        <f>IFERROR(Valores!K17/Valores!H17,0)</f>
        <v>0.56176144683520524</v>
      </c>
      <c r="J18" s="25">
        <f>IFERROR(Valores!K17/Valores!G17,0)</f>
        <v>1.7542737041065957</v>
      </c>
      <c r="K18" s="25">
        <f>IFERROR(Valores!L17/Valores!M17,0)</f>
        <v>12.515113350125944</v>
      </c>
      <c r="L18" s="25">
        <f>IFERROR(Valores!N17/Valores!O17,0)</f>
        <v>0.53424657534246578</v>
      </c>
      <c r="M18" s="25">
        <f>IFERROR(Valores!P17/Valores!Q17,0)</f>
        <v>0.80354267310789051</v>
      </c>
      <c r="N18" s="25">
        <f>IFERROR(Valores!R17/Valores!S17,0)</f>
        <v>0.61001517450682852</v>
      </c>
      <c r="O18" s="25">
        <f>IF(Valores!W17&gt;0,Valores!T17/Valores!W17,IF(AND(Valores!W17=0,OR(Valores!V17&gt;0,Valores!U17&gt;0)),0,IF(AND(Valores!V17=0,Valores!W17=0,Valores!U17=0),"NC",)))</f>
        <v>0</v>
      </c>
      <c r="P18" s="26">
        <f>IFERROR((Valores!X17+Valores!Y17)*1000/(Valores!H17),0)</f>
        <v>0</v>
      </c>
      <c r="Q18" s="27">
        <f t="array" ref="Q18">F18/MAX(IF($E$5:$E$26=$E18,F$5:F$26))</f>
        <v>1</v>
      </c>
      <c r="R18" s="27">
        <f t="array" ref="R18">G18/MAX(IF($E$5:$E$26=$E18,G$5:G$26))</f>
        <v>0.54979220319464694</v>
      </c>
      <c r="S18" s="27">
        <f t="array" ref="S18">H18/MAX(IF($E$5:$E$26=$E18,H$5:H$26))</f>
        <v>0.64776790957450603</v>
      </c>
      <c r="T18" s="27">
        <f t="array" ref="T18">I18/MAX(IF($E$5:$E$26=$E18,I$5:I$26))</f>
        <v>0.34052596427189147</v>
      </c>
      <c r="U18" s="27">
        <f t="array" ref="U18">J18/MAX(IF($E$5:$E$26=$E18,J$5:J$26))</f>
        <v>0.52743659193716053</v>
      </c>
      <c r="V18" s="27">
        <f t="array" ref="V18">K18/MAX(IF($E$5:$E$26=$E18,K$5:K$26))</f>
        <v>0.63276215609646469</v>
      </c>
      <c r="W18" s="27">
        <f t="array" ref="W18">L18/MAX(IF($E$5:$E$26=$E18,L$5:L$26))</f>
        <v>0.63623477081373048</v>
      </c>
      <c r="X18" s="27">
        <f t="array" ref="X18">M18/MAX(IF($E$5:$E$26=$E18,M$5:M$26))</f>
        <v>0.92229050972955895</v>
      </c>
      <c r="Y18" s="27">
        <f t="array" ref="Y18">N18/MAX(IF($E$5:$E$26=$E18,N$5:N$26))</f>
        <v>0.80297090278252958</v>
      </c>
      <c r="Z18" s="27">
        <f t="array" ref="Z18">IF(O18="NC","NC",IF(O18=0,0,IF(O18&gt;0,O18/MAX(IF($E$5:$E$26=$E18,$O$5:$O$26,"ERROR")))))</f>
        <v>0</v>
      </c>
      <c r="AA18" s="28">
        <f t="array" ref="AA18">IF(P18=0,0,P18/MAX(IF($E$5:$E$26=$E18,$P$5:$P$26)))</f>
        <v>0</v>
      </c>
      <c r="AB18" s="10">
        <f t="shared" si="1"/>
        <v>0.5508891825818627</v>
      </c>
      <c r="AC18" s="10">
        <f t="array" ref="AC18">SUM(IF($E$5:$E$26=$E18,$AB$5:$AB$26,"ERROR"))</f>
        <v>8.3188936271159335</v>
      </c>
      <c r="AD18" s="32">
        <f t="shared" si="2"/>
        <v>6.6221448100527006E-2</v>
      </c>
      <c r="AE18" s="11">
        <f>VLOOKUP(E18,Categorías!$A$35:$C$37,3,0)</f>
        <v>34678378</v>
      </c>
      <c r="AF18" s="11">
        <f t="shared" si="3"/>
        <v>2296452.4089374575</v>
      </c>
      <c r="AG18" s="87">
        <f t="shared" si="4"/>
        <v>2296452</v>
      </c>
      <c r="AH18" s="87">
        <f t="shared" si="5"/>
        <v>2296452</v>
      </c>
      <c r="AI18" s="18">
        <f t="array" ref="AI18">AG18/(SUM(IF($C$5:$C$26=$C18,$AG$5:$AG$26,0)))</f>
        <v>4.6533982705855778E-2</v>
      </c>
    </row>
    <row r="19" spans="1:35" x14ac:dyDescent="0.25">
      <c r="A19" s="21" t="str">
        <f>Valores!A18</f>
        <v>UNIVERSIDAD METROPOLITANA DE CS.DE LA EDUCACIÓN</v>
      </c>
      <c r="B19" s="22" t="str">
        <f>Valores!B18</f>
        <v>UMC</v>
      </c>
      <c r="C19" s="23" t="str">
        <f>Valores!C18</f>
        <v>CRUCH-ESTATAL</v>
      </c>
      <c r="D19" s="23" t="str">
        <f>Valores!D18</f>
        <v>Categoría II</v>
      </c>
      <c r="E19" s="23" t="str">
        <f t="shared" si="0"/>
        <v>CRUCH-ESTATALCategoría II</v>
      </c>
      <c r="F19" s="24">
        <f>IFERROR(Valores!E18/Valores!F18*100,0)</f>
        <v>4.8816206980717602</v>
      </c>
      <c r="G19" s="25">
        <f>IFERROR(Valores!G18/Valores!H18,0)</f>
        <v>0.32945279704491753</v>
      </c>
      <c r="H19" s="25">
        <f>IFERROR((Valores!G18+Valores!I18+Valores!J18)/(Valores!H18),0)</f>
        <v>0.77773375709712123</v>
      </c>
      <c r="I19" s="25">
        <f>IFERROR(Valores!K18/Valores!H18,0)</f>
        <v>0.52232479688178179</v>
      </c>
      <c r="J19" s="25">
        <f>IFERROR(Valores!K18/Valores!G18,0)</f>
        <v>1.585431362449681</v>
      </c>
      <c r="K19" s="25">
        <f>IFERROR(Valores!L18/Valores!M18,0)</f>
        <v>4.1305263157894734</v>
      </c>
      <c r="L19" s="25">
        <f>IFERROR(Valores!N18/Valores!O18,0)</f>
        <v>0.67297762478485368</v>
      </c>
      <c r="M19" s="25">
        <f>IFERROR(Valores!P18/Valores!Q18,0)</f>
        <v>0.8693820224719101</v>
      </c>
      <c r="N19" s="25">
        <f>IFERROR(Valores!R18/Valores!S18,0)</f>
        <v>0.64818355640535374</v>
      </c>
      <c r="O19" s="25">
        <f>IF(Valores!W18&gt;0,Valores!T18/Valores!W18,IF(AND(Valores!W18=0,OR(Valores!V18&gt;0,Valores!U18&gt;0)),0,IF(AND(Valores!V18=0,Valores!W18=0,Valores!U18=0),"NC",)))</f>
        <v>0</v>
      </c>
      <c r="P19" s="26">
        <f>IFERROR((Valores!X18+Valores!Y18)*1000/(Valores!H18),0)</f>
        <v>0</v>
      </c>
      <c r="Q19" s="27">
        <f t="array" ref="Q19">F19/MAX(IF($E$5:$E$26=$E19,F$5:F$26))</f>
        <v>0.8944315307074473</v>
      </c>
      <c r="R19" s="27">
        <f t="array" ref="R19">G19/MAX(IF($E$5:$E$26=$E19,G$5:G$26))</f>
        <v>0.56563620337056419</v>
      </c>
      <c r="S19" s="27">
        <f t="array" ref="S19">H19/MAX(IF($E$5:$E$26=$E19,H$5:H$26))</f>
        <v>0.83706078623813285</v>
      </c>
      <c r="T19" s="27">
        <f t="array" ref="T19">I19/MAX(IF($E$5:$E$26=$E19,I$5:I$26))</f>
        <v>0.31662043759557962</v>
      </c>
      <c r="U19" s="27">
        <f t="array" ref="U19">J19/MAX(IF($E$5:$E$26=$E19,J$5:J$26))</f>
        <v>0.47667277495139243</v>
      </c>
      <c r="V19" s="27">
        <f t="array" ref="V19">K19/MAX(IF($E$5:$E$26=$E19,K$5:K$26))</f>
        <v>0.20883875872892768</v>
      </c>
      <c r="W19" s="27">
        <f t="array" ref="W19">L19/MAX(IF($E$5:$E$26=$E19,L$5:L$26))</f>
        <v>0.80144971372683282</v>
      </c>
      <c r="X19" s="27">
        <f t="array" ref="X19">M19/MAX(IF($E$5:$E$26=$E19,M$5:M$26))</f>
        <v>0.99785962275543416</v>
      </c>
      <c r="Y19" s="27">
        <f t="array" ref="Y19">N19/MAX(IF($E$5:$E$26=$E19,N$5:N$26))</f>
        <v>0.85321243996328067</v>
      </c>
      <c r="Z19" s="27">
        <f t="array" ref="Z19">IF(O19="NC","NC",IF(O19=0,0,IF(O19&gt;0,O19/MAX(IF($E$5:$E$26=$E19,$O$5:$O$26,"ERROR")))))</f>
        <v>0</v>
      </c>
      <c r="AA19" s="28">
        <f t="array" ref="AA19">IF(P19=0,0,P19/MAX(IF($E$5:$E$26=$E19,$P$5:$P$26)))</f>
        <v>0</v>
      </c>
      <c r="AB19" s="10">
        <f t="shared" si="1"/>
        <v>0.54107111527614471</v>
      </c>
      <c r="AC19" s="10">
        <f t="array" ref="AC19">SUM(IF($E$5:$E$26=$E19,$AB$5:$AB$26,"ERROR"))</f>
        <v>8.3188936271159335</v>
      </c>
      <c r="AD19" s="32">
        <f t="shared" si="2"/>
        <v>6.5041234992173833E-2</v>
      </c>
      <c r="AE19" s="11">
        <f>VLOOKUP(E19,Categorías!$A$35:$C$37,3,0)</f>
        <v>34678378</v>
      </c>
      <c r="AF19" s="11">
        <f t="shared" si="3"/>
        <v>2255524.5326454313</v>
      </c>
      <c r="AG19" s="87">
        <f t="shared" si="4"/>
        <v>2255525</v>
      </c>
      <c r="AH19" s="87">
        <f t="shared" si="5"/>
        <v>2255524</v>
      </c>
      <c r="AI19" s="18">
        <f t="array" ref="AI19">AG19/(SUM(IF($C$5:$C$26=$C19,$AG$5:$AG$26,0)))</f>
        <v>4.5704661513772268E-2</v>
      </c>
    </row>
    <row r="20" spans="1:35" x14ac:dyDescent="0.25">
      <c r="A20" s="21" t="str">
        <f>Valores!A19</f>
        <v>UNIVERSIDAD TECNOLÓGICA METROPOLITANA</v>
      </c>
      <c r="B20" s="22" t="str">
        <f>Valores!B19</f>
        <v>UTM</v>
      </c>
      <c r="C20" s="23" t="str">
        <f>Valores!C19</f>
        <v>CRUCH-ESTATAL</v>
      </c>
      <c r="D20" s="23" t="str">
        <f>Valores!D19</f>
        <v>Categoría II</v>
      </c>
      <c r="E20" s="23" t="str">
        <f t="shared" si="0"/>
        <v>CRUCH-ESTATALCategoría II</v>
      </c>
      <c r="F20" s="24">
        <f>IFERROR(Valores!E19/Valores!F19*100,0)</f>
        <v>2.3787947439963752</v>
      </c>
      <c r="G20" s="25">
        <f>IFERROR(Valores!G19/Valores!H19,0)</f>
        <v>0.32483411157532532</v>
      </c>
      <c r="H20" s="25">
        <f>IFERROR((Valores!G19+Valores!I19+Valores!J19)/(Valores!H19),0)</f>
        <v>0.76290243303022787</v>
      </c>
      <c r="I20" s="25">
        <f>IFERROR(Valores!K19/Valores!H19,0)</f>
        <v>0.42713197345785164</v>
      </c>
      <c r="J20" s="25">
        <f>IFERROR(Valores!K19/Valores!G19,0)</f>
        <v>1.3149233970115377</v>
      </c>
      <c r="K20" s="25">
        <f>IFERROR(Valores!L19/Valores!M19,0)</f>
        <v>8.3891687657430722</v>
      </c>
      <c r="L20" s="25">
        <f>IFERROR(Valores!N19/Valores!O19,0)</f>
        <v>0.7689631176061239</v>
      </c>
      <c r="M20" s="25">
        <f>IFERROR(Valores!P19/Valores!Q19,0)</f>
        <v>0.81930051813471505</v>
      </c>
      <c r="N20" s="25">
        <f>IFERROR(Valores!R19/Valores!S19,0)</f>
        <v>0.67734806629834254</v>
      </c>
      <c r="O20" s="25" t="str">
        <f>IF(Valores!W19&gt;0,Valores!T19/Valores!W19,IF(AND(Valores!W19=0,OR(Valores!V19&gt;0,Valores!U19&gt;0)),0,IF(AND(Valores!V19=0,Valores!W19=0,Valores!U19=0),"NC",)))</f>
        <v>NC</v>
      </c>
      <c r="P20" s="26">
        <f>IFERROR((Valores!X19+Valores!Y19)*1000/(Valores!H19),0)</f>
        <v>2.7033669206193141</v>
      </c>
      <c r="Q20" s="27">
        <f t="array" ref="Q20">F20/MAX(IF($E$5:$E$26=$E20,F$5:F$26))</f>
        <v>0.4358529995892424</v>
      </c>
      <c r="R20" s="27">
        <f t="array" ref="R20">G20/MAX(IF($E$5:$E$26=$E20,G$5:G$26))</f>
        <v>0.55770640056720011</v>
      </c>
      <c r="S20" s="27">
        <f t="array" ref="S20">H20/MAX(IF($E$5:$E$26=$E20,H$5:H$26))</f>
        <v>0.82109810020181617</v>
      </c>
      <c r="T20" s="27">
        <f t="array" ref="T20">I20/MAX(IF($E$5:$E$26=$E20,I$5:I$26))</f>
        <v>0.2589168907060278</v>
      </c>
      <c r="U20" s="27">
        <f t="array" ref="U20">J20/MAX(IF($E$5:$E$26=$E20,J$5:J$26))</f>
        <v>0.39534236507945603</v>
      </c>
      <c r="V20" s="27">
        <f t="array" ref="V20">K20/MAX(IF($E$5:$E$26=$E20,K$5:K$26))</f>
        <v>0.42415504898445716</v>
      </c>
      <c r="W20" s="27">
        <f t="array" ref="W20">L20/MAX(IF($E$5:$E$26=$E20,L$5:L$26))</f>
        <v>0.91575893131505393</v>
      </c>
      <c r="X20" s="27">
        <f t="array" ref="X20">M20/MAX(IF($E$5:$E$26=$E20,M$5:M$26))</f>
        <v>0.94037705498523072</v>
      </c>
      <c r="Y20" s="27">
        <f t="array" ref="Y20">N20/MAX(IF($E$5:$E$26=$E20,N$5:N$26))</f>
        <v>0.8916020633966909</v>
      </c>
      <c r="Z20" s="27" t="str">
        <f t="array" ref="Z20">IF(O20="NC","NC",IF(O20=0,0,IF(O20&gt;0,O20/MAX(IF($E$5:$E$26=$E20,$O$5:$O$26,"ERROR")))))</f>
        <v>NC</v>
      </c>
      <c r="AA20" s="28">
        <f t="array" ref="AA20">IF(P20=0,0,P20/MAX(IF($E$5:$E$26=$E20,$P$5:$P$26)))</f>
        <v>0.32446547063160447</v>
      </c>
      <c r="AB20" s="10">
        <f>IF(Z20="NC",(SUM(Q20:Y20)+AA20)/(COUNTA(Q20:Y20)+COUNTA(AA20)),AVERAGE(Q20:AA20))</f>
        <v>0.59652753254567803</v>
      </c>
      <c r="AC20" s="10">
        <f t="array" ref="AC20">SUM(IF($E$5:$E$26=$E20,$AB$5:$AB$26,"ERROR"))</f>
        <v>8.3188936271159335</v>
      </c>
      <c r="AD20" s="32">
        <f>AB20/AC20</f>
        <v>7.1707556230946476E-2</v>
      </c>
      <c r="AE20" s="11">
        <f>VLOOKUP(E20,Categorías!$A$35:$C$37,3,0)</f>
        <v>34678378</v>
      </c>
      <c r="AF20" s="11">
        <f t="shared" si="3"/>
        <v>2486701.7404330173</v>
      </c>
      <c r="AG20" s="87">
        <f t="shared" si="4"/>
        <v>2486702</v>
      </c>
      <c r="AH20" s="87">
        <f t="shared" si="5"/>
        <v>2486701</v>
      </c>
      <c r="AI20" s="18">
        <f t="array" ref="AI20">AG20/(SUM(IF($C$5:$C$26=$C20,$AG$5:$AG$26,0)))</f>
        <v>5.0389099298664627E-2</v>
      </c>
    </row>
    <row r="21" spans="1:35" x14ac:dyDescent="0.25">
      <c r="A21" s="21" t="str">
        <f>Valores!A20</f>
        <v>U. DE O'HIGGINS</v>
      </c>
      <c r="B21" s="22" t="str">
        <f>Valores!B20</f>
        <v>URO</v>
      </c>
      <c r="C21" s="23" t="str">
        <f>Valores!C20</f>
        <v>CRUCH-ESTATAL</v>
      </c>
      <c r="D21" s="23" t="str">
        <f>Valores!D20</f>
        <v>Categoría III</v>
      </c>
      <c r="E21" s="23" t="str">
        <f t="shared" ref="E21" si="6">CONCATENATE(C21,D21)</f>
        <v>CRUCH-ESTATALCategoría III</v>
      </c>
      <c r="F21" s="24">
        <f>IFERROR(Valores!E20/Valores!F20*100,0)</f>
        <v>2.5610482430017867</v>
      </c>
      <c r="G21" s="25">
        <f>IFERROR(Valores!G20/Valores!H20,0)</f>
        <v>0.4281015515629471</v>
      </c>
      <c r="H21" s="25">
        <f>IFERROR((Valores!G20+Valores!I20+Valores!J20)/(Valores!H20),0)</f>
        <v>0.72846437411898068</v>
      </c>
      <c r="I21" s="25">
        <f>IFERROR(Valores!K20/Valores!H20,0)</f>
        <v>0.77156711248468135</v>
      </c>
      <c r="J21" s="25">
        <f>IFERROR(Valores!K20/Valores!G20,0)</f>
        <v>1.8022992667692581</v>
      </c>
      <c r="K21" s="25">
        <f>IFERROR(Valores!L20/Valores!M20,0)</f>
        <v>6.7826086956521738</v>
      </c>
      <c r="L21" s="25">
        <f>IFERROR(Valores!N20/Valores!O20,0)</f>
        <v>0.73548861131520937</v>
      </c>
      <c r="M21" s="25">
        <f>IFERROR(Valores!P20/Valores!Q20,0)</f>
        <v>0.87819253438113953</v>
      </c>
      <c r="N21" s="25">
        <f>IFERROR(Valores!R20/Valores!S20,0)</f>
        <v>0.78617511520737327</v>
      </c>
      <c r="O21" s="25" t="str">
        <f>IF(Valores!W20&gt;0,Valores!T20/Valores!W20,IF(AND(Valores!W20=0,OR(Valores!V20&gt;0,Valores!U20&gt;0)),0,IF(AND(Valores!V20=0,Valores!W20=0,Valores!U20=0),"NC",)))</f>
        <v>NC</v>
      </c>
      <c r="P21" s="26">
        <f>IFERROR((Valores!X20+Valores!Y20)*1000/(Valores!H20),0)</f>
        <v>0</v>
      </c>
      <c r="Q21" s="27">
        <f t="array" ref="Q21">F21/MAX(IF($E$5:$E$26=$E21,F$5:F$26))</f>
        <v>0.26670226530570329</v>
      </c>
      <c r="R21" s="27">
        <f t="array" ref="R21">G21/MAX(IF($E$5:$E$26=$E21,G$5:G$26))</f>
        <v>0.98028530516118162</v>
      </c>
      <c r="S21" s="27">
        <f t="array" ref="S21">H21/MAX(IF($E$5:$E$26=$E21,H$5:H$26))</f>
        <v>1</v>
      </c>
      <c r="T21" s="27">
        <f t="array" ref="T21">I21/MAX(IF($E$5:$E$26=$E21,I$5:I$26))</f>
        <v>1</v>
      </c>
      <c r="U21" s="27">
        <f t="array" ref="U21">J21/MAX(IF($E$5:$E$26=$E21,J$5:J$26))</f>
        <v>1</v>
      </c>
      <c r="V21" s="27">
        <f t="array" ref="V21">K21/MAX(IF($E$5:$E$26=$E21,K$5:K$26))</f>
        <v>0.66266866566716642</v>
      </c>
      <c r="W21" s="27">
        <f t="array" ref="W21">L21/MAX(IF($E$5:$E$26=$E21,L$5:L$26))</f>
        <v>0.99915433989990698</v>
      </c>
      <c r="X21" s="27">
        <f t="array" ref="X21">M21/MAX(IF($E$5:$E$26=$E21,M$5:M$26))</f>
        <v>1</v>
      </c>
      <c r="Y21" s="27">
        <f t="array" ref="Y21">N21/MAX(IF($E$5:$E$26=$E21,N$5:N$26))</f>
        <v>1</v>
      </c>
      <c r="Z21" s="27" t="str">
        <f t="array" ref="Z21">IF(O21="NC","NC",IF(O21=0,0,IF(O21&gt;0,O21/MAX(IF($E$5:$E$26=$E21,$O$5:$O$26,"ERROR")))))</f>
        <v>NC</v>
      </c>
      <c r="AA21" s="28">
        <f t="array" ref="AA21">IF(P21=0,0,P21/MAX(IF($E$5:$E$26=$E21,$P$5:$P$26)))</f>
        <v>0</v>
      </c>
      <c r="AB21" s="10">
        <f t="shared" ref="AB21:AB22" si="7">IF(Z21="NC",(SUM(Q21:Y21)+AA21)/(COUNTA(Q21:Y21)+COUNTA(AA21)),AVERAGE(Q21:AA21))</f>
        <v>0.79088105760339589</v>
      </c>
      <c r="AC21" s="10">
        <f t="array" ref="AC21">SUM(IF($E$5:$E$26=$E21,$AB$5:$AB$26,"ERROR"))</f>
        <v>1.5524012875230069</v>
      </c>
      <c r="AD21" s="32">
        <f t="shared" ref="AD21:AD22" si="8">AB21/AC21</f>
        <v>0.5094565844281902</v>
      </c>
      <c r="AE21" s="11">
        <f>VLOOKUP(E21,Categorías!$A$35:$C$37,3,0)</f>
        <v>2667568</v>
      </c>
      <c r="AF21" s="11">
        <f t="shared" ref="AF21:AF22" si="9">AD21*AE21</f>
        <v>1359010.0820099385</v>
      </c>
      <c r="AG21" s="87">
        <f t="shared" ref="AG21:AG22" si="10">ROUND(AF21,0)</f>
        <v>1359010</v>
      </c>
      <c r="AH21" s="87">
        <f t="shared" si="5"/>
        <v>1359010</v>
      </c>
      <c r="AI21" s="18">
        <f t="array" ref="AI21">AG21/(SUM(IF($C$5:$C$26=$C21,$AG$5:$AG$26,0)))</f>
        <v>2.7538197113236011E-2</v>
      </c>
    </row>
    <row r="22" spans="1:35" x14ac:dyDescent="0.25">
      <c r="A22" s="21" t="str">
        <f>Valores!A21</f>
        <v>U. DE AYSÉN</v>
      </c>
      <c r="B22" s="22" t="str">
        <f>Valores!B21</f>
        <v>URY</v>
      </c>
      <c r="C22" s="23" t="str">
        <f>Valores!C21</f>
        <v>CRUCH-ESTATAL</v>
      </c>
      <c r="D22" s="23" t="str">
        <f>Valores!D21</f>
        <v>Categoría III</v>
      </c>
      <c r="E22" s="23" t="str">
        <f t="shared" ref="E22" si="11">CONCATENATE(C22,D22)</f>
        <v>CRUCH-ESTATALCategoría III</v>
      </c>
      <c r="F22" s="24">
        <f>IFERROR(Valores!E21/Valores!F21*100,0)</f>
        <v>9.6026490066225172</v>
      </c>
      <c r="G22" s="25">
        <f>IFERROR(Valores!G21/Valores!H21,0)</f>
        <v>0.43671117919344643</v>
      </c>
      <c r="H22" s="25">
        <f>IFERROR((Valores!G21+Valores!I21+Valores!J21)/(Valores!H21),0)</f>
        <v>0.68543741050318041</v>
      </c>
      <c r="I22" s="25">
        <f>IFERROR(Valores!K21/Valores!H21,0)</f>
        <v>0.38096506710180167</v>
      </c>
      <c r="J22" s="25">
        <f>IFERROR(Valores!K21/Valores!G21,0)</f>
        <v>0.87235016013420774</v>
      </c>
      <c r="K22" s="25">
        <f>IFERROR(Valores!L21/Valores!M21,0)</f>
        <v>10.235294117647058</v>
      </c>
      <c r="L22" s="25">
        <f>IFERROR(Valores!N21/Valores!O21,0)</f>
        <v>0.73611111111111116</v>
      </c>
      <c r="M22" s="25">
        <f>IFERROR(Valores!P21/Valores!Q21,0)</f>
        <v>0.76331360946745563</v>
      </c>
      <c r="N22" s="25">
        <f>IFERROR(Valores!R21/Valores!S21,0)</f>
        <v>0.65040650406504064</v>
      </c>
      <c r="O22" s="25" t="str">
        <f>IF(Valores!W21&gt;0,Valores!T21/Valores!W21,IF(AND(Valores!W21=0,OR(Valores!V21&gt;0,Valores!U21&gt;0)),0,IF(AND(Valores!V21=0,Valores!W21=0,Valores!U21=0),"NC",)))</f>
        <v>NC</v>
      </c>
      <c r="P22" s="26">
        <f>IFERROR((Valores!X21+Valores!Y21)*1000/(Valores!H21),0)</f>
        <v>0</v>
      </c>
      <c r="Q22" s="27">
        <f t="array" ref="Q22">F22/MAX(IF($E$5:$E$26=$E22,F$5:F$26))</f>
        <v>1</v>
      </c>
      <c r="R22" s="27">
        <f t="array" ref="R22">G22/MAX(IF($E$5:$E$26=$E22,G$5:G$26))</f>
        <v>1</v>
      </c>
      <c r="S22" s="27">
        <f t="array" ref="S22">H22/MAX(IF($E$5:$E$26=$E22,H$5:H$26))</f>
        <v>0.9409347043665135</v>
      </c>
      <c r="T22" s="27">
        <f t="array" ref="T22">I22/MAX(IF($E$5:$E$26=$E22,I$5:I$26))</f>
        <v>0.49375493192676134</v>
      </c>
      <c r="U22" s="27">
        <f t="array" ref="U22">J22/MAX(IF($E$5:$E$26=$E22,J$5:J$26))</f>
        <v>0.48402070411866377</v>
      </c>
      <c r="V22" s="27">
        <f t="array" ref="V22">K22/MAX(IF($E$5:$E$26=$E22,K$5:K$26))</f>
        <v>1</v>
      </c>
      <c r="W22" s="27">
        <f t="array" ref="W22">L22/MAX(IF($E$5:$E$26=$E22,L$5:L$26))</f>
        <v>1</v>
      </c>
      <c r="X22" s="27">
        <f t="array" ref="X22">M22/MAX(IF($E$5:$E$26=$E22,M$5:M$26))</f>
        <v>0.8691870855009729</v>
      </c>
      <c r="Y22" s="27">
        <f t="array" ref="Y22">N22/MAX(IF($E$5:$E$26=$E22,N$5:N$26))</f>
        <v>0.82730487328319946</v>
      </c>
      <c r="Z22" s="27" t="str">
        <f t="array" ref="Z22">IF(O22="NC","NC",IF(O22=0,0,IF(O22&gt;0,O22/MAX(IF($E$5:$E$26=$E22,$O$5:$O$26,"ERROR")))))</f>
        <v>NC</v>
      </c>
      <c r="AA22" s="28">
        <f t="array" ref="AA22">IF(P22=0,0,P22/MAX(IF($E$5:$E$26=$E22,$P$5:$P$26)))</f>
        <v>0</v>
      </c>
      <c r="AB22" s="10">
        <f t="shared" si="7"/>
        <v>0.7615202299196111</v>
      </c>
      <c r="AC22" s="10">
        <f t="array" ref="AC22">SUM(IF($E$5:$E$26=$E22,$AB$5:$AB$26,"ERROR"))</f>
        <v>1.5524012875230069</v>
      </c>
      <c r="AD22" s="32">
        <f t="shared" si="8"/>
        <v>0.49054341557180992</v>
      </c>
      <c r="AE22" s="11">
        <f>VLOOKUP(E22,Categorías!$A$35:$C$37,3,0)</f>
        <v>2667568</v>
      </c>
      <c r="AF22" s="11">
        <f t="shared" si="9"/>
        <v>1308557.9179900619</v>
      </c>
      <c r="AG22" s="87">
        <f t="shared" si="10"/>
        <v>1308558</v>
      </c>
      <c r="AH22" s="87">
        <f t="shared" si="5"/>
        <v>1308557</v>
      </c>
      <c r="AI22" s="18">
        <f t="array" ref="AI22">AG22/(SUM(IF($C$5:$C$26=$C22,$AG$5:$AG$26,0)))</f>
        <v>2.6515866798700442E-2</v>
      </c>
    </row>
    <row r="23" spans="1:35" x14ac:dyDescent="0.25">
      <c r="AF23" s="87">
        <f>SUM(AF5:AF22)</f>
        <v>49349999.999999993</v>
      </c>
      <c r="AG23" s="87">
        <f>SUM(AG5:AG22)</f>
        <v>49349999</v>
      </c>
      <c r="AH23" s="87">
        <f>SUM(AH5:AH22)</f>
        <v>49349990</v>
      </c>
      <c r="AI23" s="99">
        <f>SUM(AI5:AI22)</f>
        <v>1</v>
      </c>
    </row>
    <row r="28" spans="1:35" x14ac:dyDescent="0.25">
      <c r="AE28" s="1"/>
      <c r="AF28" s="33"/>
      <c r="AG28" s="33"/>
      <c r="AI28" s="33"/>
    </row>
    <row r="29" spans="1:35" x14ac:dyDescent="0.25">
      <c r="AE29" s="1"/>
      <c r="AF29" s="33"/>
      <c r="AG29" s="33"/>
      <c r="AI29" s="33"/>
    </row>
    <row r="30" spans="1:35" x14ac:dyDescent="0.25">
      <c r="AE30" s="1"/>
      <c r="AF30" s="33"/>
      <c r="AG30" s="33"/>
      <c r="AI30" s="33"/>
    </row>
    <row r="31" spans="1:35" x14ac:dyDescent="0.25">
      <c r="AE31" s="1"/>
      <c r="AF31" s="33"/>
      <c r="AG31" s="33"/>
      <c r="AI31" s="33"/>
    </row>
    <row r="32" spans="1:35" x14ac:dyDescent="0.25">
      <c r="AE32" s="1"/>
      <c r="AF32" s="33"/>
      <c r="AG32" s="33"/>
      <c r="AI32" s="33"/>
    </row>
    <row r="33" spans="31:35" x14ac:dyDescent="0.25">
      <c r="AE33" s="1"/>
      <c r="AF33" s="33"/>
      <c r="AG33" s="33"/>
      <c r="AI33" s="33"/>
    </row>
    <row r="34" spans="31:35" x14ac:dyDescent="0.25">
      <c r="AE34" s="1"/>
      <c r="AF34" s="33"/>
      <c r="AG34" s="33"/>
      <c r="AI34" s="33"/>
    </row>
    <row r="35" spans="31:35" x14ac:dyDescent="0.25">
      <c r="AE35" s="1"/>
      <c r="AF35" s="33"/>
      <c r="AG35" s="33"/>
      <c r="AI35" s="33"/>
    </row>
    <row r="36" spans="31:35" x14ac:dyDescent="0.25">
      <c r="AE36" s="1"/>
      <c r="AF36" s="33"/>
      <c r="AG36" s="33"/>
      <c r="AI36" s="33"/>
    </row>
    <row r="37" spans="31:35" x14ac:dyDescent="0.25">
      <c r="AE37" s="1"/>
      <c r="AF37" s="33"/>
      <c r="AG37" s="33"/>
      <c r="AI37" s="33"/>
    </row>
    <row r="38" spans="31:35" x14ac:dyDescent="0.25">
      <c r="AE38" s="1"/>
      <c r="AF38" s="33"/>
      <c r="AG38" s="33"/>
      <c r="AI38" s="33"/>
    </row>
    <row r="39" spans="31:35" x14ac:dyDescent="0.25">
      <c r="AE39" s="1"/>
      <c r="AF39" s="33"/>
      <c r="AG39" s="33"/>
      <c r="AI39" s="33"/>
    </row>
    <row r="40" spans="31:35" x14ac:dyDescent="0.25">
      <c r="AE40" s="1"/>
      <c r="AF40" s="33"/>
      <c r="AG40" s="33"/>
      <c r="AI40" s="33"/>
    </row>
    <row r="41" spans="31:35" x14ac:dyDescent="0.25">
      <c r="AE41" s="1"/>
      <c r="AF41" s="33"/>
      <c r="AG41" s="33"/>
      <c r="AI41" s="33"/>
    </row>
    <row r="42" spans="31:35" x14ac:dyDescent="0.25">
      <c r="AE42" s="1"/>
      <c r="AF42" s="33"/>
      <c r="AG42" s="33"/>
      <c r="AI42" s="33"/>
    </row>
    <row r="43" spans="31:35" x14ac:dyDescent="0.25">
      <c r="AE43" s="1"/>
      <c r="AF43" s="33"/>
      <c r="AG43" s="33"/>
      <c r="AI43" s="33"/>
    </row>
    <row r="44" spans="31:35" x14ac:dyDescent="0.25">
      <c r="AE44" s="1"/>
      <c r="AF44" s="33"/>
      <c r="AG44" s="33"/>
      <c r="AI44" s="33"/>
    </row>
    <row r="45" spans="31:35" x14ac:dyDescent="0.25">
      <c r="AE45" s="1"/>
      <c r="AF45" s="33"/>
      <c r="AG45" s="33"/>
      <c r="AI45" s="33"/>
    </row>
    <row r="46" spans="31:35" x14ac:dyDescent="0.25">
      <c r="AE46" s="1"/>
      <c r="AF46" s="33"/>
      <c r="AG46" s="33"/>
      <c r="AI46" s="33"/>
    </row>
    <row r="47" spans="31:35" x14ac:dyDescent="0.25">
      <c r="AE47" s="1"/>
      <c r="AF47" s="33"/>
      <c r="AG47" s="33"/>
      <c r="AI47" s="33"/>
    </row>
    <row r="48" spans="31:35" x14ac:dyDescent="0.25">
      <c r="AE48" s="1"/>
      <c r="AF48" s="33"/>
      <c r="AG48" s="33"/>
      <c r="AI48" s="33"/>
    </row>
    <row r="49" spans="23:35" x14ac:dyDescent="0.25">
      <c r="AE49" s="1"/>
      <c r="AF49" s="33"/>
      <c r="AG49" s="33"/>
      <c r="AI49" s="33"/>
    </row>
    <row r="50" spans="23:35" x14ac:dyDescent="0.25">
      <c r="AE50" s="1"/>
      <c r="AF50" s="33"/>
      <c r="AG50" s="33"/>
      <c r="AI50" s="33"/>
    </row>
    <row r="51" spans="23:35" x14ac:dyDescent="0.25">
      <c r="AE51" s="1"/>
      <c r="AF51" s="33"/>
      <c r="AG51" s="33"/>
      <c r="AI51" s="33"/>
    </row>
    <row r="52" spans="23:35" x14ac:dyDescent="0.25">
      <c r="AE52" s="1"/>
      <c r="AF52" s="33"/>
      <c r="AG52" s="33"/>
      <c r="AI52" s="33"/>
    </row>
    <row r="53" spans="23:35" x14ac:dyDescent="0.25">
      <c r="AE53" s="1"/>
      <c r="AF53" s="33"/>
      <c r="AG53" s="33"/>
      <c r="AI53" s="33"/>
    </row>
    <row r="54" spans="23:35" x14ac:dyDescent="0.25">
      <c r="AE54" s="1"/>
      <c r="AF54" s="33"/>
      <c r="AG54" s="33"/>
      <c r="AI54" s="33"/>
    </row>
    <row r="55" spans="23:35" x14ac:dyDescent="0.25">
      <c r="AG55" s="33"/>
      <c r="AI55" s="33"/>
    </row>
    <row r="60" spans="23:35" x14ac:dyDescent="0.25">
      <c r="W60" s="34"/>
      <c r="X60" s="34"/>
      <c r="Y60" s="34"/>
      <c r="Z60" s="34"/>
      <c r="AA60" s="34"/>
      <c r="AB60" s="34"/>
      <c r="AC60" s="34"/>
      <c r="AD60" s="34"/>
    </row>
    <row r="61" spans="23:35" x14ac:dyDescent="0.25">
      <c r="W61" s="34"/>
      <c r="X61" s="34"/>
      <c r="Y61" s="34"/>
      <c r="Z61" s="34"/>
      <c r="AA61" s="34"/>
      <c r="AB61" s="34"/>
      <c r="AC61" s="34"/>
      <c r="AD61" s="34"/>
    </row>
    <row r="62" spans="23:35" x14ac:dyDescent="0.25">
      <c r="W62" s="34"/>
      <c r="X62" s="34"/>
      <c r="Y62" s="34"/>
      <c r="Z62" s="34"/>
      <c r="AA62" s="34"/>
      <c r="AB62" s="34"/>
      <c r="AC62" s="34"/>
      <c r="AD62" s="34"/>
    </row>
    <row r="63" spans="23:35" x14ac:dyDescent="0.25">
      <c r="W63" s="34"/>
      <c r="X63" s="34"/>
      <c r="Y63" s="34"/>
      <c r="Z63" s="34"/>
      <c r="AA63" s="34"/>
      <c r="AB63" s="34"/>
      <c r="AC63" s="34"/>
      <c r="AD63" s="34"/>
    </row>
    <row r="64" spans="23:35" x14ac:dyDescent="0.25">
      <c r="W64" s="34"/>
      <c r="X64" s="34"/>
      <c r="Y64" s="34"/>
      <c r="Z64" s="34"/>
      <c r="AA64" s="34"/>
      <c r="AB64" s="34"/>
      <c r="AC64" s="34"/>
      <c r="AD64" s="34"/>
    </row>
    <row r="65" spans="23:30" x14ac:dyDescent="0.25">
      <c r="W65" s="34"/>
      <c r="X65" s="34"/>
      <c r="Y65" s="34"/>
      <c r="Z65" s="34"/>
      <c r="AA65" s="34"/>
      <c r="AB65" s="34"/>
      <c r="AC65" s="34"/>
      <c r="AD65" s="34"/>
    </row>
    <row r="66" spans="23:30" x14ac:dyDescent="0.25">
      <c r="W66" s="34"/>
      <c r="X66" s="34"/>
      <c r="Y66" s="34"/>
      <c r="Z66" s="34"/>
      <c r="AA66" s="34"/>
      <c r="AB66" s="34"/>
      <c r="AC66" s="34"/>
      <c r="AD66" s="34"/>
    </row>
    <row r="67" spans="23:30" x14ac:dyDescent="0.25">
      <c r="W67" s="34"/>
      <c r="X67" s="34"/>
      <c r="Y67" s="34"/>
      <c r="Z67" s="34"/>
      <c r="AA67" s="34"/>
      <c r="AB67" s="34"/>
      <c r="AC67" s="34"/>
      <c r="AD67" s="34"/>
    </row>
    <row r="68" spans="23:30" x14ac:dyDescent="0.25">
      <c r="W68" s="34"/>
      <c r="X68" s="34"/>
      <c r="Y68" s="34"/>
      <c r="Z68" s="34"/>
      <c r="AA68" s="34"/>
      <c r="AB68" s="34"/>
      <c r="AC68" s="34"/>
      <c r="AD68" s="34"/>
    </row>
    <row r="69" spans="23:30" x14ac:dyDescent="0.25">
      <c r="W69" s="34"/>
      <c r="X69" s="34"/>
      <c r="Y69" s="34"/>
      <c r="Z69" s="34"/>
      <c r="AA69" s="34"/>
      <c r="AB69" s="34"/>
      <c r="AC69" s="34"/>
      <c r="AD69" s="34"/>
    </row>
    <row r="70" spans="23:30" x14ac:dyDescent="0.25">
      <c r="W70" s="34"/>
      <c r="X70" s="34"/>
      <c r="Y70" s="34"/>
      <c r="Z70" s="34"/>
      <c r="AA70" s="34"/>
      <c r="AB70" s="34"/>
      <c r="AC70" s="34"/>
      <c r="AD70" s="34"/>
    </row>
    <row r="71" spans="23:30" x14ac:dyDescent="0.25">
      <c r="W71" s="34"/>
      <c r="X71" s="34"/>
      <c r="Y71" s="34"/>
      <c r="Z71" s="34"/>
      <c r="AA71" s="34"/>
      <c r="AB71" s="34"/>
      <c r="AC71" s="34"/>
      <c r="AD71" s="34"/>
    </row>
    <row r="72" spans="23:30" x14ac:dyDescent="0.25">
      <c r="W72" s="34"/>
      <c r="X72" s="34"/>
      <c r="Y72" s="34"/>
      <c r="Z72" s="34"/>
      <c r="AA72" s="34"/>
      <c r="AB72" s="34"/>
      <c r="AC72" s="34"/>
      <c r="AD72" s="34"/>
    </row>
    <row r="73" spans="23:30" x14ac:dyDescent="0.25">
      <c r="W73" s="34"/>
      <c r="X73" s="34"/>
      <c r="Y73" s="34"/>
      <c r="Z73" s="34"/>
      <c r="AA73" s="34"/>
      <c r="AB73" s="34"/>
      <c r="AC73" s="34"/>
      <c r="AD73" s="34"/>
    </row>
    <row r="74" spans="23:30" x14ac:dyDescent="0.25">
      <c r="W74" s="34"/>
      <c r="X74" s="34"/>
      <c r="Y74" s="34"/>
      <c r="Z74" s="34"/>
      <c r="AA74" s="34"/>
      <c r="AB74" s="34"/>
      <c r="AC74" s="34"/>
      <c r="AD74" s="34"/>
    </row>
    <row r="75" spans="23:30" x14ac:dyDescent="0.25">
      <c r="W75" s="34"/>
      <c r="X75" s="34"/>
      <c r="Y75" s="34"/>
      <c r="Z75" s="34"/>
      <c r="AA75" s="34"/>
      <c r="AB75" s="34"/>
      <c r="AC75" s="34"/>
      <c r="AD75" s="34"/>
    </row>
    <row r="76" spans="23:30" x14ac:dyDescent="0.25">
      <c r="W76" s="34"/>
      <c r="X76" s="34"/>
      <c r="Y76" s="34"/>
      <c r="Z76" s="34"/>
      <c r="AA76" s="34"/>
      <c r="AB76" s="34"/>
      <c r="AC76" s="34"/>
      <c r="AD76" s="34"/>
    </row>
    <row r="77" spans="23:30" x14ac:dyDescent="0.25">
      <c r="W77" s="34"/>
      <c r="X77" s="34"/>
      <c r="Y77" s="34"/>
      <c r="Z77" s="34"/>
      <c r="AA77" s="34"/>
      <c r="AB77" s="34"/>
      <c r="AC77" s="34"/>
      <c r="AD77" s="34"/>
    </row>
    <row r="78" spans="23:30" x14ac:dyDescent="0.25">
      <c r="W78" s="34"/>
      <c r="X78" s="34"/>
      <c r="Y78" s="34"/>
      <c r="Z78" s="34"/>
      <c r="AA78" s="34"/>
      <c r="AB78" s="34"/>
      <c r="AC78" s="34"/>
      <c r="AD78" s="34"/>
    </row>
    <row r="79" spans="23:30" x14ac:dyDescent="0.25">
      <c r="W79" s="34"/>
      <c r="X79" s="34"/>
      <c r="Y79" s="34"/>
      <c r="Z79" s="34"/>
      <c r="AA79" s="34"/>
      <c r="AB79" s="34"/>
      <c r="AC79" s="34"/>
      <c r="AD79" s="34"/>
    </row>
    <row r="80" spans="23:30" x14ac:dyDescent="0.25">
      <c r="W80" s="34"/>
      <c r="X80" s="34"/>
      <c r="Y80" s="34"/>
      <c r="Z80" s="34"/>
      <c r="AA80" s="34"/>
      <c r="AB80" s="34"/>
      <c r="AC80" s="34"/>
      <c r="AD80" s="34"/>
    </row>
    <row r="81" spans="17:30" x14ac:dyDescent="0.25">
      <c r="W81" s="34"/>
      <c r="X81" s="34"/>
      <c r="Y81" s="34"/>
      <c r="Z81" s="34"/>
      <c r="AA81" s="34"/>
      <c r="AB81" s="34"/>
      <c r="AC81" s="34"/>
      <c r="AD81" s="34"/>
    </row>
    <row r="83" spans="17:30" x14ac:dyDescent="0.25">
      <c r="Q83" s="34"/>
    </row>
    <row r="84" spans="17:30" x14ac:dyDescent="0.25">
      <c r="Q84" s="34"/>
    </row>
    <row r="85" spans="17:30" x14ac:dyDescent="0.25">
      <c r="Q85" s="34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2:E24"/>
  <sheetViews>
    <sheetView workbookViewId="0">
      <selection activeCell="F7" sqref="F7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44" t="s">
        <v>11</v>
      </c>
      <c r="B2" s="45" t="s">
        <v>1</v>
      </c>
      <c r="C2" s="45" t="s">
        <v>214</v>
      </c>
      <c r="D2" s="45" t="s">
        <v>99</v>
      </c>
      <c r="E2" s="45" t="s">
        <v>100</v>
      </c>
    </row>
    <row r="3" spans="1:5" x14ac:dyDescent="0.25">
      <c r="A3" s="37" t="s">
        <v>12</v>
      </c>
      <c r="B3" s="37" t="s">
        <v>2</v>
      </c>
      <c r="C3" s="107">
        <v>3324</v>
      </c>
      <c r="D3" s="42">
        <f>C3/$C$21</f>
        <v>0.34151854515565599</v>
      </c>
      <c r="E3" s="43">
        <f>$B$24*D3</f>
        <v>1289232.5079626015</v>
      </c>
    </row>
    <row r="4" spans="1:5" x14ac:dyDescent="0.25">
      <c r="A4" s="37" t="s">
        <v>13</v>
      </c>
      <c r="B4" s="37" t="s">
        <v>3</v>
      </c>
      <c r="C4" s="107">
        <v>1071</v>
      </c>
      <c r="D4" s="42">
        <f t="shared" ref="D4:D20" si="0">C4/$C$21</f>
        <v>0.11003801500051372</v>
      </c>
      <c r="E4" s="43">
        <f t="shared" ref="E4:E20" si="1">$B$24*D4</f>
        <v>415393.50662693928</v>
      </c>
    </row>
    <row r="5" spans="1:5" x14ac:dyDescent="0.25">
      <c r="A5" s="37" t="s">
        <v>19</v>
      </c>
      <c r="B5" s="37" t="s">
        <v>9</v>
      </c>
      <c r="C5" s="107">
        <v>353</v>
      </c>
      <c r="D5" s="42">
        <f t="shared" si="0"/>
        <v>3.6268365354977912E-2</v>
      </c>
      <c r="E5" s="43">
        <f t="shared" si="1"/>
        <v>136913.07921504162</v>
      </c>
    </row>
    <row r="6" spans="1:5" x14ac:dyDescent="0.25">
      <c r="A6" s="37" t="s">
        <v>16</v>
      </c>
      <c r="B6" s="37" t="s">
        <v>6</v>
      </c>
      <c r="C6" s="107">
        <v>835</v>
      </c>
      <c r="D6" s="42">
        <f t="shared" si="0"/>
        <v>8.5790609267440671E-2</v>
      </c>
      <c r="E6" s="43">
        <f t="shared" si="1"/>
        <v>323859.54998458852</v>
      </c>
    </row>
    <row r="7" spans="1:5" x14ac:dyDescent="0.25">
      <c r="A7" s="37" t="s">
        <v>15</v>
      </c>
      <c r="B7" s="37" t="s">
        <v>5</v>
      </c>
      <c r="C7" s="107">
        <v>707</v>
      </c>
      <c r="D7" s="42">
        <f t="shared" si="0"/>
        <v>7.2639473954587488E-2</v>
      </c>
      <c r="E7" s="43">
        <f t="shared" si="1"/>
        <v>274214.01417856774</v>
      </c>
    </row>
    <row r="8" spans="1:5" x14ac:dyDescent="0.25">
      <c r="A8" s="37" t="s">
        <v>20</v>
      </c>
      <c r="B8" s="37" t="s">
        <v>10</v>
      </c>
      <c r="C8" s="107">
        <v>594</v>
      </c>
      <c r="D8" s="42">
        <f t="shared" si="0"/>
        <v>6.1029487311209288E-2</v>
      </c>
      <c r="E8" s="43">
        <f t="shared" si="1"/>
        <v>230386.31459981506</v>
      </c>
    </row>
    <row r="9" spans="1:5" x14ac:dyDescent="0.25">
      <c r="A9" s="37" t="s">
        <v>14</v>
      </c>
      <c r="B9" s="37" t="s">
        <v>4</v>
      </c>
      <c r="C9" s="107">
        <v>637</v>
      </c>
      <c r="D9" s="42">
        <f t="shared" si="0"/>
        <v>6.5447446830370903E-2</v>
      </c>
      <c r="E9" s="43">
        <f t="shared" si="1"/>
        <v>247064.11178465016</v>
      </c>
    </row>
    <row r="10" spans="1:5" x14ac:dyDescent="0.25">
      <c r="A10" s="37" t="s">
        <v>18</v>
      </c>
      <c r="B10" s="37" t="s">
        <v>8</v>
      </c>
      <c r="C10" s="107">
        <v>469</v>
      </c>
      <c r="D10" s="42">
        <f t="shared" si="0"/>
        <v>4.8186581732251106E-2</v>
      </c>
      <c r="E10" s="43">
        <f t="shared" si="1"/>
        <v>181904.34603924793</v>
      </c>
    </row>
    <row r="11" spans="1:5" x14ac:dyDescent="0.25">
      <c r="A11" s="37" t="s">
        <v>17</v>
      </c>
      <c r="B11" s="37" t="s">
        <v>7</v>
      </c>
      <c r="C11" s="107">
        <v>270</v>
      </c>
      <c r="D11" s="42">
        <f t="shared" si="0"/>
        <v>2.7740676050549678E-2</v>
      </c>
      <c r="E11" s="43">
        <f t="shared" si="1"/>
        <v>104721.05209082503</v>
      </c>
    </row>
    <row r="12" spans="1:5" x14ac:dyDescent="0.25">
      <c r="A12" s="37" t="s">
        <v>34</v>
      </c>
      <c r="B12" s="37" t="s">
        <v>27</v>
      </c>
      <c r="C12" s="107">
        <v>137</v>
      </c>
      <c r="D12" s="42">
        <f t="shared" si="0"/>
        <v>1.407582451453817E-2</v>
      </c>
      <c r="E12" s="43">
        <f t="shared" si="1"/>
        <v>53136.23754238159</v>
      </c>
    </row>
    <row r="13" spans="1:5" x14ac:dyDescent="0.25">
      <c r="A13" s="37" t="s">
        <v>30</v>
      </c>
      <c r="B13" s="37" t="s">
        <v>23</v>
      </c>
      <c r="C13" s="107">
        <v>168</v>
      </c>
      <c r="D13" s="42">
        <f t="shared" si="0"/>
        <v>1.7260865098119797E-2</v>
      </c>
      <c r="E13" s="43">
        <f t="shared" si="1"/>
        <v>65159.765745402234</v>
      </c>
    </row>
    <row r="14" spans="1:5" x14ac:dyDescent="0.25">
      <c r="A14" s="37" t="s">
        <v>31</v>
      </c>
      <c r="B14" s="37" t="s">
        <v>24</v>
      </c>
      <c r="C14" s="107">
        <v>225</v>
      </c>
      <c r="D14" s="42">
        <f t="shared" si="0"/>
        <v>2.311723004212473E-2</v>
      </c>
      <c r="E14" s="43">
        <f t="shared" si="1"/>
        <v>87267.543409020858</v>
      </c>
    </row>
    <row r="15" spans="1:5" x14ac:dyDescent="0.25">
      <c r="A15" s="37" t="s">
        <v>32</v>
      </c>
      <c r="B15" s="37" t="s">
        <v>25</v>
      </c>
      <c r="C15" s="107">
        <v>253</v>
      </c>
      <c r="D15" s="42">
        <f t="shared" si="0"/>
        <v>2.5994040891811364E-2</v>
      </c>
      <c r="E15" s="43">
        <f t="shared" si="1"/>
        <v>98127.504366587906</v>
      </c>
    </row>
    <row r="16" spans="1:5" x14ac:dyDescent="0.25">
      <c r="A16" s="37" t="s">
        <v>33</v>
      </c>
      <c r="B16" s="37" t="s">
        <v>26</v>
      </c>
      <c r="C16" s="107">
        <v>162</v>
      </c>
      <c r="D16" s="42">
        <f t="shared" si="0"/>
        <v>1.6644405630329807E-2</v>
      </c>
      <c r="E16" s="43">
        <f t="shared" si="1"/>
        <v>62832.63125449502</v>
      </c>
    </row>
    <row r="17" spans="1:5" x14ac:dyDescent="0.25">
      <c r="A17" s="37" t="s">
        <v>35</v>
      </c>
      <c r="B17" s="37" t="s">
        <v>28</v>
      </c>
      <c r="C17" s="107">
        <v>163</v>
      </c>
      <c r="D17" s="42">
        <f t="shared" si="0"/>
        <v>1.6747148874961471E-2</v>
      </c>
      <c r="E17" s="43">
        <f t="shared" si="1"/>
        <v>63220.487002979557</v>
      </c>
    </row>
    <row r="18" spans="1:5" x14ac:dyDescent="0.25">
      <c r="A18" s="37" t="s">
        <v>36</v>
      </c>
      <c r="B18" s="37" t="s">
        <v>29</v>
      </c>
      <c r="C18" s="107">
        <v>158</v>
      </c>
      <c r="D18" s="42">
        <f t="shared" si="0"/>
        <v>1.6233432651803145E-2</v>
      </c>
      <c r="E18" s="43">
        <f t="shared" si="1"/>
        <v>61281.208260556872</v>
      </c>
    </row>
    <row r="19" spans="1:5" x14ac:dyDescent="0.25">
      <c r="A19" s="37" t="s">
        <v>88</v>
      </c>
      <c r="B19" s="37" t="s">
        <v>89</v>
      </c>
      <c r="C19" s="107">
        <v>181</v>
      </c>
      <c r="D19" s="42">
        <f t="shared" si="0"/>
        <v>1.859652727833145E-2</v>
      </c>
      <c r="E19" s="43">
        <f t="shared" si="1"/>
        <v>70201.890475701221</v>
      </c>
    </row>
    <row r="20" spans="1:5" x14ac:dyDescent="0.25">
      <c r="A20" s="37" t="s">
        <v>90</v>
      </c>
      <c r="B20" s="37" t="s">
        <v>91</v>
      </c>
      <c r="C20" s="107">
        <v>26</v>
      </c>
      <c r="D20" s="42">
        <f t="shared" si="0"/>
        <v>2.671324360423302E-3</v>
      </c>
      <c r="E20" s="43">
        <f t="shared" si="1"/>
        <v>10084.249460597965</v>
      </c>
    </row>
    <row r="21" spans="1:5" x14ac:dyDescent="0.25">
      <c r="C21" s="36">
        <f>SUM(C3:C20)</f>
        <v>9733</v>
      </c>
      <c r="D21" s="51">
        <f>SUM(D3:D20)</f>
        <v>0.99999999999999967</v>
      </c>
      <c r="E21" s="52">
        <f>SUM(E3:E20)</f>
        <v>3774999.9999999991</v>
      </c>
    </row>
    <row r="24" spans="1:5" x14ac:dyDescent="0.25">
      <c r="A24" t="s">
        <v>101</v>
      </c>
      <c r="B24" s="5">
        <f>'Montos AIUE 2024'!H38/6</f>
        <v>3775000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2:K24"/>
  <sheetViews>
    <sheetView workbookViewId="0">
      <selection activeCell="L6" sqref="L6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49" t="s">
        <v>11</v>
      </c>
      <c r="B2" s="50" t="s">
        <v>1</v>
      </c>
      <c r="C2" s="45" t="s">
        <v>215</v>
      </c>
      <c r="D2" s="45" t="s">
        <v>216</v>
      </c>
      <c r="E2" s="45" t="s">
        <v>217</v>
      </c>
      <c r="F2" s="45" t="s">
        <v>111</v>
      </c>
      <c r="G2" s="45" t="s">
        <v>112</v>
      </c>
      <c r="H2" s="45" t="s">
        <v>113</v>
      </c>
      <c r="I2" s="45" t="s">
        <v>114</v>
      </c>
      <c r="J2" s="45" t="s">
        <v>116</v>
      </c>
      <c r="K2" s="45" t="s">
        <v>115</v>
      </c>
    </row>
    <row r="3" spans="1:11" x14ac:dyDescent="0.25">
      <c r="A3" s="37" t="s">
        <v>12</v>
      </c>
      <c r="B3" s="37" t="s">
        <v>2</v>
      </c>
      <c r="C3" s="109">
        <v>1</v>
      </c>
      <c r="D3" s="109">
        <v>1</v>
      </c>
      <c r="E3" s="109">
        <v>7</v>
      </c>
      <c r="F3" s="46">
        <f>C3*100</f>
        <v>100</v>
      </c>
      <c r="G3" s="46">
        <f>D3*100</f>
        <v>100</v>
      </c>
      <c r="H3" s="46">
        <f>E3/7*100</f>
        <v>100</v>
      </c>
      <c r="I3" s="46">
        <f>F3+G3+H3</f>
        <v>300</v>
      </c>
      <c r="J3" s="47">
        <f>I3/$I$21</f>
        <v>8.7866108786610844E-2</v>
      </c>
      <c r="K3" s="48">
        <f>J3*$B$24</f>
        <v>331694.56066945591</v>
      </c>
    </row>
    <row r="4" spans="1:11" x14ac:dyDescent="0.25">
      <c r="A4" s="37" t="s">
        <v>13</v>
      </c>
      <c r="B4" s="37" t="s">
        <v>3</v>
      </c>
      <c r="C4" s="109">
        <v>1</v>
      </c>
      <c r="D4" s="109">
        <v>1</v>
      </c>
      <c r="E4" s="109">
        <v>7</v>
      </c>
      <c r="F4" s="46">
        <f t="shared" ref="F4:F20" si="0">C4*100</f>
        <v>100</v>
      </c>
      <c r="G4" s="46">
        <f t="shared" ref="G4:G20" si="1">D4*100</f>
        <v>100</v>
      </c>
      <c r="H4" s="46">
        <f t="shared" ref="H4:H20" si="2">E4/7*100</f>
        <v>100</v>
      </c>
      <c r="I4" s="46">
        <f t="shared" ref="I4:I20" si="3">F4+G4+H4</f>
        <v>300</v>
      </c>
      <c r="J4" s="47">
        <f t="shared" ref="J4:J20" si="4">I4/$I$21</f>
        <v>8.7866108786610844E-2</v>
      </c>
      <c r="K4" s="48">
        <f t="shared" ref="K4:K20" si="5">J4*$B$24</f>
        <v>331694.56066945591</v>
      </c>
    </row>
    <row r="5" spans="1:11" x14ac:dyDescent="0.25">
      <c r="A5" s="37" t="s">
        <v>19</v>
      </c>
      <c r="B5" s="37" t="s">
        <v>9</v>
      </c>
      <c r="C5" s="109">
        <v>1</v>
      </c>
      <c r="D5" s="109">
        <v>1</v>
      </c>
      <c r="E5" s="109">
        <v>5</v>
      </c>
      <c r="F5" s="46">
        <f t="shared" si="0"/>
        <v>100</v>
      </c>
      <c r="G5" s="46">
        <f t="shared" si="1"/>
        <v>100</v>
      </c>
      <c r="H5" s="46">
        <f t="shared" si="2"/>
        <v>71.428571428571431</v>
      </c>
      <c r="I5" s="46">
        <f t="shared" si="3"/>
        <v>271.42857142857144</v>
      </c>
      <c r="J5" s="47">
        <f t="shared" si="4"/>
        <v>7.9497907949790766E-2</v>
      </c>
      <c r="K5" s="48">
        <f t="shared" si="5"/>
        <v>300104.60251046013</v>
      </c>
    </row>
    <row r="6" spans="1:11" x14ac:dyDescent="0.25">
      <c r="A6" s="37" t="s">
        <v>16</v>
      </c>
      <c r="B6" s="37" t="s">
        <v>6</v>
      </c>
      <c r="C6" s="109">
        <v>1</v>
      </c>
      <c r="D6" s="109">
        <v>1</v>
      </c>
      <c r="E6" s="109">
        <v>6</v>
      </c>
      <c r="F6" s="46">
        <f t="shared" si="0"/>
        <v>100</v>
      </c>
      <c r="G6" s="46">
        <f t="shared" si="1"/>
        <v>100</v>
      </c>
      <c r="H6" s="46">
        <f t="shared" si="2"/>
        <v>85.714285714285708</v>
      </c>
      <c r="I6" s="46">
        <f t="shared" si="3"/>
        <v>285.71428571428572</v>
      </c>
      <c r="J6" s="47">
        <f t="shared" si="4"/>
        <v>8.3682008368200805E-2</v>
      </c>
      <c r="K6" s="48">
        <f t="shared" si="5"/>
        <v>315899.58158995805</v>
      </c>
    </row>
    <row r="7" spans="1:11" x14ac:dyDescent="0.25">
      <c r="A7" s="37" t="s">
        <v>15</v>
      </c>
      <c r="B7" s="37" t="s">
        <v>5</v>
      </c>
      <c r="C7" s="109">
        <v>1</v>
      </c>
      <c r="D7" s="109">
        <v>1</v>
      </c>
      <c r="E7" s="109">
        <v>6</v>
      </c>
      <c r="F7" s="46">
        <f t="shared" si="0"/>
        <v>100</v>
      </c>
      <c r="G7" s="46">
        <f t="shared" si="1"/>
        <v>100</v>
      </c>
      <c r="H7" s="46">
        <f t="shared" si="2"/>
        <v>85.714285714285708</v>
      </c>
      <c r="I7" s="46">
        <f t="shared" si="3"/>
        <v>285.71428571428572</v>
      </c>
      <c r="J7" s="47">
        <f t="shared" si="4"/>
        <v>8.3682008368200805E-2</v>
      </c>
      <c r="K7" s="48">
        <f t="shared" si="5"/>
        <v>315899.58158995805</v>
      </c>
    </row>
    <row r="8" spans="1:11" x14ac:dyDescent="0.25">
      <c r="A8" s="37" t="s">
        <v>20</v>
      </c>
      <c r="B8" s="37" t="s">
        <v>10</v>
      </c>
      <c r="C8" s="109">
        <v>1</v>
      </c>
      <c r="D8" s="109">
        <v>1</v>
      </c>
      <c r="E8" s="109">
        <v>6</v>
      </c>
      <c r="F8" s="46">
        <f t="shared" si="0"/>
        <v>100</v>
      </c>
      <c r="G8" s="46">
        <f t="shared" si="1"/>
        <v>100</v>
      </c>
      <c r="H8" s="46">
        <f t="shared" si="2"/>
        <v>85.714285714285708</v>
      </c>
      <c r="I8" s="46">
        <f t="shared" si="3"/>
        <v>285.71428571428572</v>
      </c>
      <c r="J8" s="47">
        <f t="shared" si="4"/>
        <v>8.3682008368200805E-2</v>
      </c>
      <c r="K8" s="48">
        <f t="shared" si="5"/>
        <v>315899.58158995805</v>
      </c>
    </row>
    <row r="9" spans="1:11" x14ac:dyDescent="0.25">
      <c r="A9" s="37" t="s">
        <v>14</v>
      </c>
      <c r="B9" s="37" t="s">
        <v>4</v>
      </c>
      <c r="C9" s="109">
        <v>1</v>
      </c>
      <c r="D9" s="109">
        <v>1</v>
      </c>
      <c r="E9" s="109">
        <v>6</v>
      </c>
      <c r="F9" s="46">
        <f t="shared" si="0"/>
        <v>100</v>
      </c>
      <c r="G9" s="46">
        <f t="shared" si="1"/>
        <v>100</v>
      </c>
      <c r="H9" s="46">
        <f t="shared" si="2"/>
        <v>85.714285714285708</v>
      </c>
      <c r="I9" s="46">
        <f t="shared" si="3"/>
        <v>285.71428571428572</v>
      </c>
      <c r="J9" s="47">
        <f t="shared" si="4"/>
        <v>8.3682008368200805E-2</v>
      </c>
      <c r="K9" s="48">
        <f t="shared" si="5"/>
        <v>315899.58158995805</v>
      </c>
    </row>
    <row r="10" spans="1:11" x14ac:dyDescent="0.25">
      <c r="A10" s="37" t="s">
        <v>18</v>
      </c>
      <c r="B10" s="37" t="s">
        <v>8</v>
      </c>
      <c r="C10" s="109">
        <v>1</v>
      </c>
      <c r="D10" s="109">
        <v>1</v>
      </c>
      <c r="E10" s="109">
        <v>5</v>
      </c>
      <c r="F10" s="46">
        <f t="shared" si="0"/>
        <v>100</v>
      </c>
      <c r="G10" s="46">
        <f t="shared" si="1"/>
        <v>100</v>
      </c>
      <c r="H10" s="46">
        <f t="shared" si="2"/>
        <v>71.428571428571431</v>
      </c>
      <c r="I10" s="46">
        <f t="shared" si="3"/>
        <v>271.42857142857144</v>
      </c>
      <c r="J10" s="47">
        <f t="shared" si="4"/>
        <v>7.9497907949790766E-2</v>
      </c>
      <c r="K10" s="48">
        <f t="shared" si="5"/>
        <v>300104.60251046013</v>
      </c>
    </row>
    <row r="11" spans="1:11" x14ac:dyDescent="0.25">
      <c r="A11" s="37" t="s">
        <v>17</v>
      </c>
      <c r="B11" s="37" t="s">
        <v>7</v>
      </c>
      <c r="C11" s="109">
        <v>1</v>
      </c>
      <c r="D11" s="109"/>
      <c r="E11" s="109">
        <v>5</v>
      </c>
      <c r="F11" s="46">
        <f t="shared" si="0"/>
        <v>100</v>
      </c>
      <c r="G11" s="46">
        <f t="shared" si="1"/>
        <v>0</v>
      </c>
      <c r="H11" s="46">
        <f t="shared" si="2"/>
        <v>71.428571428571431</v>
      </c>
      <c r="I11" s="46">
        <f t="shared" si="3"/>
        <v>171.42857142857144</v>
      </c>
      <c r="J11" s="47">
        <f t="shared" si="4"/>
        <v>5.0209205020920487E-2</v>
      </c>
      <c r="K11" s="48">
        <f t="shared" si="5"/>
        <v>189539.74895397483</v>
      </c>
    </row>
    <row r="12" spans="1:11" x14ac:dyDescent="0.25">
      <c r="A12" s="37" t="s">
        <v>109</v>
      </c>
      <c r="B12" s="37" t="s">
        <v>27</v>
      </c>
      <c r="C12" s="109"/>
      <c r="D12" s="109"/>
      <c r="E12" s="109">
        <v>5</v>
      </c>
      <c r="F12" s="46">
        <f t="shared" si="0"/>
        <v>0</v>
      </c>
      <c r="G12" s="46">
        <f t="shared" si="1"/>
        <v>0</v>
      </c>
      <c r="H12" s="46">
        <f t="shared" si="2"/>
        <v>71.428571428571431</v>
      </c>
      <c r="I12" s="46">
        <f t="shared" si="3"/>
        <v>71.428571428571431</v>
      </c>
      <c r="J12" s="47">
        <f t="shared" si="4"/>
        <v>2.0920502092050201E-2</v>
      </c>
      <c r="K12" s="48">
        <f t="shared" si="5"/>
        <v>78974.895397489512</v>
      </c>
    </row>
    <row r="13" spans="1:11" x14ac:dyDescent="0.25">
      <c r="A13" s="37" t="s">
        <v>30</v>
      </c>
      <c r="B13" s="37" t="s">
        <v>23</v>
      </c>
      <c r="C13" s="109"/>
      <c r="D13" s="109"/>
      <c r="E13" s="109">
        <v>5</v>
      </c>
      <c r="F13" s="46">
        <f t="shared" si="0"/>
        <v>0</v>
      </c>
      <c r="G13" s="46">
        <f t="shared" si="1"/>
        <v>0</v>
      </c>
      <c r="H13" s="46">
        <f t="shared" si="2"/>
        <v>71.428571428571431</v>
      </c>
      <c r="I13" s="46">
        <f t="shared" si="3"/>
        <v>71.428571428571431</v>
      </c>
      <c r="J13" s="47">
        <f t="shared" si="4"/>
        <v>2.0920502092050201E-2</v>
      </c>
      <c r="K13" s="48">
        <f t="shared" si="5"/>
        <v>78974.895397489512</v>
      </c>
    </row>
    <row r="14" spans="1:11" x14ac:dyDescent="0.25">
      <c r="A14" s="37" t="s">
        <v>31</v>
      </c>
      <c r="B14" s="37" t="s">
        <v>24</v>
      </c>
      <c r="C14" s="109">
        <v>1</v>
      </c>
      <c r="D14" s="109"/>
      <c r="E14" s="109">
        <v>4</v>
      </c>
      <c r="F14" s="46">
        <f t="shared" si="0"/>
        <v>100</v>
      </c>
      <c r="G14" s="46">
        <f t="shared" si="1"/>
        <v>0</v>
      </c>
      <c r="H14" s="46">
        <f t="shared" si="2"/>
        <v>57.142857142857139</v>
      </c>
      <c r="I14" s="46">
        <f t="shared" si="3"/>
        <v>157.14285714285714</v>
      </c>
      <c r="J14" s="47">
        <f t="shared" si="4"/>
        <v>4.6025104602510442E-2</v>
      </c>
      <c r="K14" s="48">
        <f t="shared" si="5"/>
        <v>173744.76987447691</v>
      </c>
    </row>
    <row r="15" spans="1:11" x14ac:dyDescent="0.25">
      <c r="A15" s="37" t="s">
        <v>32</v>
      </c>
      <c r="B15" s="37" t="s">
        <v>25</v>
      </c>
      <c r="C15" s="109">
        <v>1</v>
      </c>
      <c r="D15" s="109"/>
      <c r="E15" s="109">
        <v>5</v>
      </c>
      <c r="F15" s="46">
        <f t="shared" si="0"/>
        <v>100</v>
      </c>
      <c r="G15" s="46">
        <f t="shared" si="1"/>
        <v>0</v>
      </c>
      <c r="H15" s="46">
        <f t="shared" si="2"/>
        <v>71.428571428571431</v>
      </c>
      <c r="I15" s="46">
        <f t="shared" si="3"/>
        <v>171.42857142857144</v>
      </c>
      <c r="J15" s="47">
        <f t="shared" si="4"/>
        <v>5.0209205020920487E-2</v>
      </c>
      <c r="K15" s="48">
        <f t="shared" si="5"/>
        <v>189539.74895397483</v>
      </c>
    </row>
    <row r="16" spans="1:11" x14ac:dyDescent="0.25">
      <c r="A16" s="37" t="s">
        <v>33</v>
      </c>
      <c r="B16" s="37" t="s">
        <v>26</v>
      </c>
      <c r="C16" s="109">
        <v>1</v>
      </c>
      <c r="D16" s="109"/>
      <c r="E16" s="109">
        <v>5</v>
      </c>
      <c r="F16" s="46">
        <f t="shared" si="0"/>
        <v>100</v>
      </c>
      <c r="G16" s="46">
        <f t="shared" si="1"/>
        <v>0</v>
      </c>
      <c r="H16" s="46">
        <f t="shared" si="2"/>
        <v>71.428571428571431</v>
      </c>
      <c r="I16" s="46">
        <f t="shared" si="3"/>
        <v>171.42857142857144</v>
      </c>
      <c r="J16" s="47">
        <f t="shared" si="4"/>
        <v>5.0209205020920487E-2</v>
      </c>
      <c r="K16" s="48">
        <f t="shared" si="5"/>
        <v>189539.74895397483</v>
      </c>
    </row>
    <row r="17" spans="1:11" x14ac:dyDescent="0.25">
      <c r="A17" s="37" t="s">
        <v>110</v>
      </c>
      <c r="B17" s="37" t="s">
        <v>28</v>
      </c>
      <c r="C17" s="109"/>
      <c r="D17" s="109"/>
      <c r="E17" s="109">
        <v>4</v>
      </c>
      <c r="F17" s="46">
        <f t="shared" si="0"/>
        <v>0</v>
      </c>
      <c r="G17" s="46">
        <f t="shared" si="1"/>
        <v>0</v>
      </c>
      <c r="H17" s="46">
        <f t="shared" si="2"/>
        <v>57.142857142857139</v>
      </c>
      <c r="I17" s="46">
        <f t="shared" si="3"/>
        <v>57.142857142857139</v>
      </c>
      <c r="J17" s="47">
        <f t="shared" si="4"/>
        <v>1.6736401673640159E-2</v>
      </c>
      <c r="K17" s="48">
        <f t="shared" si="5"/>
        <v>63179.916317991599</v>
      </c>
    </row>
    <row r="18" spans="1:11" x14ac:dyDescent="0.25">
      <c r="A18" s="37" t="s">
        <v>36</v>
      </c>
      <c r="B18" s="37" t="s">
        <v>29</v>
      </c>
      <c r="C18" s="109"/>
      <c r="D18" s="109"/>
      <c r="E18" s="109">
        <v>4</v>
      </c>
      <c r="F18" s="46">
        <f t="shared" si="0"/>
        <v>0</v>
      </c>
      <c r="G18" s="46">
        <f t="shared" si="1"/>
        <v>0</v>
      </c>
      <c r="H18" s="46">
        <f t="shared" si="2"/>
        <v>57.142857142857139</v>
      </c>
      <c r="I18" s="46">
        <f t="shared" si="3"/>
        <v>57.142857142857139</v>
      </c>
      <c r="J18" s="47">
        <f t="shared" si="4"/>
        <v>1.6736401673640159E-2</v>
      </c>
      <c r="K18" s="48">
        <f t="shared" si="5"/>
        <v>63179.916317991599</v>
      </c>
    </row>
    <row r="19" spans="1:11" x14ac:dyDescent="0.25">
      <c r="A19" s="37" t="s">
        <v>88</v>
      </c>
      <c r="B19" s="37" t="s">
        <v>89</v>
      </c>
      <c r="C19" s="109">
        <v>1</v>
      </c>
      <c r="D19" s="109"/>
      <c r="E19" s="109">
        <v>4</v>
      </c>
      <c r="F19" s="46">
        <f t="shared" si="0"/>
        <v>100</v>
      </c>
      <c r="G19" s="46">
        <f t="shared" si="1"/>
        <v>0</v>
      </c>
      <c r="H19" s="46">
        <f t="shared" si="2"/>
        <v>57.142857142857139</v>
      </c>
      <c r="I19" s="46">
        <f t="shared" si="3"/>
        <v>157.14285714285714</v>
      </c>
      <c r="J19" s="47">
        <f t="shared" si="4"/>
        <v>4.6025104602510442E-2</v>
      </c>
      <c r="K19" s="48">
        <f t="shared" si="5"/>
        <v>173744.76987447691</v>
      </c>
    </row>
    <row r="20" spans="1:11" x14ac:dyDescent="0.25">
      <c r="A20" s="37" t="s">
        <v>90</v>
      </c>
      <c r="B20" s="37" t="s">
        <v>91</v>
      </c>
      <c r="C20" s="109"/>
      <c r="D20" s="109"/>
      <c r="E20" s="109">
        <v>3</v>
      </c>
      <c r="F20" s="46">
        <f t="shared" si="0"/>
        <v>0</v>
      </c>
      <c r="G20" s="46">
        <f t="shared" si="1"/>
        <v>0</v>
      </c>
      <c r="H20" s="46">
        <f t="shared" si="2"/>
        <v>42.857142857142854</v>
      </c>
      <c r="I20" s="46">
        <f t="shared" si="3"/>
        <v>42.857142857142854</v>
      </c>
      <c r="J20" s="47">
        <f t="shared" si="4"/>
        <v>1.255230125523012E-2</v>
      </c>
      <c r="K20" s="48">
        <f t="shared" si="5"/>
        <v>47384.937238493701</v>
      </c>
    </row>
    <row r="21" spans="1:11" x14ac:dyDescent="0.25">
      <c r="C21" s="53">
        <f t="shared" ref="C21:K21" si="6">SUM(C3:C20)</f>
        <v>13</v>
      </c>
      <c r="D21" s="53">
        <f t="shared" si="6"/>
        <v>8</v>
      </c>
      <c r="E21" s="53">
        <f t="shared" si="6"/>
        <v>92</v>
      </c>
      <c r="F21" s="53">
        <f t="shared" si="6"/>
        <v>1300</v>
      </c>
      <c r="G21" s="53">
        <f t="shared" si="6"/>
        <v>800</v>
      </c>
      <c r="H21" s="53">
        <f t="shared" si="6"/>
        <v>1314.285714285714</v>
      </c>
      <c r="I21" s="53">
        <f t="shared" si="6"/>
        <v>3414.2857142857156</v>
      </c>
      <c r="J21" s="53">
        <f t="shared" si="6"/>
        <v>0.99999999999999978</v>
      </c>
      <c r="K21" s="53">
        <f t="shared" si="6"/>
        <v>3774999.9999999981</v>
      </c>
    </row>
    <row r="22" spans="1:11" x14ac:dyDescent="0.25">
      <c r="C22" t="s">
        <v>148</v>
      </c>
      <c r="D22" t="s">
        <v>148</v>
      </c>
      <c r="E22" t="s">
        <v>148</v>
      </c>
      <c r="F22" t="s">
        <v>149</v>
      </c>
      <c r="G22" t="s">
        <v>150</v>
      </c>
      <c r="H22" t="s">
        <v>151</v>
      </c>
      <c r="I22" t="s">
        <v>152</v>
      </c>
      <c r="J22" t="s">
        <v>154</v>
      </c>
      <c r="K22" t="s">
        <v>155</v>
      </c>
    </row>
    <row r="23" spans="1:11" x14ac:dyDescent="0.25">
      <c r="I23" t="s">
        <v>153</v>
      </c>
    </row>
    <row r="24" spans="1:11" x14ac:dyDescent="0.25">
      <c r="A24" t="s">
        <v>123</v>
      </c>
      <c r="B24" s="5">
        <f>'Montos AIUE 2024'!H38/6</f>
        <v>3775000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0.59999389629810485"/>
  </sheetPr>
  <dimension ref="A2:E24"/>
  <sheetViews>
    <sheetView workbookViewId="0">
      <selection activeCell="F8" sqref="F8"/>
    </sheetView>
  </sheetViews>
  <sheetFormatPr baseColWidth="10" defaultRowHeight="15" x14ac:dyDescent="0.25"/>
  <cols>
    <col min="1" max="1" width="50" bestFit="1" customWidth="1"/>
    <col min="5" max="5" width="12.140625" bestFit="1" customWidth="1"/>
    <col min="8" max="8" width="11.85546875" bestFit="1" customWidth="1"/>
  </cols>
  <sheetData>
    <row r="2" spans="1:5" ht="25.5" x14ac:dyDescent="0.25">
      <c r="A2" s="44" t="s">
        <v>11</v>
      </c>
      <c r="B2" s="45" t="s">
        <v>1</v>
      </c>
      <c r="C2" s="45" t="s">
        <v>220</v>
      </c>
      <c r="D2" s="45" t="s">
        <v>116</v>
      </c>
      <c r="E2" s="45" t="s">
        <v>115</v>
      </c>
    </row>
    <row r="3" spans="1:5" x14ac:dyDescent="0.25">
      <c r="A3" s="37" t="s">
        <v>12</v>
      </c>
      <c r="B3" s="37" t="s">
        <v>2</v>
      </c>
      <c r="C3" s="108">
        <v>1177</v>
      </c>
      <c r="D3" s="47">
        <f>C3/$C$21</f>
        <v>0.28077290076335876</v>
      </c>
      <c r="E3" s="54">
        <f>D3*$B$24</f>
        <v>1059917.7003816792</v>
      </c>
    </row>
    <row r="4" spans="1:5" x14ac:dyDescent="0.25">
      <c r="A4" s="37" t="s">
        <v>13</v>
      </c>
      <c r="B4" s="37" t="s">
        <v>3</v>
      </c>
      <c r="C4" s="108">
        <v>480</v>
      </c>
      <c r="D4" s="47">
        <f t="shared" ref="D4:D20" si="0">C4/$C$21</f>
        <v>0.11450381679389313</v>
      </c>
      <c r="E4" s="54">
        <f t="shared" ref="E4:E20" si="1">D4*$B$24</f>
        <v>432251.90839694656</v>
      </c>
    </row>
    <row r="5" spans="1:5" x14ac:dyDescent="0.25">
      <c r="A5" s="37" t="s">
        <v>19</v>
      </c>
      <c r="B5" s="37" t="s">
        <v>9</v>
      </c>
      <c r="C5" s="108">
        <v>152</v>
      </c>
      <c r="D5" s="47">
        <f t="shared" si="0"/>
        <v>3.6259541984732822E-2</v>
      </c>
      <c r="E5" s="54">
        <f t="shared" si="1"/>
        <v>136879.77099236639</v>
      </c>
    </row>
    <row r="6" spans="1:5" x14ac:dyDescent="0.25">
      <c r="A6" s="37" t="s">
        <v>16</v>
      </c>
      <c r="B6" s="37" t="s">
        <v>6</v>
      </c>
      <c r="C6" s="108">
        <v>291</v>
      </c>
      <c r="D6" s="47">
        <f t="shared" si="0"/>
        <v>6.9417938931297704E-2</v>
      </c>
      <c r="E6" s="54">
        <f t="shared" si="1"/>
        <v>262052.71946564884</v>
      </c>
    </row>
    <row r="7" spans="1:5" x14ac:dyDescent="0.25">
      <c r="A7" s="37" t="s">
        <v>15</v>
      </c>
      <c r="B7" s="37" t="s">
        <v>5</v>
      </c>
      <c r="C7" s="108">
        <v>269</v>
      </c>
      <c r="D7" s="47">
        <f t="shared" si="0"/>
        <v>6.4169847328244281E-2</v>
      </c>
      <c r="E7" s="54">
        <f t="shared" si="1"/>
        <v>242241.17366412215</v>
      </c>
    </row>
    <row r="8" spans="1:5" x14ac:dyDescent="0.25">
      <c r="A8" s="37" t="s">
        <v>117</v>
      </c>
      <c r="B8" s="37" t="s">
        <v>10</v>
      </c>
      <c r="C8" s="108">
        <v>206</v>
      </c>
      <c r="D8" s="47">
        <f t="shared" si="0"/>
        <v>4.91412213740458E-2</v>
      </c>
      <c r="E8" s="54">
        <f t="shared" si="1"/>
        <v>185508.11068702288</v>
      </c>
    </row>
    <row r="9" spans="1:5" x14ac:dyDescent="0.25">
      <c r="A9" s="37" t="s">
        <v>118</v>
      </c>
      <c r="B9" s="37" t="s">
        <v>4</v>
      </c>
      <c r="C9" s="108">
        <v>306</v>
      </c>
      <c r="D9" s="47">
        <f t="shared" si="0"/>
        <v>7.2996183206106874E-2</v>
      </c>
      <c r="E9" s="54">
        <f t="shared" si="1"/>
        <v>275560.59160305344</v>
      </c>
    </row>
    <row r="10" spans="1:5" x14ac:dyDescent="0.25">
      <c r="A10" s="37" t="s">
        <v>119</v>
      </c>
      <c r="B10" s="37" t="s">
        <v>8</v>
      </c>
      <c r="C10" s="108">
        <v>295</v>
      </c>
      <c r="D10" s="47">
        <f t="shared" si="0"/>
        <v>7.0372137404580148E-2</v>
      </c>
      <c r="E10" s="54">
        <f t="shared" si="1"/>
        <v>265654.81870229007</v>
      </c>
    </row>
    <row r="11" spans="1:5" x14ac:dyDescent="0.25">
      <c r="A11" s="37" t="s">
        <v>17</v>
      </c>
      <c r="B11" s="37" t="s">
        <v>7</v>
      </c>
      <c r="C11" s="108">
        <v>113</v>
      </c>
      <c r="D11" s="47">
        <f t="shared" si="0"/>
        <v>2.6956106870229007E-2</v>
      </c>
      <c r="E11" s="54">
        <f t="shared" si="1"/>
        <v>101759.3034351145</v>
      </c>
    </row>
    <row r="12" spans="1:5" x14ac:dyDescent="0.25">
      <c r="A12" s="37" t="s">
        <v>120</v>
      </c>
      <c r="B12" s="37" t="s">
        <v>27</v>
      </c>
      <c r="C12" s="108">
        <v>148</v>
      </c>
      <c r="D12" s="47">
        <f t="shared" si="0"/>
        <v>3.5305343511450385E-2</v>
      </c>
      <c r="E12" s="54">
        <f t="shared" si="1"/>
        <v>133277.6717557252</v>
      </c>
    </row>
    <row r="13" spans="1:5" x14ac:dyDescent="0.25">
      <c r="A13" s="37" t="s">
        <v>30</v>
      </c>
      <c r="B13" s="37" t="s">
        <v>23</v>
      </c>
      <c r="C13" s="108">
        <v>84</v>
      </c>
      <c r="D13" s="47">
        <f t="shared" si="0"/>
        <v>2.0038167938931296E-2</v>
      </c>
      <c r="E13" s="54">
        <f t="shared" si="1"/>
        <v>75644.083969465646</v>
      </c>
    </row>
    <row r="14" spans="1:5" x14ac:dyDescent="0.25">
      <c r="A14" s="37" t="s">
        <v>31</v>
      </c>
      <c r="B14" s="37" t="s">
        <v>24</v>
      </c>
      <c r="C14" s="108">
        <v>97</v>
      </c>
      <c r="D14" s="47">
        <f t="shared" si="0"/>
        <v>2.3139312977099237E-2</v>
      </c>
      <c r="E14" s="54">
        <f t="shared" si="1"/>
        <v>87350.906488549619</v>
      </c>
    </row>
    <row r="15" spans="1:5" x14ac:dyDescent="0.25">
      <c r="A15" s="37" t="s">
        <v>32</v>
      </c>
      <c r="B15" s="37" t="s">
        <v>25</v>
      </c>
      <c r="C15" s="108">
        <v>149</v>
      </c>
      <c r="D15" s="47">
        <f t="shared" si="0"/>
        <v>3.5543893129770993E-2</v>
      </c>
      <c r="E15" s="54">
        <f t="shared" si="1"/>
        <v>134178.1965648855</v>
      </c>
    </row>
    <row r="16" spans="1:5" x14ac:dyDescent="0.25">
      <c r="A16" s="37" t="s">
        <v>33</v>
      </c>
      <c r="B16" s="37" t="s">
        <v>26</v>
      </c>
      <c r="C16" s="108">
        <v>96</v>
      </c>
      <c r="D16" s="47">
        <f t="shared" si="0"/>
        <v>2.2900763358778626E-2</v>
      </c>
      <c r="E16" s="54">
        <f t="shared" si="1"/>
        <v>86450.381679389306</v>
      </c>
    </row>
    <row r="17" spans="1:5" x14ac:dyDescent="0.25">
      <c r="A17" s="37" t="s">
        <v>121</v>
      </c>
      <c r="B17" s="37" t="s">
        <v>28</v>
      </c>
      <c r="C17" s="108">
        <v>99</v>
      </c>
      <c r="D17" s="47">
        <f t="shared" si="0"/>
        <v>2.3616412213740459E-2</v>
      </c>
      <c r="E17" s="54">
        <f t="shared" si="1"/>
        <v>89151.956106870231</v>
      </c>
    </row>
    <row r="18" spans="1:5" x14ac:dyDescent="0.25">
      <c r="A18" s="37" t="s">
        <v>122</v>
      </c>
      <c r="B18" s="37" t="s">
        <v>29</v>
      </c>
      <c r="C18" s="108">
        <v>115</v>
      </c>
      <c r="D18" s="47">
        <f t="shared" si="0"/>
        <v>2.743320610687023E-2</v>
      </c>
      <c r="E18" s="54">
        <f t="shared" si="1"/>
        <v>103560.35305343512</v>
      </c>
    </row>
    <row r="19" spans="1:5" x14ac:dyDescent="0.25">
      <c r="A19" s="37" t="s">
        <v>126</v>
      </c>
      <c r="B19" s="37" t="s">
        <v>89</v>
      </c>
      <c r="C19" s="108">
        <v>84</v>
      </c>
      <c r="D19" s="47">
        <f t="shared" si="0"/>
        <v>2.0038167938931296E-2</v>
      </c>
      <c r="E19" s="54">
        <f t="shared" si="1"/>
        <v>75644.083969465646</v>
      </c>
    </row>
    <row r="20" spans="1:5" x14ac:dyDescent="0.25">
      <c r="A20" s="37" t="s">
        <v>127</v>
      </c>
      <c r="B20" s="37" t="s">
        <v>91</v>
      </c>
      <c r="C20" s="108">
        <v>31</v>
      </c>
      <c r="D20" s="47">
        <f t="shared" si="0"/>
        <v>7.3950381679389315E-3</v>
      </c>
      <c r="E20" s="54">
        <f t="shared" si="1"/>
        <v>27916.269083969466</v>
      </c>
    </row>
    <row r="21" spans="1:5" x14ac:dyDescent="0.25">
      <c r="C21" s="57">
        <f>SUM(C3:C20)</f>
        <v>4192</v>
      </c>
      <c r="D21" s="56">
        <f>SUM(D3:D20)</f>
        <v>1</v>
      </c>
      <c r="E21" s="57">
        <f>SUM(E3:E20)</f>
        <v>3774999.9999999991</v>
      </c>
    </row>
    <row r="22" spans="1:5" x14ac:dyDescent="0.25">
      <c r="C22" t="s">
        <v>156</v>
      </c>
      <c r="D22" t="s">
        <v>158</v>
      </c>
      <c r="E22" t="s">
        <v>159</v>
      </c>
    </row>
    <row r="23" spans="1:5" x14ac:dyDescent="0.25">
      <c r="C23" t="s">
        <v>157</v>
      </c>
    </row>
    <row r="24" spans="1:5" x14ac:dyDescent="0.25">
      <c r="A24" t="s">
        <v>124</v>
      </c>
      <c r="B24" s="5">
        <f>'Montos AIUE 2024'!H38/6</f>
        <v>3775000</v>
      </c>
    </row>
  </sheetData>
  <autoFilter ref="A2:C20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0.59999389629810485"/>
  </sheetPr>
  <dimension ref="A2:G24"/>
  <sheetViews>
    <sheetView workbookViewId="0">
      <selection activeCell="I7" sqref="I7"/>
    </sheetView>
  </sheetViews>
  <sheetFormatPr baseColWidth="10" defaultRowHeight="15" x14ac:dyDescent="0.25"/>
  <cols>
    <col min="1" max="1" width="50" bestFit="1" customWidth="1"/>
    <col min="7" max="7" width="13.140625" bestFit="1" customWidth="1"/>
  </cols>
  <sheetData>
    <row r="2" spans="1:7" ht="76.5" x14ac:dyDescent="0.25">
      <c r="A2" s="44" t="s">
        <v>11</v>
      </c>
      <c r="B2" s="45" t="s">
        <v>1</v>
      </c>
      <c r="C2" s="45" t="s">
        <v>218</v>
      </c>
      <c r="D2" s="45" t="s">
        <v>219</v>
      </c>
      <c r="E2" s="45" t="s">
        <v>125</v>
      </c>
      <c r="F2" s="45" t="s">
        <v>116</v>
      </c>
      <c r="G2" s="45" t="s">
        <v>115</v>
      </c>
    </row>
    <row r="3" spans="1:7" x14ac:dyDescent="0.25">
      <c r="A3" s="37" t="s">
        <v>12</v>
      </c>
      <c r="B3" s="58" t="s">
        <v>2</v>
      </c>
      <c r="C3" s="112">
        <f>+VLOOKUP($B3,Categorías!$B$5:$Y$22,21,0)</f>
        <v>39</v>
      </c>
      <c r="D3" s="112">
        <f>+VLOOKUP($B3,Categorías!$B$5:$Y$22,23,0)</f>
        <v>3</v>
      </c>
      <c r="E3" s="112">
        <f>+VLOOKUP($B3,Categorías!$B$5:$Y$22,24,0)</f>
        <v>42</v>
      </c>
      <c r="F3" s="47">
        <f>E3/$E$21</f>
        <v>0.36206896551724138</v>
      </c>
      <c r="G3" s="54">
        <f>F3*$B$24</f>
        <v>1366810.3448275863</v>
      </c>
    </row>
    <row r="4" spans="1:7" x14ac:dyDescent="0.25">
      <c r="A4" s="37" t="s">
        <v>13</v>
      </c>
      <c r="B4" s="58" t="s">
        <v>3</v>
      </c>
      <c r="C4" s="112">
        <f>+VLOOKUP($B4,Categorías!$B$5:$Y$22,21,0)</f>
        <v>12</v>
      </c>
      <c r="D4" s="112">
        <f>+VLOOKUP($B4,Categorías!$B$5:$Y$22,23,0)</f>
        <v>1</v>
      </c>
      <c r="E4" s="112">
        <f>+VLOOKUP($B4,Categorías!$B$5:$Y$22,24,0)</f>
        <v>13</v>
      </c>
      <c r="F4" s="47">
        <f t="shared" ref="F4:F20" si="0">E4/$E$21</f>
        <v>0.11206896551724138</v>
      </c>
      <c r="G4" s="54">
        <f t="shared" ref="G4:G20" si="1">F4*$B$24</f>
        <v>423060.3448275862</v>
      </c>
    </row>
    <row r="5" spans="1:7" x14ac:dyDescent="0.25">
      <c r="A5" s="37" t="s">
        <v>19</v>
      </c>
      <c r="B5" s="58" t="s">
        <v>9</v>
      </c>
      <c r="C5" s="112">
        <f>+VLOOKUP($B5,Categorías!$B$5:$Y$22,21,0)</f>
        <v>5</v>
      </c>
      <c r="D5" s="112">
        <f>+VLOOKUP($B5,Categorías!$B$5:$Y$22,23,0)</f>
        <v>0</v>
      </c>
      <c r="E5" s="112">
        <f>+VLOOKUP($B5,Categorías!$B$5:$Y$22,24,0)</f>
        <v>5</v>
      </c>
      <c r="F5" s="47">
        <f t="shared" si="0"/>
        <v>4.3103448275862072E-2</v>
      </c>
      <c r="G5" s="54">
        <f t="shared" si="1"/>
        <v>162715.51724137933</v>
      </c>
    </row>
    <row r="6" spans="1:7" x14ac:dyDescent="0.25">
      <c r="A6" s="37" t="s">
        <v>16</v>
      </c>
      <c r="B6" s="58" t="s">
        <v>6</v>
      </c>
      <c r="C6" s="112">
        <f>+VLOOKUP($B6,Categorías!$B$5:$Y$22,21,0)</f>
        <v>9</v>
      </c>
      <c r="D6" s="112">
        <f>+VLOOKUP($B6,Categorías!$B$5:$Y$22,23,0)</f>
        <v>0</v>
      </c>
      <c r="E6" s="112">
        <f>+VLOOKUP($B6,Categorías!$B$5:$Y$22,24,0)</f>
        <v>9</v>
      </c>
      <c r="F6" s="47">
        <f t="shared" si="0"/>
        <v>7.7586206896551727E-2</v>
      </c>
      <c r="G6" s="54">
        <f t="shared" si="1"/>
        <v>292887.93103448278</v>
      </c>
    </row>
    <row r="7" spans="1:7" x14ac:dyDescent="0.25">
      <c r="A7" s="37" t="s">
        <v>15</v>
      </c>
      <c r="B7" s="58" t="s">
        <v>5</v>
      </c>
      <c r="C7" s="112">
        <f>+VLOOKUP($B7,Categorías!$B$5:$Y$22,21,0)</f>
        <v>11</v>
      </c>
      <c r="D7" s="112">
        <f>+VLOOKUP($B7,Categorías!$B$5:$Y$22,23,0)</f>
        <v>0</v>
      </c>
      <c r="E7" s="112">
        <f>+VLOOKUP($B7,Categorías!$B$5:$Y$22,24,0)</f>
        <v>11</v>
      </c>
      <c r="F7" s="47">
        <f t="shared" si="0"/>
        <v>9.4827586206896547E-2</v>
      </c>
      <c r="G7" s="54">
        <f t="shared" si="1"/>
        <v>357974.13793103449</v>
      </c>
    </row>
    <row r="8" spans="1:7" x14ac:dyDescent="0.25">
      <c r="A8" s="37" t="s">
        <v>117</v>
      </c>
      <c r="B8" s="58" t="s">
        <v>10</v>
      </c>
      <c r="C8" s="112">
        <f>+VLOOKUP($B8,Categorías!$B$5:$Y$22,21,0)</f>
        <v>4</v>
      </c>
      <c r="D8" s="112">
        <f>+VLOOKUP($B8,Categorías!$B$5:$Y$22,23,0)</f>
        <v>2</v>
      </c>
      <c r="E8" s="112">
        <f>+VLOOKUP($B8,Categorías!$B$5:$Y$22,24,0)</f>
        <v>6</v>
      </c>
      <c r="F8" s="47">
        <f t="shared" si="0"/>
        <v>5.1724137931034482E-2</v>
      </c>
      <c r="G8" s="54">
        <f t="shared" si="1"/>
        <v>195258.62068965516</v>
      </c>
    </row>
    <row r="9" spans="1:7" x14ac:dyDescent="0.25">
      <c r="A9" s="37" t="s">
        <v>118</v>
      </c>
      <c r="B9" s="58" t="s">
        <v>4</v>
      </c>
      <c r="C9" s="112">
        <f>+VLOOKUP($B9,Categorías!$B$5:$Y$22,21,0)</f>
        <v>8</v>
      </c>
      <c r="D9" s="112">
        <f>+VLOOKUP($B9,Categorías!$B$5:$Y$22,23,0)</f>
        <v>1</v>
      </c>
      <c r="E9" s="112">
        <f>+VLOOKUP($B9,Categorías!$B$5:$Y$22,24,0)</f>
        <v>9</v>
      </c>
      <c r="F9" s="47">
        <f t="shared" si="0"/>
        <v>7.7586206896551727E-2</v>
      </c>
      <c r="G9" s="54">
        <f t="shared" si="1"/>
        <v>292887.93103448278</v>
      </c>
    </row>
    <row r="10" spans="1:7" x14ac:dyDescent="0.25">
      <c r="A10" s="37" t="s">
        <v>119</v>
      </c>
      <c r="B10" s="58" t="s">
        <v>8</v>
      </c>
      <c r="C10" s="112">
        <f>+VLOOKUP($B10,Categorías!$B$5:$Y$22,21,0)</f>
        <v>5</v>
      </c>
      <c r="D10" s="112">
        <f>+VLOOKUP($B10,Categorías!$B$5:$Y$22,23,0)</f>
        <v>0</v>
      </c>
      <c r="E10" s="112">
        <f>+VLOOKUP($B10,Categorías!$B$5:$Y$22,24,0)</f>
        <v>5</v>
      </c>
      <c r="F10" s="47">
        <f t="shared" si="0"/>
        <v>4.3103448275862072E-2</v>
      </c>
      <c r="G10" s="54">
        <f t="shared" si="1"/>
        <v>162715.51724137933</v>
      </c>
    </row>
    <row r="11" spans="1:7" x14ac:dyDescent="0.25">
      <c r="A11" s="37" t="s">
        <v>17</v>
      </c>
      <c r="B11" s="58" t="s">
        <v>7</v>
      </c>
      <c r="C11" s="112">
        <f>+VLOOKUP($B11,Categorías!$B$5:$Y$22,21,0)</f>
        <v>4</v>
      </c>
      <c r="D11" s="112">
        <f>+VLOOKUP($B11,Categorías!$B$5:$Y$22,23,0)</f>
        <v>1</v>
      </c>
      <c r="E11" s="112">
        <f>+VLOOKUP($B11,Categorías!$B$5:$Y$22,24,0)</f>
        <v>5</v>
      </c>
      <c r="F11" s="47">
        <f t="shared" si="0"/>
        <v>4.3103448275862072E-2</v>
      </c>
      <c r="G11" s="54">
        <f t="shared" si="1"/>
        <v>162715.51724137933</v>
      </c>
    </row>
    <row r="12" spans="1:7" x14ac:dyDescent="0.25">
      <c r="A12" s="37" t="s">
        <v>120</v>
      </c>
      <c r="B12" s="58" t="s">
        <v>27</v>
      </c>
      <c r="C12" s="112">
        <f>+VLOOKUP($B12,Categorías!$B$5:$Y$22,21,0)</f>
        <v>2</v>
      </c>
      <c r="D12" s="112">
        <f>+VLOOKUP($B12,Categorías!$B$5:$Y$22,23,0)</f>
        <v>0</v>
      </c>
      <c r="E12" s="112">
        <f>+VLOOKUP($B12,Categorías!$B$5:$Y$22,24,0)</f>
        <v>2</v>
      </c>
      <c r="F12" s="47">
        <f t="shared" si="0"/>
        <v>1.7241379310344827E-2</v>
      </c>
      <c r="G12" s="54">
        <f t="shared" si="1"/>
        <v>65086.206896551725</v>
      </c>
    </row>
    <row r="13" spans="1:7" x14ac:dyDescent="0.25">
      <c r="A13" s="37" t="s">
        <v>30</v>
      </c>
      <c r="B13" s="58" t="s">
        <v>23</v>
      </c>
      <c r="C13" s="112">
        <f>+VLOOKUP($B13,Categorías!$B$5:$Y$22,21,0)</f>
        <v>1</v>
      </c>
      <c r="D13" s="112">
        <f>+VLOOKUP($B13,Categorías!$B$5:$Y$22,23,0)</f>
        <v>0</v>
      </c>
      <c r="E13" s="112">
        <f>+VLOOKUP($B13,Categorías!$B$5:$Y$22,24,0)</f>
        <v>1</v>
      </c>
      <c r="F13" s="47">
        <f t="shared" si="0"/>
        <v>8.6206896551724137E-3</v>
      </c>
      <c r="G13" s="54">
        <f t="shared" si="1"/>
        <v>32543.103448275862</v>
      </c>
    </row>
    <row r="14" spans="1:7" x14ac:dyDescent="0.25">
      <c r="A14" s="37" t="s">
        <v>31</v>
      </c>
      <c r="B14" s="58" t="s">
        <v>24</v>
      </c>
      <c r="C14" s="112">
        <f>+VLOOKUP($B14,Categorías!$B$5:$Y$22,21,0)</f>
        <v>1</v>
      </c>
      <c r="D14" s="112">
        <f>+VLOOKUP($B14,Categorías!$B$5:$Y$22,23,0)</f>
        <v>0</v>
      </c>
      <c r="E14" s="112">
        <f>+VLOOKUP($B14,Categorías!$B$5:$Y$22,24,0)</f>
        <v>1</v>
      </c>
      <c r="F14" s="47">
        <f t="shared" si="0"/>
        <v>8.6206896551724137E-3</v>
      </c>
      <c r="G14" s="54">
        <f t="shared" si="1"/>
        <v>32543.103448275862</v>
      </c>
    </row>
    <row r="15" spans="1:7" x14ac:dyDescent="0.25">
      <c r="A15" s="37" t="s">
        <v>32</v>
      </c>
      <c r="B15" s="58" t="s">
        <v>25</v>
      </c>
      <c r="C15" s="112">
        <f>+VLOOKUP($B15,Categorías!$B$5:$Y$22,21,0)</f>
        <v>3</v>
      </c>
      <c r="D15" s="112">
        <f>+VLOOKUP($B15,Categorías!$B$5:$Y$22,23,0)</f>
        <v>0</v>
      </c>
      <c r="E15" s="112">
        <f>+VLOOKUP($B15,Categorías!$B$5:$Y$22,24,0)</f>
        <v>3</v>
      </c>
      <c r="F15" s="47">
        <f t="shared" si="0"/>
        <v>2.5862068965517241E-2</v>
      </c>
      <c r="G15" s="54">
        <f t="shared" si="1"/>
        <v>97629.31034482758</v>
      </c>
    </row>
    <row r="16" spans="1:7" x14ac:dyDescent="0.25">
      <c r="A16" s="37" t="s">
        <v>33</v>
      </c>
      <c r="B16" s="58" t="s">
        <v>26</v>
      </c>
      <c r="C16" s="112">
        <f>+VLOOKUP($B16,Categorías!$B$5:$Y$22,21,0)</f>
        <v>2</v>
      </c>
      <c r="D16" s="112">
        <f>+VLOOKUP($B16,Categorías!$B$5:$Y$22,23,0)</f>
        <v>0</v>
      </c>
      <c r="E16" s="112">
        <f>+VLOOKUP($B16,Categorías!$B$5:$Y$22,24,0)</f>
        <v>2</v>
      </c>
      <c r="F16" s="47">
        <f t="shared" si="0"/>
        <v>1.7241379310344827E-2</v>
      </c>
      <c r="G16" s="54">
        <f t="shared" si="1"/>
        <v>65086.206896551725</v>
      </c>
    </row>
    <row r="17" spans="1:7" x14ac:dyDescent="0.25">
      <c r="A17" s="37" t="s">
        <v>121</v>
      </c>
      <c r="B17" s="58" t="s">
        <v>28</v>
      </c>
      <c r="C17" s="112">
        <f>+VLOOKUP($B17,Categorías!$B$5:$Y$22,21,0)</f>
        <v>1</v>
      </c>
      <c r="D17" s="112">
        <f>+VLOOKUP($B17,Categorías!$B$5:$Y$22,23,0)</f>
        <v>0</v>
      </c>
      <c r="E17" s="112">
        <f>+VLOOKUP($B17,Categorías!$B$5:$Y$22,24,0)</f>
        <v>1</v>
      </c>
      <c r="F17" s="47">
        <f t="shared" si="0"/>
        <v>8.6206896551724137E-3</v>
      </c>
      <c r="G17" s="54">
        <f t="shared" si="1"/>
        <v>32543.103448275862</v>
      </c>
    </row>
    <row r="18" spans="1:7" x14ac:dyDescent="0.25">
      <c r="A18" s="37" t="s">
        <v>122</v>
      </c>
      <c r="B18" s="58" t="s">
        <v>29</v>
      </c>
      <c r="C18" s="112">
        <f>+VLOOKUP($B18,Categorías!$B$5:$Y$22,21,0)</f>
        <v>1</v>
      </c>
      <c r="D18" s="112">
        <f>+VLOOKUP($B18,Categorías!$B$5:$Y$22,23,0)</f>
        <v>0</v>
      </c>
      <c r="E18" s="112">
        <f>+VLOOKUP($B18,Categorías!$B$5:$Y$22,24,0)</f>
        <v>1</v>
      </c>
      <c r="F18" s="47">
        <f t="shared" si="0"/>
        <v>8.6206896551724137E-3</v>
      </c>
      <c r="G18" s="54">
        <f t="shared" si="1"/>
        <v>32543.103448275862</v>
      </c>
    </row>
    <row r="19" spans="1:7" x14ac:dyDescent="0.25">
      <c r="A19" s="37" t="s">
        <v>88</v>
      </c>
      <c r="B19" s="58" t="s">
        <v>89</v>
      </c>
      <c r="C19" s="112">
        <f>+VLOOKUP($B19,Categorías!$B$5:$Y$22,21,0)</f>
        <v>0</v>
      </c>
      <c r="D19" s="112">
        <f>+VLOOKUP($B19,Categorías!$B$5:$Y$22,23,0)</f>
        <v>0</v>
      </c>
      <c r="E19" s="112">
        <f>+VLOOKUP($B19,Categorías!$B$5:$Y$22,24,0)</f>
        <v>0</v>
      </c>
      <c r="F19" s="47">
        <f t="shared" si="0"/>
        <v>0</v>
      </c>
      <c r="G19" s="54">
        <f t="shared" si="1"/>
        <v>0</v>
      </c>
    </row>
    <row r="20" spans="1:7" x14ac:dyDescent="0.25">
      <c r="A20" s="37" t="s">
        <v>90</v>
      </c>
      <c r="B20" s="58" t="s">
        <v>91</v>
      </c>
      <c r="C20" s="112">
        <f>+VLOOKUP($B20,Categorías!$B$5:$Y$22,21,0)</f>
        <v>0</v>
      </c>
      <c r="D20" s="112">
        <f>+VLOOKUP($B20,Categorías!$B$5:$Y$22,23,0)</f>
        <v>0</v>
      </c>
      <c r="E20" s="112">
        <f>+VLOOKUP($B20,Categorías!$B$5:$Y$22,24,0)</f>
        <v>0</v>
      </c>
      <c r="F20" s="47">
        <f t="shared" si="0"/>
        <v>0</v>
      </c>
      <c r="G20" s="54">
        <f t="shared" si="1"/>
        <v>0</v>
      </c>
    </row>
    <row r="21" spans="1:7" x14ac:dyDescent="0.25">
      <c r="C21" s="59">
        <f>SUM(C3:C20)</f>
        <v>108</v>
      </c>
      <c r="D21" s="59">
        <f>SUM(D3:D20)</f>
        <v>8</v>
      </c>
      <c r="E21" s="59">
        <f>SUM(E3:E20)</f>
        <v>116</v>
      </c>
      <c r="F21" s="60">
        <f>SUM(F3:F20)</f>
        <v>1</v>
      </c>
      <c r="G21" s="57">
        <f>SUM(G3:G20)</f>
        <v>3775000.0000000009</v>
      </c>
    </row>
    <row r="22" spans="1:7" x14ac:dyDescent="0.25">
      <c r="C22" t="s">
        <v>160</v>
      </c>
      <c r="D22" t="s">
        <v>160</v>
      </c>
      <c r="E22" t="s">
        <v>161</v>
      </c>
      <c r="F22" t="s">
        <v>162</v>
      </c>
      <c r="G22" t="s">
        <v>163</v>
      </c>
    </row>
    <row r="24" spans="1:7" x14ac:dyDescent="0.25">
      <c r="A24" t="s">
        <v>124</v>
      </c>
      <c r="B24" s="5">
        <f>'Montos AIUE 2024'!H38/6</f>
        <v>3775000</v>
      </c>
      <c r="C24" s="5"/>
      <c r="D24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0.59999389629810485"/>
  </sheetPr>
  <dimension ref="A2:E24"/>
  <sheetViews>
    <sheetView workbookViewId="0">
      <selection activeCell="F11" sqref="F11"/>
    </sheetView>
  </sheetViews>
  <sheetFormatPr baseColWidth="10" defaultRowHeight="15" x14ac:dyDescent="0.25"/>
  <cols>
    <col min="1" max="1" width="50" bestFit="1" customWidth="1"/>
    <col min="5" max="5" width="12" bestFit="1" customWidth="1"/>
    <col min="9" max="9" width="11.85546875" bestFit="1" customWidth="1"/>
  </cols>
  <sheetData>
    <row r="2" spans="1:5" ht="25.5" x14ac:dyDescent="0.25">
      <c r="A2" s="44" t="s">
        <v>11</v>
      </c>
      <c r="B2" s="45" t="s">
        <v>1</v>
      </c>
      <c r="C2" s="45" t="s">
        <v>221</v>
      </c>
      <c r="D2" s="45" t="s">
        <v>116</v>
      </c>
      <c r="E2" s="45" t="s">
        <v>115</v>
      </c>
    </row>
    <row r="3" spans="1:5" x14ac:dyDescent="0.25">
      <c r="A3" s="37" t="s">
        <v>12</v>
      </c>
      <c r="B3" s="58" t="s">
        <v>2</v>
      </c>
      <c r="C3" s="108">
        <v>1555</v>
      </c>
      <c r="D3" s="47">
        <f>C3/$C$21</f>
        <v>0.21110507738256856</v>
      </c>
      <c r="E3" s="54">
        <f>D3*$B$24</f>
        <v>796921.66711919627</v>
      </c>
    </row>
    <row r="4" spans="1:5" x14ac:dyDescent="0.25">
      <c r="A4" s="37" t="s">
        <v>13</v>
      </c>
      <c r="B4" s="58" t="s">
        <v>3</v>
      </c>
      <c r="C4" s="108">
        <v>676</v>
      </c>
      <c r="D4" s="47">
        <f t="shared" ref="D4:D20" si="0">C4/$C$21</f>
        <v>9.177301113222916E-2</v>
      </c>
      <c r="E4" s="54">
        <f t="shared" ref="E4:E20" si="1">D4*$B$24</f>
        <v>346443.11702416505</v>
      </c>
    </row>
    <row r="5" spans="1:5" x14ac:dyDescent="0.25">
      <c r="A5" s="37" t="s">
        <v>19</v>
      </c>
      <c r="B5" s="58" t="s">
        <v>9</v>
      </c>
      <c r="C5" s="108">
        <v>407</v>
      </c>
      <c r="D5" s="47">
        <f t="shared" si="0"/>
        <v>5.5253869128427911E-2</v>
      </c>
      <c r="E5" s="54">
        <f t="shared" si="1"/>
        <v>208583.35595981535</v>
      </c>
    </row>
    <row r="6" spans="1:5" x14ac:dyDescent="0.25">
      <c r="A6" s="37" t="s">
        <v>16</v>
      </c>
      <c r="B6" s="58" t="s">
        <v>6</v>
      </c>
      <c r="C6" s="108">
        <v>411</v>
      </c>
      <c r="D6" s="47">
        <f t="shared" si="0"/>
        <v>5.579690469725767E-2</v>
      </c>
      <c r="E6" s="54">
        <f t="shared" si="1"/>
        <v>210633.3152321477</v>
      </c>
    </row>
    <row r="7" spans="1:5" x14ac:dyDescent="0.25">
      <c r="A7" s="37" t="s">
        <v>15</v>
      </c>
      <c r="B7" s="58" t="s">
        <v>5</v>
      </c>
      <c r="C7" s="108">
        <v>499</v>
      </c>
      <c r="D7" s="47">
        <f t="shared" si="0"/>
        <v>6.774368721151236E-2</v>
      </c>
      <c r="E7" s="54">
        <f t="shared" si="1"/>
        <v>255732.41922345915</v>
      </c>
    </row>
    <row r="8" spans="1:5" x14ac:dyDescent="0.25">
      <c r="A8" s="37" t="s">
        <v>117</v>
      </c>
      <c r="B8" s="58" t="s">
        <v>10</v>
      </c>
      <c r="C8" s="108">
        <v>356</v>
      </c>
      <c r="D8" s="47">
        <f t="shared" si="0"/>
        <v>4.8330165625848492E-2</v>
      </c>
      <c r="E8" s="54">
        <f t="shared" si="1"/>
        <v>182446.37523757806</v>
      </c>
    </row>
    <row r="9" spans="1:5" x14ac:dyDescent="0.25">
      <c r="A9" s="37" t="s">
        <v>118</v>
      </c>
      <c r="B9" s="58" t="s">
        <v>4</v>
      </c>
      <c r="C9" s="108">
        <v>573</v>
      </c>
      <c r="D9" s="47">
        <f t="shared" si="0"/>
        <v>7.7789845234862889E-2</v>
      </c>
      <c r="E9" s="54">
        <f t="shared" si="1"/>
        <v>293656.66576160741</v>
      </c>
    </row>
    <row r="10" spans="1:5" x14ac:dyDescent="0.25">
      <c r="A10" s="37" t="s">
        <v>119</v>
      </c>
      <c r="B10" s="58" t="s">
        <v>8</v>
      </c>
      <c r="C10" s="108">
        <v>475</v>
      </c>
      <c r="D10" s="47">
        <f t="shared" si="0"/>
        <v>6.448547379853381E-2</v>
      </c>
      <c r="E10" s="54">
        <f t="shared" si="1"/>
        <v>243432.66358946514</v>
      </c>
    </row>
    <row r="11" spans="1:5" x14ac:dyDescent="0.25">
      <c r="A11" s="37" t="s">
        <v>17</v>
      </c>
      <c r="B11" s="58" t="s">
        <v>7</v>
      </c>
      <c r="C11" s="108">
        <v>207</v>
      </c>
      <c r="D11" s="47">
        <f t="shared" si="0"/>
        <v>2.8102090686939994E-2</v>
      </c>
      <c r="E11" s="54">
        <f t="shared" si="1"/>
        <v>106085.39234319847</v>
      </c>
    </row>
    <row r="12" spans="1:5" x14ac:dyDescent="0.25">
      <c r="A12" s="37" t="s">
        <v>120</v>
      </c>
      <c r="B12" s="58" t="s">
        <v>27</v>
      </c>
      <c r="C12" s="108">
        <v>322</v>
      </c>
      <c r="D12" s="47">
        <f t="shared" si="0"/>
        <v>4.3714363290795547E-2</v>
      </c>
      <c r="E12" s="54">
        <f t="shared" si="1"/>
        <v>165021.72142275318</v>
      </c>
    </row>
    <row r="13" spans="1:5" x14ac:dyDescent="0.25">
      <c r="A13" s="37" t="s">
        <v>30</v>
      </c>
      <c r="B13" s="58" t="s">
        <v>23</v>
      </c>
      <c r="C13" s="108">
        <v>268</v>
      </c>
      <c r="D13" s="47">
        <f t="shared" si="0"/>
        <v>3.6383383111593809E-2</v>
      </c>
      <c r="E13" s="54">
        <f t="shared" si="1"/>
        <v>137347.27124626664</v>
      </c>
    </row>
    <row r="14" spans="1:5" x14ac:dyDescent="0.25">
      <c r="A14" s="37" t="s">
        <v>31</v>
      </c>
      <c r="B14" s="58" t="s">
        <v>24</v>
      </c>
      <c r="C14" s="108">
        <v>330</v>
      </c>
      <c r="D14" s="47">
        <f t="shared" si="0"/>
        <v>4.4800434428455063E-2</v>
      </c>
      <c r="E14" s="54">
        <f t="shared" si="1"/>
        <v>169121.63996741787</v>
      </c>
    </row>
    <row r="15" spans="1:5" x14ac:dyDescent="0.25">
      <c r="A15" s="37" t="s">
        <v>32</v>
      </c>
      <c r="B15" s="58" t="s">
        <v>25</v>
      </c>
      <c r="C15" s="108">
        <v>386</v>
      </c>
      <c r="D15" s="47">
        <f t="shared" si="0"/>
        <v>5.240293239207168E-2</v>
      </c>
      <c r="E15" s="54">
        <f t="shared" si="1"/>
        <v>197821.0697800706</v>
      </c>
    </row>
    <row r="16" spans="1:5" x14ac:dyDescent="0.25">
      <c r="A16" s="37" t="s">
        <v>33</v>
      </c>
      <c r="B16" s="58" t="s">
        <v>26</v>
      </c>
      <c r="C16" s="108">
        <v>237</v>
      </c>
      <c r="D16" s="47">
        <f t="shared" si="0"/>
        <v>3.2174857453163182E-2</v>
      </c>
      <c r="E16" s="54">
        <f t="shared" si="1"/>
        <v>121460.08688569101</v>
      </c>
    </row>
    <row r="17" spans="1:5" x14ac:dyDescent="0.25">
      <c r="A17" s="37" t="s">
        <v>121</v>
      </c>
      <c r="B17" s="58" t="s">
        <v>28</v>
      </c>
      <c r="C17" s="108">
        <v>231</v>
      </c>
      <c r="D17" s="47">
        <f t="shared" si="0"/>
        <v>3.1360304099918544E-2</v>
      </c>
      <c r="E17" s="54">
        <f t="shared" si="1"/>
        <v>118385.14797719251</v>
      </c>
    </row>
    <row r="18" spans="1:5" x14ac:dyDescent="0.25">
      <c r="A18" s="37" t="s">
        <v>122</v>
      </c>
      <c r="B18" s="58" t="s">
        <v>29</v>
      </c>
      <c r="C18" s="108">
        <v>219</v>
      </c>
      <c r="D18" s="47">
        <f t="shared" si="0"/>
        <v>2.9731197393429269E-2</v>
      </c>
      <c r="E18" s="54">
        <f t="shared" si="1"/>
        <v>112235.27016019549</v>
      </c>
    </row>
    <row r="19" spans="1:5" x14ac:dyDescent="0.25">
      <c r="A19" s="37" t="s">
        <v>126</v>
      </c>
      <c r="B19" s="58" t="s">
        <v>89</v>
      </c>
      <c r="C19" s="108">
        <v>150</v>
      </c>
      <c r="D19" s="47">
        <f t="shared" si="0"/>
        <v>2.0363833831115938E-2</v>
      </c>
      <c r="E19" s="54">
        <f t="shared" si="1"/>
        <v>76873.472712462666</v>
      </c>
    </row>
    <row r="20" spans="1:5" x14ac:dyDescent="0.25">
      <c r="A20" s="37" t="s">
        <v>127</v>
      </c>
      <c r="B20" s="58" t="s">
        <v>91</v>
      </c>
      <c r="C20" s="108">
        <v>64</v>
      </c>
      <c r="D20" s="47">
        <f t="shared" si="0"/>
        <v>8.6885691012761335E-3</v>
      </c>
      <c r="E20" s="54">
        <f t="shared" si="1"/>
        <v>32799.348357317402</v>
      </c>
    </row>
    <row r="21" spans="1:5" x14ac:dyDescent="0.25">
      <c r="C21" s="55">
        <f>SUM(C3:C20)</f>
        <v>7366</v>
      </c>
      <c r="D21" s="60">
        <f>SUM(D3:D20)</f>
        <v>1</v>
      </c>
      <c r="E21" s="55">
        <f>SUM(E3:E20)</f>
        <v>3775000</v>
      </c>
    </row>
    <row r="22" spans="1:5" x14ac:dyDescent="0.25">
      <c r="C22" t="s">
        <v>164</v>
      </c>
      <c r="D22" t="s">
        <v>166</v>
      </c>
      <c r="E22" t="s">
        <v>167</v>
      </c>
    </row>
    <row r="23" spans="1:5" x14ac:dyDescent="0.25">
      <c r="C23" t="s">
        <v>165</v>
      </c>
    </row>
    <row r="24" spans="1:5" x14ac:dyDescent="0.25">
      <c r="A24" t="s">
        <v>124</v>
      </c>
      <c r="B24" s="5">
        <f>'Montos AIUE 2024'!H38/6</f>
        <v>3775000</v>
      </c>
    </row>
  </sheetData>
  <autoFilter ref="A2:C20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0.59999389629810485"/>
  </sheetPr>
  <dimension ref="A2:E24"/>
  <sheetViews>
    <sheetView workbookViewId="0">
      <selection activeCell="G6" sqref="G6"/>
    </sheetView>
  </sheetViews>
  <sheetFormatPr baseColWidth="10" defaultRowHeight="15" x14ac:dyDescent="0.25"/>
  <cols>
    <col min="1" max="1" width="50" bestFit="1" customWidth="1"/>
    <col min="7" max="7" width="55.140625" bestFit="1" customWidth="1"/>
  </cols>
  <sheetData>
    <row r="2" spans="1:5" ht="51" x14ac:dyDescent="0.25">
      <c r="A2" s="44" t="s">
        <v>11</v>
      </c>
      <c r="B2" s="45" t="s">
        <v>1</v>
      </c>
      <c r="C2" s="45" t="s">
        <v>222</v>
      </c>
      <c r="D2" s="45" t="s">
        <v>116</v>
      </c>
      <c r="E2" s="45" t="s">
        <v>115</v>
      </c>
    </row>
    <row r="3" spans="1:5" x14ac:dyDescent="0.25">
      <c r="A3" s="37" t="s">
        <v>12</v>
      </c>
      <c r="B3" s="58" t="s">
        <v>2</v>
      </c>
      <c r="C3" s="108">
        <v>33572</v>
      </c>
      <c r="D3" s="47">
        <f>C3/$C$21</f>
        <v>0.18765686049826441</v>
      </c>
      <c r="E3" s="48">
        <f>D3*$B$24</f>
        <v>708404.64838094811</v>
      </c>
    </row>
    <row r="4" spans="1:5" x14ac:dyDescent="0.25">
      <c r="A4" s="37" t="s">
        <v>13</v>
      </c>
      <c r="B4" s="58" t="s">
        <v>3</v>
      </c>
      <c r="C4" s="108">
        <v>21063</v>
      </c>
      <c r="D4" s="47">
        <f t="shared" ref="D4:D20" si="0">C4/$C$21</f>
        <v>0.1177355073476392</v>
      </c>
      <c r="E4" s="48">
        <f t="shared" ref="E4:E20" si="1">D4*$B$24</f>
        <v>444451.54023733799</v>
      </c>
    </row>
    <row r="5" spans="1:5" x14ac:dyDescent="0.25">
      <c r="A5" s="37" t="s">
        <v>19</v>
      </c>
      <c r="B5" s="58" t="s">
        <v>9</v>
      </c>
      <c r="C5" s="108">
        <v>7414</v>
      </c>
      <c r="D5" s="47">
        <f t="shared" si="0"/>
        <v>4.1441914802041353E-2</v>
      </c>
      <c r="E5" s="48">
        <f t="shared" si="1"/>
        <v>156443.22837770611</v>
      </c>
    </row>
    <row r="6" spans="1:5" x14ac:dyDescent="0.25">
      <c r="A6" s="37" t="s">
        <v>16</v>
      </c>
      <c r="B6" s="58" t="s">
        <v>6</v>
      </c>
      <c r="C6" s="108">
        <v>10872</v>
      </c>
      <c r="D6" s="47">
        <f t="shared" si="0"/>
        <v>6.0771040966791687E-2</v>
      </c>
      <c r="E6" s="48">
        <f t="shared" si="1"/>
        <v>229410.67964963862</v>
      </c>
    </row>
    <row r="7" spans="1:5" x14ac:dyDescent="0.25">
      <c r="A7" s="37" t="s">
        <v>15</v>
      </c>
      <c r="B7" s="58" t="s">
        <v>5</v>
      </c>
      <c r="C7" s="108">
        <v>10493</v>
      </c>
      <c r="D7" s="47">
        <f t="shared" si="0"/>
        <v>5.8652550852147274E-2</v>
      </c>
      <c r="E7" s="48">
        <f t="shared" si="1"/>
        <v>221413.37946685596</v>
      </c>
    </row>
    <row r="8" spans="1:5" x14ac:dyDescent="0.25">
      <c r="A8" s="37" t="s">
        <v>117</v>
      </c>
      <c r="B8" s="58" t="s">
        <v>10</v>
      </c>
      <c r="C8" s="108">
        <v>10071</v>
      </c>
      <c r="D8" s="47">
        <f t="shared" si="0"/>
        <v>5.6293704339271437E-2</v>
      </c>
      <c r="E8" s="48">
        <f t="shared" si="1"/>
        <v>212508.73388074967</v>
      </c>
    </row>
    <row r="9" spans="1:5" x14ac:dyDescent="0.25">
      <c r="A9" s="37" t="s">
        <v>118</v>
      </c>
      <c r="B9" s="58" t="s">
        <v>4</v>
      </c>
      <c r="C9" s="108">
        <v>14937</v>
      </c>
      <c r="D9" s="47">
        <f t="shared" si="0"/>
        <v>8.3493105125180961E-2</v>
      </c>
      <c r="E9" s="48">
        <f t="shared" si="1"/>
        <v>315186.4718475581</v>
      </c>
    </row>
    <row r="10" spans="1:5" x14ac:dyDescent="0.25">
      <c r="A10" s="37" t="s">
        <v>119</v>
      </c>
      <c r="B10" s="58" t="s">
        <v>8</v>
      </c>
      <c r="C10" s="108">
        <v>10696</v>
      </c>
      <c r="D10" s="47">
        <f t="shared" si="0"/>
        <v>5.9787256639146788E-2</v>
      </c>
      <c r="E10" s="48">
        <f t="shared" si="1"/>
        <v>225696.89381277913</v>
      </c>
    </row>
    <row r="11" spans="1:5" x14ac:dyDescent="0.25">
      <c r="A11" s="37" t="s">
        <v>17</v>
      </c>
      <c r="B11" s="58" t="s">
        <v>7</v>
      </c>
      <c r="C11" s="108">
        <v>7483</v>
      </c>
      <c r="D11" s="47">
        <f t="shared" si="0"/>
        <v>4.1827602975947592E-2</v>
      </c>
      <c r="E11" s="48">
        <f t="shared" si="1"/>
        <v>157899.20123420216</v>
      </c>
    </row>
    <row r="12" spans="1:5" x14ac:dyDescent="0.25">
      <c r="A12" s="37" t="s">
        <v>120</v>
      </c>
      <c r="B12" s="58" t="s">
        <v>27</v>
      </c>
      <c r="C12" s="108">
        <v>6747</v>
      </c>
      <c r="D12" s="47">
        <f t="shared" si="0"/>
        <v>3.7713595787614379E-2</v>
      </c>
      <c r="E12" s="48">
        <f t="shared" si="1"/>
        <v>142368.82409824428</v>
      </c>
    </row>
    <row r="13" spans="1:5" x14ac:dyDescent="0.25">
      <c r="A13" s="37" t="s">
        <v>30</v>
      </c>
      <c r="B13" s="58" t="s">
        <v>23</v>
      </c>
      <c r="C13" s="108">
        <v>7393</v>
      </c>
      <c r="D13" s="47">
        <f t="shared" si="0"/>
        <v>4.1324531444765542E-2</v>
      </c>
      <c r="E13" s="48">
        <f t="shared" si="1"/>
        <v>156000.10620398991</v>
      </c>
    </row>
    <row r="14" spans="1:5" x14ac:dyDescent="0.25">
      <c r="A14" s="37" t="s">
        <v>31</v>
      </c>
      <c r="B14" s="58" t="s">
        <v>24</v>
      </c>
      <c r="C14" s="108">
        <v>6816</v>
      </c>
      <c r="D14" s="47">
        <f t="shared" si="0"/>
        <v>3.8099283961520618E-2</v>
      </c>
      <c r="E14" s="48">
        <f t="shared" si="1"/>
        <v>143824.79695474033</v>
      </c>
    </row>
    <row r="15" spans="1:5" x14ac:dyDescent="0.25">
      <c r="A15" s="37" t="s">
        <v>32</v>
      </c>
      <c r="B15" s="58" t="s">
        <v>25</v>
      </c>
      <c r="C15" s="108">
        <v>9095</v>
      </c>
      <c r="D15" s="47">
        <f t="shared" si="0"/>
        <v>5.0838173067786097E-2</v>
      </c>
      <c r="E15" s="48">
        <f t="shared" si="1"/>
        <v>191914.10333089251</v>
      </c>
    </row>
    <row r="16" spans="1:5" x14ac:dyDescent="0.25">
      <c r="A16" s="37" t="s">
        <v>33</v>
      </c>
      <c r="B16" s="58" t="s">
        <v>26</v>
      </c>
      <c r="C16" s="108">
        <v>3859</v>
      </c>
      <c r="D16" s="47">
        <f t="shared" si="0"/>
        <v>2.1570589320350362E-2</v>
      </c>
      <c r="E16" s="48">
        <f t="shared" si="1"/>
        <v>81428.974684322617</v>
      </c>
    </row>
    <row r="17" spans="1:5" x14ac:dyDescent="0.25">
      <c r="A17" s="37" t="s">
        <v>121</v>
      </c>
      <c r="B17" s="58" t="s">
        <v>28</v>
      </c>
      <c r="C17" s="108">
        <v>3730</v>
      </c>
      <c r="D17" s="47">
        <f t="shared" si="0"/>
        <v>2.084952012565609E-2</v>
      </c>
      <c r="E17" s="48">
        <f t="shared" si="1"/>
        <v>78706.938474351744</v>
      </c>
    </row>
    <row r="18" spans="1:5" x14ac:dyDescent="0.25">
      <c r="A18" s="37" t="s">
        <v>122</v>
      </c>
      <c r="B18" s="58" t="s">
        <v>29</v>
      </c>
      <c r="C18" s="108">
        <v>7980</v>
      </c>
      <c r="D18" s="47">
        <f t="shared" si="0"/>
        <v>4.4605675764808471E-2</v>
      </c>
      <c r="E18" s="48">
        <f t="shared" si="1"/>
        <v>168386.42601215199</v>
      </c>
    </row>
    <row r="19" spans="1:5" x14ac:dyDescent="0.25">
      <c r="A19" s="37" t="s">
        <v>88</v>
      </c>
      <c r="B19" s="58" t="s">
        <v>89</v>
      </c>
      <c r="C19" s="108">
        <v>6028</v>
      </c>
      <c r="D19" s="47">
        <f t="shared" si="0"/>
        <v>3.3694613221837776E-2</v>
      </c>
      <c r="E19" s="48">
        <f t="shared" si="1"/>
        <v>127197.1649124376</v>
      </c>
    </row>
    <row r="20" spans="1:5" x14ac:dyDescent="0.25">
      <c r="A20" s="37" t="s">
        <v>90</v>
      </c>
      <c r="B20" s="58" t="s">
        <v>91</v>
      </c>
      <c r="C20" s="108">
        <v>652</v>
      </c>
      <c r="D20" s="47">
        <f t="shared" si="0"/>
        <v>3.644473759229965E-3</v>
      </c>
      <c r="E20" s="48">
        <f t="shared" si="1"/>
        <v>13757.888441093119</v>
      </c>
    </row>
    <row r="21" spans="1:5" x14ac:dyDescent="0.25">
      <c r="C21" s="55">
        <f>SUM(C3:C20)</f>
        <v>178901</v>
      </c>
      <c r="D21" s="55">
        <f>SUM(D3:D20)</f>
        <v>0.99999999999999978</v>
      </c>
      <c r="E21" s="55">
        <f>SUM(E3:E20)</f>
        <v>3775000.0000000005</v>
      </c>
    </row>
    <row r="22" spans="1:5" x14ac:dyDescent="0.25">
      <c r="C22" t="s">
        <v>168</v>
      </c>
      <c r="D22" t="s">
        <v>170</v>
      </c>
      <c r="E22" t="s">
        <v>171</v>
      </c>
    </row>
    <row r="23" spans="1:5" x14ac:dyDescent="0.25">
      <c r="C23" t="s">
        <v>169</v>
      </c>
    </row>
    <row r="24" spans="1:5" x14ac:dyDescent="0.25">
      <c r="A24" t="s">
        <v>124</v>
      </c>
      <c r="B24" s="5">
        <f>'Montos AIUE 2024'!H38/6</f>
        <v>3775000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E4A6-F9F4-45C6-A481-C8FF6B8B1A87}">
  <sheetPr>
    <tabColor rgb="FFEF7443"/>
  </sheetPr>
  <dimension ref="A1:R33"/>
  <sheetViews>
    <sheetView topLeftCell="G1" zoomScale="90" zoomScaleNormal="90" workbookViewId="0">
      <selection activeCell="Q8" sqref="Q8"/>
    </sheetView>
  </sheetViews>
  <sheetFormatPr baseColWidth="10" defaultColWidth="10.85546875" defaultRowHeight="11.25" x14ac:dyDescent="0.2"/>
  <cols>
    <col min="1" max="1" width="25" style="2" bestFit="1" customWidth="1"/>
    <col min="2" max="2" width="16.7109375" style="2" customWidth="1"/>
    <col min="3" max="3" width="10.85546875" style="2"/>
    <col min="4" max="4" width="11.85546875" style="2" bestFit="1" customWidth="1"/>
    <col min="5" max="5" width="11.85546875" style="2" customWidth="1"/>
    <col min="6" max="8" width="10.85546875" style="2"/>
    <col min="9" max="9" width="11.85546875" style="2" bestFit="1" customWidth="1"/>
    <col min="10" max="10" width="14" style="2" customWidth="1"/>
    <col min="11" max="11" width="11.85546875" style="2" bestFit="1" customWidth="1"/>
    <col min="12" max="12" width="19" style="2" customWidth="1"/>
    <col min="13" max="13" width="14.28515625" style="2" customWidth="1"/>
    <col min="14" max="14" width="18" style="2" customWidth="1"/>
    <col min="15" max="15" width="18.42578125" style="2" customWidth="1"/>
    <col min="16" max="16" width="12.7109375" style="2" customWidth="1"/>
    <col min="17" max="17" width="14.28515625" style="2" customWidth="1"/>
    <col min="18" max="18" width="10.85546875" style="374"/>
    <col min="19" max="16384" width="10.85546875" style="2"/>
  </cols>
  <sheetData>
    <row r="1" spans="1:18" s="271" customFormat="1" ht="12" thickBot="1" x14ac:dyDescent="0.25">
      <c r="B1" s="272">
        <v>1</v>
      </c>
      <c r="C1" s="272">
        <v>2</v>
      </c>
      <c r="D1" s="272">
        <v>3</v>
      </c>
      <c r="E1" s="272">
        <v>4</v>
      </c>
      <c r="F1" s="272">
        <v>5</v>
      </c>
      <c r="G1" s="272">
        <v>6</v>
      </c>
      <c r="H1" s="272">
        <v>7</v>
      </c>
      <c r="I1" s="272">
        <v>8</v>
      </c>
      <c r="J1" s="272">
        <v>9</v>
      </c>
      <c r="K1" s="272">
        <v>10</v>
      </c>
      <c r="L1" s="272">
        <v>11</v>
      </c>
      <c r="M1" s="272">
        <v>12</v>
      </c>
      <c r="N1" s="272">
        <v>13</v>
      </c>
      <c r="O1" s="272">
        <v>14</v>
      </c>
      <c r="P1" s="272">
        <v>15</v>
      </c>
      <c r="Q1" s="272">
        <v>16</v>
      </c>
      <c r="R1" s="272"/>
    </row>
    <row r="2" spans="1:18" ht="15.75" thickBot="1" x14ac:dyDescent="0.3">
      <c r="A2" s="538" t="s">
        <v>181</v>
      </c>
      <c r="B2" s="541" t="s">
        <v>200</v>
      </c>
      <c r="C2" s="556" t="s">
        <v>240</v>
      </c>
      <c r="D2" s="551" t="s">
        <v>410</v>
      </c>
      <c r="E2" s="552"/>
      <c r="F2" s="552"/>
      <c r="G2" s="552"/>
      <c r="H2" s="552"/>
      <c r="I2" s="552"/>
      <c r="J2" s="552"/>
      <c r="K2" s="552"/>
      <c r="L2" s="553"/>
      <c r="M2" s="213" t="s">
        <v>241</v>
      </c>
      <c r="N2" s="213" t="s">
        <v>319</v>
      </c>
      <c r="O2" s="546" t="s">
        <v>330</v>
      </c>
      <c r="P2" s="535" t="s">
        <v>331</v>
      </c>
      <c r="Q2" s="535" t="s">
        <v>332</v>
      </c>
    </row>
    <row r="3" spans="1:18" ht="38.25" customHeight="1" x14ac:dyDescent="0.2">
      <c r="A3" s="539"/>
      <c r="B3" s="542"/>
      <c r="C3" s="557"/>
      <c r="D3" s="549" t="s">
        <v>251</v>
      </c>
      <c r="E3" s="550"/>
      <c r="F3" s="533" t="s">
        <v>373</v>
      </c>
      <c r="G3" s="533" t="s">
        <v>374</v>
      </c>
      <c r="H3" s="533" t="s">
        <v>247</v>
      </c>
      <c r="I3" s="533" t="s">
        <v>248</v>
      </c>
      <c r="J3" s="533" t="s">
        <v>252</v>
      </c>
      <c r="K3" s="533" t="s">
        <v>375</v>
      </c>
      <c r="L3" s="554" t="s">
        <v>377</v>
      </c>
      <c r="M3" s="544" t="s">
        <v>290</v>
      </c>
      <c r="N3" s="544" t="s">
        <v>320</v>
      </c>
      <c r="O3" s="547"/>
      <c r="P3" s="536"/>
      <c r="Q3" s="536"/>
    </row>
    <row r="4" spans="1:18" ht="15" customHeight="1" thickBot="1" x14ac:dyDescent="0.25">
      <c r="A4" s="540"/>
      <c r="B4" s="543"/>
      <c r="C4" s="558"/>
      <c r="D4" s="189" t="s">
        <v>250</v>
      </c>
      <c r="E4" s="190" t="s">
        <v>376</v>
      </c>
      <c r="F4" s="534"/>
      <c r="G4" s="534"/>
      <c r="H4" s="534"/>
      <c r="I4" s="534"/>
      <c r="J4" s="534"/>
      <c r="K4" s="534"/>
      <c r="L4" s="555"/>
      <c r="M4" s="545"/>
      <c r="N4" s="545"/>
      <c r="O4" s="548"/>
      <c r="P4" s="537"/>
      <c r="Q4" s="537"/>
    </row>
    <row r="5" spans="1:18" ht="15" customHeight="1" x14ac:dyDescent="0.25">
      <c r="A5" s="187" t="s">
        <v>182</v>
      </c>
      <c r="B5" s="188" t="s">
        <v>2</v>
      </c>
      <c r="C5" s="198">
        <f>+$B$30/18</f>
        <v>217555</v>
      </c>
      <c r="D5" s="199">
        <v>10984446</v>
      </c>
      <c r="E5" s="191">
        <f>+D5/$D$23</f>
        <v>0.14699186681150611</v>
      </c>
      <c r="F5" s="200">
        <v>37086</v>
      </c>
      <c r="G5" s="191">
        <f>+D5/F5</f>
        <v>296.18848082834495</v>
      </c>
      <c r="H5" s="191">
        <f t="shared" ref="H5:H22" si="0">+$G$24-G5</f>
        <v>2582.7547707053973</v>
      </c>
      <c r="I5" s="200">
        <f>+F5*H5</f>
        <v>95784043.426380366</v>
      </c>
      <c r="J5" s="191">
        <f>+I5/$I$23</f>
        <v>0.20267378358180008</v>
      </c>
      <c r="K5" s="192">
        <f>+AVERAGE(E5,J5)</f>
        <v>0.17483282519665311</v>
      </c>
      <c r="L5" s="335">
        <f>+K5*$B$31</f>
        <v>684643.59514184156</v>
      </c>
      <c r="M5" s="209">
        <f>+VLOOKUP(B5,Pedagogía!$B$15:$V$32,21,0)</f>
        <v>0</v>
      </c>
      <c r="N5" s="209">
        <f>+VLOOKUP(B5,Género!A4:I21,9,0)</f>
        <v>97173.791649060542</v>
      </c>
      <c r="O5" s="226">
        <f>+C5+L5+M5+N5</f>
        <v>999372.38679090212</v>
      </c>
      <c r="P5" s="228">
        <f>ROUND(O5,0)</f>
        <v>999372</v>
      </c>
      <c r="Q5" s="229">
        <f>TRUNC(O5,0)</f>
        <v>999372</v>
      </c>
      <c r="R5" s="374" t="str">
        <f t="shared" ref="R5:R23" si="1">+B5</f>
        <v>UCH</v>
      </c>
    </row>
    <row r="6" spans="1:18" ht="15.75" customHeight="1" x14ac:dyDescent="0.25">
      <c r="A6" s="183" t="s">
        <v>183</v>
      </c>
      <c r="B6" s="184" t="s">
        <v>3</v>
      </c>
      <c r="C6" s="201">
        <f t="shared" ref="C6:C22" si="2">+$B$30/18</f>
        <v>217555</v>
      </c>
      <c r="D6" s="202">
        <v>6410363</v>
      </c>
      <c r="E6" s="176">
        <f t="shared" ref="E6:E22" si="3">+D6/$D$23</f>
        <v>8.5782316587418861E-2</v>
      </c>
      <c r="F6" s="203">
        <v>23340</v>
      </c>
      <c r="G6" s="176">
        <f t="shared" ref="G6:G22" si="4">+D6/F6</f>
        <v>274.65137103684663</v>
      </c>
      <c r="H6" s="176">
        <f t="shared" si="0"/>
        <v>2604.2918804968954</v>
      </c>
      <c r="I6" s="203">
        <f t="shared" ref="I6:I22" si="5">+F6*H6</f>
        <v>60784172.490797535</v>
      </c>
      <c r="J6" s="176">
        <f t="shared" ref="J6:J22" si="6">+I6/$I$23</f>
        <v>0.12861597589652149</v>
      </c>
      <c r="K6" s="193">
        <f t="shared" ref="K6:K22" si="7">+AVERAGE(E6,J6)</f>
        <v>0.10719914624197018</v>
      </c>
      <c r="L6" s="336">
        <f t="shared" ref="L6:L22" si="8">+K6*$B$31</f>
        <v>419790.7846920928</v>
      </c>
      <c r="M6" s="210">
        <f>+VLOOKUP(B6,Pedagogía!$B$15:$V$32,21,0)</f>
        <v>0</v>
      </c>
      <c r="N6" s="210">
        <f>+VLOOKUP(B6,Género!A5:I22,9,0)</f>
        <v>76802.504372873809</v>
      </c>
      <c r="O6" s="226">
        <f t="shared" ref="O6:O22" si="9">+C6+L6+M6+N6</f>
        <v>714148.28906496661</v>
      </c>
      <c r="P6" s="228">
        <f t="shared" ref="P6:P22" si="10">ROUND(O6,0)</f>
        <v>714148</v>
      </c>
      <c r="Q6" s="229">
        <f t="shared" ref="Q6:Q22" si="11">TRUNC(O6,0)</f>
        <v>714148</v>
      </c>
      <c r="R6" s="374" t="str">
        <f t="shared" si="1"/>
        <v>USA</v>
      </c>
    </row>
    <row r="7" spans="1:18" ht="15" x14ac:dyDescent="0.25">
      <c r="A7" s="183" t="s">
        <v>185</v>
      </c>
      <c r="B7" s="184" t="s">
        <v>9</v>
      </c>
      <c r="C7" s="201">
        <f t="shared" si="2"/>
        <v>217555</v>
      </c>
      <c r="D7" s="202">
        <v>3976751</v>
      </c>
      <c r="E7" s="176">
        <f t="shared" si="3"/>
        <v>5.3216161591993237E-2</v>
      </c>
      <c r="F7" s="203">
        <v>7455</v>
      </c>
      <c r="G7" s="176">
        <f t="shared" si="4"/>
        <v>533.43407109322607</v>
      </c>
      <c r="H7" s="176">
        <f t="shared" si="0"/>
        <v>2345.509180440516</v>
      </c>
      <c r="I7" s="203">
        <f t="shared" si="5"/>
        <v>17485770.940184046</v>
      </c>
      <c r="J7" s="176">
        <f t="shared" si="6"/>
        <v>3.6998932478932552E-2</v>
      </c>
      <c r="K7" s="193">
        <f t="shared" si="7"/>
        <v>4.5107547035462894E-2</v>
      </c>
      <c r="L7" s="336">
        <f t="shared" si="8"/>
        <v>176640.70311540234</v>
      </c>
      <c r="M7" s="210">
        <f>+VLOOKUP(B7,Pedagogía!$B$15:$V$32,21,0)</f>
        <v>0</v>
      </c>
      <c r="N7" s="210">
        <f>+VLOOKUP(B7,Género!A6:I23,9,0)</f>
        <v>77450.178924714695</v>
      </c>
      <c r="O7" s="226">
        <f t="shared" si="9"/>
        <v>471645.88204011705</v>
      </c>
      <c r="P7" s="228">
        <f t="shared" si="10"/>
        <v>471646</v>
      </c>
      <c r="Q7" s="229">
        <f t="shared" si="11"/>
        <v>471645</v>
      </c>
      <c r="R7" s="374" t="str">
        <f t="shared" si="1"/>
        <v>ANT</v>
      </c>
    </row>
    <row r="8" spans="1:18" ht="15" x14ac:dyDescent="0.25">
      <c r="A8" s="183" t="s">
        <v>188</v>
      </c>
      <c r="B8" s="184" t="s">
        <v>6</v>
      </c>
      <c r="C8" s="201">
        <f t="shared" si="2"/>
        <v>217555</v>
      </c>
      <c r="D8" s="202">
        <v>4637451</v>
      </c>
      <c r="E8" s="176">
        <f t="shared" si="3"/>
        <v>6.2057529322542611E-2</v>
      </c>
      <c r="F8" s="203">
        <v>10872</v>
      </c>
      <c r="G8" s="176">
        <f t="shared" si="4"/>
        <v>426.54994481236201</v>
      </c>
      <c r="H8" s="176">
        <f t="shared" si="0"/>
        <v>2452.3933067213802</v>
      </c>
      <c r="I8" s="203">
        <f t="shared" si="5"/>
        <v>26662420.030674845</v>
      </c>
      <c r="J8" s="176">
        <f t="shared" si="6"/>
        <v>5.6416218753777989E-2</v>
      </c>
      <c r="K8" s="193">
        <f t="shared" si="7"/>
        <v>5.9236874038160303E-2</v>
      </c>
      <c r="L8" s="336">
        <f t="shared" si="8"/>
        <v>231971.00636469538</v>
      </c>
      <c r="M8" s="210">
        <f>+VLOOKUP(B8,Pedagogía!$B$15:$V$32,21,0)</f>
        <v>55942.714285714283</v>
      </c>
      <c r="N8" s="210">
        <f>+VLOOKUP(B8,Género!A7:I24,9,0)</f>
        <v>80913.45481466662</v>
      </c>
      <c r="O8" s="226">
        <f t="shared" si="9"/>
        <v>586382.17546507623</v>
      </c>
      <c r="P8" s="228">
        <f t="shared" si="10"/>
        <v>586382</v>
      </c>
      <c r="Q8" s="229">
        <f t="shared" si="11"/>
        <v>586382</v>
      </c>
      <c r="R8" s="374" t="str">
        <f t="shared" si="1"/>
        <v>FRO</v>
      </c>
    </row>
    <row r="9" spans="1:18" ht="15" x14ac:dyDescent="0.25">
      <c r="A9" s="183" t="s">
        <v>190</v>
      </c>
      <c r="B9" s="184" t="s">
        <v>5</v>
      </c>
      <c r="C9" s="201">
        <f t="shared" si="2"/>
        <v>217555</v>
      </c>
      <c r="D9" s="202">
        <v>5639022</v>
      </c>
      <c r="E9" s="176">
        <f t="shared" si="3"/>
        <v>7.5460371034747939E-2</v>
      </c>
      <c r="F9" s="203">
        <v>10547</v>
      </c>
      <c r="G9" s="176">
        <f t="shared" si="4"/>
        <v>534.65648999715563</v>
      </c>
      <c r="H9" s="176">
        <f t="shared" si="0"/>
        <v>2344.2867615365867</v>
      </c>
      <c r="I9" s="203">
        <f t="shared" si="5"/>
        <v>24725192.47392638</v>
      </c>
      <c r="J9" s="176">
        <f t="shared" si="6"/>
        <v>5.2317151471377138E-2</v>
      </c>
      <c r="K9" s="193">
        <f t="shared" si="7"/>
        <v>6.3888761253062532E-2</v>
      </c>
      <c r="L9" s="336">
        <f t="shared" si="8"/>
        <v>250187.75017938035</v>
      </c>
      <c r="M9" s="210">
        <f>+VLOOKUP(B9,Pedagogía!$B$15:$V$32,21,0)</f>
        <v>0</v>
      </c>
      <c r="N9" s="210">
        <f>+VLOOKUP(B9,Género!A8:I25,9,0)</f>
        <v>68211.674066234875</v>
      </c>
      <c r="O9" s="226">
        <f t="shared" si="9"/>
        <v>535954.42424561526</v>
      </c>
      <c r="P9" s="228">
        <f t="shared" si="10"/>
        <v>535954</v>
      </c>
      <c r="Q9" s="229">
        <f t="shared" si="11"/>
        <v>535954</v>
      </c>
      <c r="R9" s="374" t="str">
        <f t="shared" si="1"/>
        <v>TAL</v>
      </c>
    </row>
    <row r="10" spans="1:18" ht="15" x14ac:dyDescent="0.25">
      <c r="A10" s="183" t="s">
        <v>192</v>
      </c>
      <c r="B10" s="184" t="s">
        <v>10</v>
      </c>
      <c r="C10" s="201">
        <f t="shared" si="2"/>
        <v>217555</v>
      </c>
      <c r="D10" s="202">
        <v>4036961</v>
      </c>
      <c r="E10" s="176">
        <f t="shared" si="3"/>
        <v>5.4021880906442124E-2</v>
      </c>
      <c r="F10" s="203">
        <v>10440</v>
      </c>
      <c r="G10" s="176">
        <f t="shared" si="4"/>
        <v>386.68208812260536</v>
      </c>
      <c r="H10" s="176">
        <f t="shared" si="0"/>
        <v>2492.2611634111367</v>
      </c>
      <c r="I10" s="203">
        <f t="shared" si="5"/>
        <v>26019206.546012267</v>
      </c>
      <c r="J10" s="176">
        <f t="shared" si="6"/>
        <v>5.5055214290778934E-2</v>
      </c>
      <c r="K10" s="193">
        <f t="shared" si="7"/>
        <v>5.4538547598610529E-2</v>
      </c>
      <c r="L10" s="336">
        <f t="shared" si="8"/>
        <v>213572.40701068286</v>
      </c>
      <c r="M10" s="210">
        <f>+VLOOKUP(B10,Pedagogía!$B$15:$V$32,21,0)</f>
        <v>57940.668367346938</v>
      </c>
      <c r="N10" s="210">
        <f>+VLOOKUP(B10,Género!A9:I26,9,0)</f>
        <v>69248.265732592932</v>
      </c>
      <c r="O10" s="226">
        <f t="shared" si="9"/>
        <v>558316.34111062274</v>
      </c>
      <c r="P10" s="228">
        <f t="shared" si="10"/>
        <v>558316</v>
      </c>
      <c r="Q10" s="229">
        <f t="shared" si="11"/>
        <v>558316</v>
      </c>
      <c r="R10" s="374" t="str">
        <f t="shared" si="1"/>
        <v>UTA</v>
      </c>
    </row>
    <row r="11" spans="1:18" ht="15" x14ac:dyDescent="0.25">
      <c r="A11" s="183" t="s">
        <v>184</v>
      </c>
      <c r="B11" s="184" t="s">
        <v>4</v>
      </c>
      <c r="C11" s="201">
        <f t="shared" si="2"/>
        <v>217555</v>
      </c>
      <c r="D11" s="202">
        <v>4241468</v>
      </c>
      <c r="E11" s="176">
        <f t="shared" si="3"/>
        <v>5.6758556539061256E-2</v>
      </c>
      <c r="F11" s="203">
        <v>14937</v>
      </c>
      <c r="G11" s="176">
        <f t="shared" si="4"/>
        <v>283.95715337751892</v>
      </c>
      <c r="H11" s="176">
        <f t="shared" si="0"/>
        <v>2594.9860981562233</v>
      </c>
      <c r="I11" s="203">
        <f t="shared" si="5"/>
        <v>38761307.348159507</v>
      </c>
      <c r="J11" s="176">
        <f t="shared" si="6"/>
        <v>8.2016800876302157E-2</v>
      </c>
      <c r="K11" s="193">
        <f t="shared" si="7"/>
        <v>6.9387678707681699E-2</v>
      </c>
      <c r="L11" s="336">
        <f t="shared" si="8"/>
        <v>271721.45594249445</v>
      </c>
      <c r="M11" s="210">
        <f>+VLOOKUP(B11,Pedagogía!$B$15:$V$32,21,0)</f>
        <v>0</v>
      </c>
      <c r="N11" s="210">
        <f>+VLOOKUP(B11,Género!A10:I27,9,0)</f>
        <v>99757.362660385043</v>
      </c>
      <c r="O11" s="226">
        <f t="shared" si="9"/>
        <v>589033.81860287953</v>
      </c>
      <c r="P11" s="228">
        <f t="shared" si="10"/>
        <v>589034</v>
      </c>
      <c r="Q11" s="229">
        <f t="shared" si="11"/>
        <v>589033</v>
      </c>
      <c r="R11" s="374" t="str">
        <f t="shared" si="1"/>
        <v>UVA</v>
      </c>
    </row>
    <row r="12" spans="1:18" ht="15" x14ac:dyDescent="0.25">
      <c r="A12" s="183" t="s">
        <v>187</v>
      </c>
      <c r="B12" s="184" t="s">
        <v>8</v>
      </c>
      <c r="C12" s="201">
        <f t="shared" si="2"/>
        <v>217555</v>
      </c>
      <c r="D12" s="202">
        <v>3757422</v>
      </c>
      <c r="E12" s="176">
        <f t="shared" si="3"/>
        <v>5.0281140640012517E-2</v>
      </c>
      <c r="F12" s="203">
        <v>11070</v>
      </c>
      <c r="G12" s="176">
        <f t="shared" si="4"/>
        <v>339.42384823848238</v>
      </c>
      <c r="H12" s="176">
        <f t="shared" si="0"/>
        <v>2539.5194032952595</v>
      </c>
      <c r="I12" s="203">
        <f t="shared" si="5"/>
        <v>28112479.794478524</v>
      </c>
      <c r="J12" s="176">
        <f t="shared" si="6"/>
        <v>5.9484465700104766E-2</v>
      </c>
      <c r="K12" s="193">
        <f t="shared" si="7"/>
        <v>5.4882803170058642E-2</v>
      </c>
      <c r="L12" s="336">
        <f t="shared" si="8"/>
        <v>214920.50838591793</v>
      </c>
      <c r="M12" s="210">
        <f>+VLOOKUP(B12,Pedagogía!$B$15:$V$32,21,0)</f>
        <v>56941.691326530607</v>
      </c>
      <c r="N12" s="210">
        <f>+VLOOKUP(B12,Género!A11:I28,9,0)</f>
        <v>69314.844942005904</v>
      </c>
      <c r="O12" s="226">
        <f t="shared" si="9"/>
        <v>558732.04465445445</v>
      </c>
      <c r="P12" s="228">
        <f t="shared" si="10"/>
        <v>558732</v>
      </c>
      <c r="Q12" s="229">
        <f t="shared" si="11"/>
        <v>558732</v>
      </c>
      <c r="R12" s="374" t="str">
        <f t="shared" si="1"/>
        <v>UBB</v>
      </c>
    </row>
    <row r="13" spans="1:18" ht="15" x14ac:dyDescent="0.25">
      <c r="A13" s="183" t="s">
        <v>186</v>
      </c>
      <c r="B13" s="184" t="s">
        <v>7</v>
      </c>
      <c r="C13" s="201">
        <f t="shared" si="2"/>
        <v>217555</v>
      </c>
      <c r="D13" s="202">
        <v>3210710</v>
      </c>
      <c r="E13" s="176">
        <f t="shared" si="3"/>
        <v>4.2965139679358506E-2</v>
      </c>
      <c r="F13" s="203">
        <v>7483</v>
      </c>
      <c r="G13" s="176">
        <f t="shared" si="4"/>
        <v>429.06721902980087</v>
      </c>
      <c r="H13" s="176">
        <f t="shared" si="0"/>
        <v>2449.8760325039411</v>
      </c>
      <c r="I13" s="203">
        <f t="shared" si="5"/>
        <v>18332422.351226993</v>
      </c>
      <c r="J13" s="176">
        <f t="shared" si="6"/>
        <v>3.8790400438654164E-2</v>
      </c>
      <c r="K13" s="193">
        <f t="shared" si="7"/>
        <v>4.0877770059006335E-2</v>
      </c>
      <c r="L13" s="336">
        <f t="shared" si="8"/>
        <v>160076.93877336822</v>
      </c>
      <c r="M13" s="210">
        <f>+VLOOKUP(B13,Pedagogía!$B$15:$V$32,21,0)</f>
        <v>51946.806122448979</v>
      </c>
      <c r="N13" s="210">
        <f>+VLOOKUP(B13,Género!A12:I29,9,0)</f>
        <v>76682.040441959864</v>
      </c>
      <c r="O13" s="226">
        <f t="shared" si="9"/>
        <v>506260.78533777711</v>
      </c>
      <c r="P13" s="228">
        <f t="shared" si="10"/>
        <v>506261</v>
      </c>
      <c r="Q13" s="229">
        <f t="shared" si="11"/>
        <v>506260</v>
      </c>
      <c r="R13" s="374" t="str">
        <f t="shared" si="1"/>
        <v>ULS</v>
      </c>
    </row>
    <row r="14" spans="1:18" ht="15" x14ac:dyDescent="0.25">
      <c r="A14" s="183" t="s">
        <v>195</v>
      </c>
      <c r="B14" s="184" t="s">
        <v>27</v>
      </c>
      <c r="C14" s="201">
        <f t="shared" si="2"/>
        <v>217555</v>
      </c>
      <c r="D14" s="202">
        <v>3401434</v>
      </c>
      <c r="E14" s="176">
        <f t="shared" si="3"/>
        <v>4.5517373702426915E-2</v>
      </c>
      <c r="F14" s="203">
        <v>6748</v>
      </c>
      <c r="G14" s="176">
        <f t="shared" si="4"/>
        <v>504.06550088915236</v>
      </c>
      <c r="H14" s="176">
        <f t="shared" si="0"/>
        <v>2374.8777506445899</v>
      </c>
      <c r="I14" s="203">
        <f t="shared" si="5"/>
        <v>16025675.061349694</v>
      </c>
      <c r="J14" s="176">
        <f t="shared" si="6"/>
        <v>3.3909449663530232E-2</v>
      </c>
      <c r="K14" s="193">
        <f t="shared" si="7"/>
        <v>3.9713411682978574E-2</v>
      </c>
      <c r="L14" s="336">
        <f t="shared" si="8"/>
        <v>155517.32301642725</v>
      </c>
      <c r="M14" s="210">
        <f>+VLOOKUP(B14,Pedagogía!$B$15:$V$32,21,0)</f>
        <v>62935.553571428565</v>
      </c>
      <c r="N14" s="210">
        <f>+VLOOKUP(B14,Género!A13:I30,9,0)</f>
        <v>91608.227499691609</v>
      </c>
      <c r="O14" s="226">
        <f t="shared" si="9"/>
        <v>527616.1040875474</v>
      </c>
      <c r="P14" s="228">
        <f t="shared" si="10"/>
        <v>527616</v>
      </c>
      <c r="Q14" s="229">
        <f t="shared" si="11"/>
        <v>527616</v>
      </c>
      <c r="R14" s="374" t="str">
        <f t="shared" si="1"/>
        <v>UPA</v>
      </c>
    </row>
    <row r="15" spans="1:18" ht="15" x14ac:dyDescent="0.25">
      <c r="A15" s="183" t="s">
        <v>193</v>
      </c>
      <c r="B15" s="184" t="s">
        <v>23</v>
      </c>
      <c r="C15" s="201">
        <f t="shared" si="2"/>
        <v>217555</v>
      </c>
      <c r="D15" s="202">
        <v>3323723</v>
      </c>
      <c r="E15" s="176">
        <f t="shared" si="3"/>
        <v>4.4477459175850977E-2</v>
      </c>
      <c r="F15" s="203">
        <v>9952</v>
      </c>
      <c r="G15" s="176">
        <f t="shared" si="4"/>
        <v>333.97538183279744</v>
      </c>
      <c r="H15" s="176">
        <f t="shared" si="0"/>
        <v>2544.9678697009449</v>
      </c>
      <c r="I15" s="203">
        <f t="shared" si="5"/>
        <v>25327520.239263803</v>
      </c>
      <c r="J15" s="176">
        <f t="shared" si="6"/>
        <v>5.3591643994248483E-2</v>
      </c>
      <c r="K15" s="193">
        <f t="shared" si="7"/>
        <v>4.9034551585049727E-2</v>
      </c>
      <c r="L15" s="336">
        <f t="shared" si="8"/>
        <v>192018.81366153888</v>
      </c>
      <c r="M15" s="210">
        <f>+VLOOKUP(B15,Pedagogía!$B$15:$V$32,21,0)</f>
        <v>0</v>
      </c>
      <c r="N15" s="210">
        <f>+VLOOKUP(B15,Género!A14:I31,9,0)</f>
        <v>70634.973698820831</v>
      </c>
      <c r="O15" s="226">
        <f t="shared" si="9"/>
        <v>480208.78736035968</v>
      </c>
      <c r="P15" s="228">
        <f t="shared" si="10"/>
        <v>480209</v>
      </c>
      <c r="Q15" s="229">
        <f t="shared" si="11"/>
        <v>480208</v>
      </c>
      <c r="R15" s="374" t="str">
        <f t="shared" si="1"/>
        <v>UAP</v>
      </c>
    </row>
    <row r="16" spans="1:18" ht="15" x14ac:dyDescent="0.25">
      <c r="A16" s="183" t="s">
        <v>191</v>
      </c>
      <c r="B16" s="184" t="s">
        <v>24</v>
      </c>
      <c r="C16" s="201">
        <f t="shared" si="2"/>
        <v>217555</v>
      </c>
      <c r="D16" s="202">
        <v>4278351</v>
      </c>
      <c r="E16" s="176">
        <f t="shared" si="3"/>
        <v>5.7252118164618775E-2</v>
      </c>
      <c r="F16" s="203">
        <v>7652</v>
      </c>
      <c r="G16" s="176">
        <f t="shared" si="4"/>
        <v>559.11539466806062</v>
      </c>
      <c r="H16" s="176">
        <f t="shared" si="0"/>
        <v>2319.8278568656815</v>
      </c>
      <c r="I16" s="203">
        <f t="shared" si="5"/>
        <v>17751322.760736194</v>
      </c>
      <c r="J16" s="176">
        <f t="shared" si="6"/>
        <v>3.7560825569713428E-2</v>
      </c>
      <c r="K16" s="193">
        <f t="shared" si="7"/>
        <v>4.7406471867166101E-2</v>
      </c>
      <c r="L16" s="336">
        <f t="shared" si="8"/>
        <v>185643.26976710377</v>
      </c>
      <c r="M16" s="210">
        <f>+VLOOKUP(B16,Pedagogía!$B$15:$V$32,21,0)</f>
        <v>0</v>
      </c>
      <c r="N16" s="210">
        <f>+VLOOKUP(B16,Género!A15:I32,9,0)</f>
        <v>66144.051857186088</v>
      </c>
      <c r="O16" s="226">
        <f t="shared" si="9"/>
        <v>469342.32162428985</v>
      </c>
      <c r="P16" s="228">
        <f t="shared" si="10"/>
        <v>469342</v>
      </c>
      <c r="Q16" s="229">
        <f t="shared" si="11"/>
        <v>469342</v>
      </c>
      <c r="R16" s="374" t="str">
        <f t="shared" si="1"/>
        <v>ATA</v>
      </c>
    </row>
    <row r="17" spans="1:18" ht="15" x14ac:dyDescent="0.25">
      <c r="A17" s="183" t="s">
        <v>197</v>
      </c>
      <c r="B17" s="184" t="s">
        <v>25</v>
      </c>
      <c r="C17" s="201">
        <f t="shared" si="2"/>
        <v>217555</v>
      </c>
      <c r="D17" s="202">
        <v>4214295</v>
      </c>
      <c r="E17" s="176">
        <f t="shared" si="3"/>
        <v>5.6394932374777586E-2</v>
      </c>
      <c r="F17" s="203">
        <v>10036</v>
      </c>
      <c r="G17" s="176">
        <f t="shared" si="4"/>
        <v>419.91779593463531</v>
      </c>
      <c r="H17" s="176">
        <f t="shared" si="0"/>
        <v>2459.0254555991069</v>
      </c>
      <c r="I17" s="203">
        <f t="shared" si="5"/>
        <v>24678779.472392637</v>
      </c>
      <c r="J17" s="176">
        <f t="shared" si="6"/>
        <v>5.2218944105184024E-2</v>
      </c>
      <c r="K17" s="193">
        <f t="shared" si="7"/>
        <v>5.4306938239980805E-2</v>
      </c>
      <c r="L17" s="336">
        <f t="shared" si="8"/>
        <v>212665.42707838243</v>
      </c>
      <c r="M17" s="210">
        <f>+VLOOKUP(B17,Pedagogía!$B$15:$V$32,21,0)</f>
        <v>57940.668367346938</v>
      </c>
      <c r="N17" s="210">
        <f>+VLOOKUP(B17,Género!A16:I33,9,0)</f>
        <v>73901.806069483297</v>
      </c>
      <c r="O17" s="226">
        <f t="shared" si="9"/>
        <v>562062.90151521272</v>
      </c>
      <c r="P17" s="228">
        <f t="shared" si="10"/>
        <v>562063</v>
      </c>
      <c r="Q17" s="229">
        <f t="shared" si="11"/>
        <v>562062</v>
      </c>
      <c r="R17" s="374" t="str">
        <f t="shared" si="1"/>
        <v>ULA</v>
      </c>
    </row>
    <row r="18" spans="1:18" ht="15" x14ac:dyDescent="0.25">
      <c r="A18" s="183" t="s">
        <v>189</v>
      </c>
      <c r="B18" s="184" t="s">
        <v>26</v>
      </c>
      <c r="C18" s="201">
        <f t="shared" si="2"/>
        <v>217555</v>
      </c>
      <c r="D18" s="202">
        <v>3722430</v>
      </c>
      <c r="E18" s="176">
        <f t="shared" si="3"/>
        <v>4.9812884033947159E-2</v>
      </c>
      <c r="F18" s="203">
        <v>3935</v>
      </c>
      <c r="G18" s="176">
        <f t="shared" si="4"/>
        <v>945.97966963151202</v>
      </c>
      <c r="H18" s="176">
        <f t="shared" si="0"/>
        <v>1932.9635819022301</v>
      </c>
      <c r="I18" s="203">
        <f t="shared" si="5"/>
        <v>7606211.6947852755</v>
      </c>
      <c r="J18" s="176">
        <f t="shared" si="6"/>
        <v>1.6094326860309736E-2</v>
      </c>
      <c r="K18" s="193">
        <f t="shared" si="7"/>
        <v>3.2953605447128449E-2</v>
      </c>
      <c r="L18" s="336">
        <f t="shared" si="8"/>
        <v>129045.98939490053</v>
      </c>
      <c r="M18" s="210">
        <f>+VLOOKUP(B18,Pedagogía!$B$15:$V$32,21,0)</f>
        <v>0</v>
      </c>
      <c r="N18" s="210">
        <f>+VLOOKUP(B18,Género!A17:I34,9,0)</f>
        <v>78275.191455723092</v>
      </c>
      <c r="O18" s="226">
        <f t="shared" si="9"/>
        <v>424876.18085062358</v>
      </c>
      <c r="P18" s="228">
        <f t="shared" si="10"/>
        <v>424876</v>
      </c>
      <c r="Q18" s="229">
        <f t="shared" si="11"/>
        <v>424876</v>
      </c>
      <c r="R18" s="374" t="str">
        <f t="shared" si="1"/>
        <v>MAG</v>
      </c>
    </row>
    <row r="19" spans="1:18" ht="15" x14ac:dyDescent="0.25">
      <c r="A19" s="183" t="s">
        <v>194</v>
      </c>
      <c r="B19" s="184" t="s">
        <v>28</v>
      </c>
      <c r="C19" s="201">
        <f t="shared" si="2"/>
        <v>217555</v>
      </c>
      <c r="D19" s="202">
        <v>2533390</v>
      </c>
      <c r="E19" s="176">
        <f t="shared" si="3"/>
        <v>3.3901366119110737E-2</v>
      </c>
      <c r="F19" s="203">
        <v>3730</v>
      </c>
      <c r="G19" s="176">
        <f t="shared" si="4"/>
        <v>679.1930294906166</v>
      </c>
      <c r="H19" s="176">
        <f t="shared" si="0"/>
        <v>2199.7502220431256</v>
      </c>
      <c r="I19" s="203">
        <f t="shared" si="5"/>
        <v>8205068.3282208582</v>
      </c>
      <c r="J19" s="176">
        <f t="shared" si="6"/>
        <v>1.7361474658415959E-2</v>
      </c>
      <c r="K19" s="193">
        <f t="shared" si="7"/>
        <v>2.563142038876335E-2</v>
      </c>
      <c r="L19" s="336">
        <f t="shared" si="8"/>
        <v>100372.38592819338</v>
      </c>
      <c r="M19" s="210">
        <f>+VLOOKUP(B19,Pedagogía!$B$15:$V$32,21,0)</f>
        <v>94902.818877551021</v>
      </c>
      <c r="N19" s="210">
        <f>+VLOOKUP(B19,Género!A18:I35,9,0)</f>
        <v>112773.70342293826</v>
      </c>
      <c r="O19" s="226">
        <f t="shared" si="9"/>
        <v>525603.9082286827</v>
      </c>
      <c r="P19" s="228">
        <f t="shared" si="10"/>
        <v>525604</v>
      </c>
      <c r="Q19" s="229">
        <f t="shared" si="11"/>
        <v>525603</v>
      </c>
      <c r="R19" s="374" t="str">
        <f t="shared" si="1"/>
        <v>UMC</v>
      </c>
    </row>
    <row r="20" spans="1:18" ht="15" x14ac:dyDescent="0.25">
      <c r="A20" s="183" t="s">
        <v>196</v>
      </c>
      <c r="B20" s="184" t="s">
        <v>29</v>
      </c>
      <c r="C20" s="201">
        <f t="shared" si="2"/>
        <v>217555</v>
      </c>
      <c r="D20" s="202">
        <v>3052986</v>
      </c>
      <c r="E20" s="176">
        <f t="shared" si="3"/>
        <v>4.0854505679156945E-2</v>
      </c>
      <c r="F20" s="203">
        <v>8041</v>
      </c>
      <c r="G20" s="176">
        <f t="shared" si="4"/>
        <v>379.67740330804628</v>
      </c>
      <c r="H20" s="176">
        <f t="shared" si="0"/>
        <v>2499.2658482256957</v>
      </c>
      <c r="I20" s="203">
        <f t="shared" si="5"/>
        <v>20096596.68558282</v>
      </c>
      <c r="J20" s="176">
        <f t="shared" si="6"/>
        <v>4.252329659182829E-2</v>
      </c>
      <c r="K20" s="193">
        <f t="shared" si="7"/>
        <v>4.1688901135492618E-2</v>
      </c>
      <c r="L20" s="336">
        <f t="shared" si="8"/>
        <v>163253.31995757774</v>
      </c>
      <c r="M20" s="210">
        <f>+VLOOKUP(B20,Pedagogía!$B$15:$V$32,21,0)</f>
        <v>0</v>
      </c>
      <c r="N20" s="210">
        <f>+VLOOKUP(B20,Género!A19:I36,9,0)</f>
        <v>72700.38531274366</v>
      </c>
      <c r="O20" s="226">
        <f t="shared" si="9"/>
        <v>453508.7052703214</v>
      </c>
      <c r="P20" s="228">
        <f t="shared" si="10"/>
        <v>453509</v>
      </c>
      <c r="Q20" s="229">
        <f t="shared" si="11"/>
        <v>453508</v>
      </c>
      <c r="R20" s="374" t="str">
        <f t="shared" si="1"/>
        <v>UTM</v>
      </c>
    </row>
    <row r="21" spans="1:18" ht="15" x14ac:dyDescent="0.25">
      <c r="A21" s="183" t="s">
        <v>198</v>
      </c>
      <c r="B21" s="184" t="s">
        <v>89</v>
      </c>
      <c r="C21" s="201">
        <f t="shared" si="2"/>
        <v>217555</v>
      </c>
      <c r="D21" s="202">
        <v>1429983</v>
      </c>
      <c r="E21" s="176">
        <f t="shared" si="3"/>
        <v>1.9135773499976052E-2</v>
      </c>
      <c r="F21" s="203">
        <v>6139</v>
      </c>
      <c r="G21" s="176">
        <f t="shared" si="4"/>
        <v>232.93419123635772</v>
      </c>
      <c r="H21" s="176">
        <f t="shared" si="0"/>
        <v>2646.0090602973842</v>
      </c>
      <c r="I21" s="203">
        <f t="shared" si="5"/>
        <v>16243849.621165641</v>
      </c>
      <c r="J21" s="176">
        <f t="shared" si="6"/>
        <v>3.4371095068520652E-2</v>
      </c>
      <c r="K21" s="193">
        <f t="shared" si="7"/>
        <v>2.6753434284248354E-2</v>
      </c>
      <c r="L21" s="336">
        <f t="shared" si="8"/>
        <v>104766.18112277371</v>
      </c>
      <c r="M21" s="210">
        <f>+VLOOKUP(B21,Pedagogía!$B$15:$V$32,21,0)</f>
        <v>50947.829081632655</v>
      </c>
      <c r="N21" s="210">
        <f>+VLOOKUP(B21,Género!A20:I37,9,0)</f>
        <v>96128.37412925277</v>
      </c>
      <c r="O21" s="226">
        <f t="shared" si="9"/>
        <v>469397.38433365908</v>
      </c>
      <c r="P21" s="228">
        <f t="shared" si="10"/>
        <v>469397</v>
      </c>
      <c r="Q21" s="229">
        <f t="shared" si="11"/>
        <v>469397</v>
      </c>
      <c r="R21" s="374" t="str">
        <f t="shared" si="1"/>
        <v>URO</v>
      </c>
    </row>
    <row r="22" spans="1:18" ht="15.75" thickBot="1" x14ac:dyDescent="0.3">
      <c r="A22" s="185" t="s">
        <v>199</v>
      </c>
      <c r="B22" s="186" t="s">
        <v>91</v>
      </c>
      <c r="C22" s="204">
        <f t="shared" si="2"/>
        <v>217555</v>
      </c>
      <c r="D22" s="205">
        <v>1877071</v>
      </c>
      <c r="E22" s="194">
        <f t="shared" si="3"/>
        <v>2.5118624137051664E-2</v>
      </c>
      <c r="F22" s="206">
        <v>652</v>
      </c>
      <c r="G22" s="195">
        <f t="shared" si="4"/>
        <v>2878.9432515337421</v>
      </c>
      <c r="H22" s="194">
        <f t="shared" si="0"/>
        <v>0</v>
      </c>
      <c r="I22" s="206">
        <f t="shared" si="5"/>
        <v>0</v>
      </c>
      <c r="J22" s="194">
        <f t="shared" si="6"/>
        <v>0</v>
      </c>
      <c r="K22" s="196">
        <f t="shared" si="7"/>
        <v>1.2559312068525832E-2</v>
      </c>
      <c r="L22" s="337">
        <f t="shared" si="8"/>
        <v>49182.140467226476</v>
      </c>
      <c r="M22" s="211">
        <f>+VLOOKUP(B22,Pedagogía!$B$15:$V$32,21,0)</f>
        <v>0</v>
      </c>
      <c r="N22" s="210">
        <f>+VLOOKUP(B22,Género!A21:I38,9,0)</f>
        <v>90775.418949665996</v>
      </c>
      <c r="O22" s="226">
        <f t="shared" si="9"/>
        <v>357512.55941689247</v>
      </c>
      <c r="P22" s="228">
        <f t="shared" si="10"/>
        <v>357513</v>
      </c>
      <c r="Q22" s="229">
        <f t="shared" si="11"/>
        <v>357512</v>
      </c>
      <c r="R22" s="374" t="str">
        <f t="shared" si="1"/>
        <v>URY</v>
      </c>
    </row>
    <row r="23" spans="1:18" ht="15.75" thickBot="1" x14ac:dyDescent="0.3">
      <c r="B23" s="182" t="s">
        <v>245</v>
      </c>
      <c r="C23" s="207">
        <f>SUM(C5:C22)</f>
        <v>3915990</v>
      </c>
      <c r="D23" s="332">
        <f>SUM(D5:D22)</f>
        <v>74728257</v>
      </c>
      <c r="E23" s="76">
        <f>+D23/$D$23</f>
        <v>1</v>
      </c>
      <c r="F23" s="208">
        <f>SUM(F5:F22)</f>
        <v>190115</v>
      </c>
      <c r="G23" s="76">
        <f>SUM(G5:G22)</f>
        <v>10438.412285061262</v>
      </c>
      <c r="H23" s="333" t="s">
        <v>249</v>
      </c>
      <c r="I23" s="334">
        <f t="shared" ref="I23:N23" si="12">SUM(I5:I22)</f>
        <v>472602039.26533735</v>
      </c>
      <c r="J23" s="76">
        <f t="shared" si="12"/>
        <v>1.0000000000000002</v>
      </c>
      <c r="K23" s="197">
        <f t="shared" si="12"/>
        <v>0.99999999999999989</v>
      </c>
      <c r="L23" s="338">
        <f t="shared" si="12"/>
        <v>3915990.0000000005</v>
      </c>
      <c r="M23" s="212">
        <f t="shared" si="12"/>
        <v>489498.75</v>
      </c>
      <c r="N23" s="212">
        <f t="shared" si="12"/>
        <v>1468496.25</v>
      </c>
      <c r="O23" s="249">
        <f>SUM(O5:O22)</f>
        <v>9789975</v>
      </c>
      <c r="P23" s="346">
        <f>SUM(P5:P22)</f>
        <v>9789974</v>
      </c>
      <c r="Q23" s="347">
        <f>SUM(Q5:Q22)</f>
        <v>9789966</v>
      </c>
      <c r="R23" s="374" t="str">
        <f t="shared" si="1"/>
        <v>TOTAL</v>
      </c>
    </row>
    <row r="24" spans="1:18" ht="15" x14ac:dyDescent="0.25">
      <c r="D24" s="331" t="s">
        <v>372</v>
      </c>
      <c r="F24" s="138" t="s">
        <v>246</v>
      </c>
      <c r="G24" s="137">
        <f>+MAX(G5:G22)</f>
        <v>2878.9432515337421</v>
      </c>
      <c r="H24"/>
      <c r="I24"/>
      <c r="J24"/>
      <c r="K24"/>
      <c r="O24" s="227">
        <f>+B29-O23</f>
        <v>0</v>
      </c>
      <c r="P24" s="343">
        <f>+B29-P23</f>
        <v>1</v>
      </c>
      <c r="Q24" s="345">
        <f>+B29-Q23</f>
        <v>9</v>
      </c>
    </row>
    <row r="25" spans="1:18" ht="15" x14ac:dyDescent="0.25">
      <c r="C25"/>
      <c r="D25"/>
      <c r="E25"/>
      <c r="F25"/>
      <c r="G25"/>
      <c r="H25"/>
      <c r="I25"/>
      <c r="J25"/>
      <c r="K25"/>
    </row>
    <row r="26" spans="1:18" ht="15" x14ac:dyDescent="0.25">
      <c r="C26"/>
      <c r="D26"/>
      <c r="E26"/>
      <c r="F26"/>
      <c r="G26"/>
      <c r="I26"/>
      <c r="J26"/>
      <c r="K26"/>
    </row>
    <row r="27" spans="1:18" x14ac:dyDescent="0.2">
      <c r="H27" s="2" t="s">
        <v>399</v>
      </c>
    </row>
    <row r="29" spans="1:18" x14ac:dyDescent="0.2">
      <c r="A29" s="376" t="s">
        <v>401</v>
      </c>
      <c r="B29" s="375">
        <f>+'Montos AIUE 2024'!K38</f>
        <v>9789975</v>
      </c>
    </row>
    <row r="30" spans="1:18" x14ac:dyDescent="0.2">
      <c r="A30" s="64" t="s">
        <v>404</v>
      </c>
      <c r="B30" s="375">
        <f>+B29*0.4</f>
        <v>3915990</v>
      </c>
    </row>
    <row r="31" spans="1:18" x14ac:dyDescent="0.2">
      <c r="A31" s="64" t="s">
        <v>405</v>
      </c>
      <c r="B31" s="375">
        <f>+B29*0.4</f>
        <v>3915990</v>
      </c>
    </row>
    <row r="32" spans="1:18" x14ac:dyDescent="0.2">
      <c r="A32" s="64" t="s">
        <v>406</v>
      </c>
      <c r="B32" s="375">
        <f>+B29*0.05</f>
        <v>489498.75</v>
      </c>
    </row>
    <row r="33" spans="1:2" x14ac:dyDescent="0.2">
      <c r="A33" s="64" t="s">
        <v>407</v>
      </c>
      <c r="B33" s="375">
        <f>+B29*0.15</f>
        <v>1468496.25</v>
      </c>
    </row>
  </sheetData>
  <mergeCells count="17">
    <mergeCell ref="J3:J4"/>
    <mergeCell ref="K3:K4"/>
    <mergeCell ref="P2:P4"/>
    <mergeCell ref="Q2:Q4"/>
    <mergeCell ref="A2:A4"/>
    <mergeCell ref="B2:B4"/>
    <mergeCell ref="M3:M4"/>
    <mergeCell ref="N3:N4"/>
    <mergeCell ref="O2:O4"/>
    <mergeCell ref="D3:E3"/>
    <mergeCell ref="D2:L2"/>
    <mergeCell ref="L3:L4"/>
    <mergeCell ref="C2:C4"/>
    <mergeCell ref="F3:F4"/>
    <mergeCell ref="G3:G4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8831-B70C-4207-A6FD-C0BDBB37324B}">
  <sheetPr>
    <tabColor rgb="FFF9B073"/>
  </sheetPr>
  <dimension ref="A1:AB37"/>
  <sheetViews>
    <sheetView topLeftCell="O4" zoomScale="90" zoomScaleNormal="90" workbookViewId="0">
      <selection activeCell="AC17" sqref="AC17"/>
    </sheetView>
  </sheetViews>
  <sheetFormatPr baseColWidth="10" defaultColWidth="10.85546875" defaultRowHeight="15" x14ac:dyDescent="0.25"/>
  <cols>
    <col min="1" max="1" width="19.42578125" style="127" customWidth="1"/>
    <col min="2" max="6" width="10.85546875" style="127"/>
    <col min="7" max="7" width="15.140625" style="127" customWidth="1"/>
    <col min="8" max="8" width="10.85546875" style="127"/>
    <col min="9" max="9" width="14.140625" style="127" customWidth="1"/>
    <col min="10" max="11" width="10.85546875" style="127"/>
    <col min="12" max="12" width="12.28515625" style="127" customWidth="1"/>
    <col min="13" max="14" width="10.85546875" style="127"/>
    <col min="15" max="15" width="11.85546875" style="127" customWidth="1"/>
    <col min="16" max="16" width="14.7109375" style="127" customWidth="1"/>
    <col min="17" max="18" width="10.85546875" style="127"/>
    <col min="19" max="19" width="15.140625" style="127" customWidth="1"/>
    <col min="20" max="22" width="12.140625" style="127" customWidth="1"/>
    <col min="23" max="25" width="4.85546875" style="127" customWidth="1"/>
    <col min="26" max="26" width="16.28515625" style="127" customWidth="1"/>
    <col min="27" max="27" width="16.42578125" style="127" customWidth="1"/>
    <col min="28" max="28" width="31.5703125" style="127" customWidth="1"/>
    <col min="29" max="16384" width="10.85546875" style="127"/>
  </cols>
  <sheetData>
    <row r="1" spans="1:28" s="136" customFormat="1" ht="11.25" x14ac:dyDescent="0.25">
      <c r="I1" s="140" t="s">
        <v>261</v>
      </c>
      <c r="J1" s="559" t="s">
        <v>273</v>
      </c>
      <c r="K1" s="560"/>
    </row>
    <row r="2" spans="1:28" s="136" customFormat="1" ht="10.5" customHeight="1" x14ac:dyDescent="0.25">
      <c r="A2" s="140" t="s">
        <v>261</v>
      </c>
      <c r="B2" s="571" t="s">
        <v>262</v>
      </c>
      <c r="C2" s="572"/>
      <c r="I2" s="140" t="s">
        <v>274</v>
      </c>
      <c r="J2" s="559">
        <v>12</v>
      </c>
      <c r="K2" s="560"/>
      <c r="N2" s="140" t="s">
        <v>261</v>
      </c>
      <c r="O2" s="571" t="s">
        <v>253</v>
      </c>
      <c r="P2" s="572"/>
      <c r="Q2" s="572"/>
      <c r="R2" s="572"/>
    </row>
    <row r="3" spans="1:28" s="136" customFormat="1" ht="11.25" x14ac:dyDescent="0.25">
      <c r="A3" s="140" t="s">
        <v>263</v>
      </c>
      <c r="B3" s="141">
        <v>0.45</v>
      </c>
      <c r="I3" s="140" t="s">
        <v>263</v>
      </c>
      <c r="J3" s="148">
        <v>0.3</v>
      </c>
      <c r="K3" s="149"/>
      <c r="N3" s="140" t="s">
        <v>263</v>
      </c>
      <c r="O3" s="141">
        <v>0.25</v>
      </c>
    </row>
    <row r="4" spans="1:28" s="136" customFormat="1" ht="11.25" x14ac:dyDescent="0.25">
      <c r="A4" s="142"/>
      <c r="B4" s="143"/>
      <c r="I4" s="142"/>
      <c r="J4" s="143"/>
      <c r="K4" s="143"/>
      <c r="N4" s="142"/>
      <c r="O4" s="143"/>
    </row>
    <row r="5" spans="1:28" s="136" customFormat="1" ht="22.5" x14ac:dyDescent="0.25">
      <c r="A5" s="150" t="s">
        <v>39</v>
      </c>
      <c r="B5" s="145" t="s">
        <v>264</v>
      </c>
      <c r="C5" s="145" t="s">
        <v>265</v>
      </c>
      <c r="D5" s="145" t="s">
        <v>266</v>
      </c>
      <c r="I5" s="150" t="s">
        <v>39</v>
      </c>
      <c r="J5" s="145" t="s">
        <v>264</v>
      </c>
      <c r="K5" s="145" t="s">
        <v>265</v>
      </c>
      <c r="L5" s="145" t="s">
        <v>266</v>
      </c>
      <c r="N5" s="561" t="s">
        <v>39</v>
      </c>
      <c r="O5" s="562"/>
      <c r="P5" s="563"/>
      <c r="Q5" s="140" t="s">
        <v>264</v>
      </c>
      <c r="R5" s="140" t="s">
        <v>265</v>
      </c>
      <c r="S5" s="140" t="s">
        <v>266</v>
      </c>
    </row>
    <row r="6" spans="1:28" s="136" customFormat="1" ht="22.5" x14ac:dyDescent="0.25">
      <c r="A6" s="144" t="s">
        <v>267</v>
      </c>
      <c r="B6" s="151">
        <v>0</v>
      </c>
      <c r="C6" s="151">
        <v>0.1</v>
      </c>
      <c r="D6" s="152">
        <v>0</v>
      </c>
      <c r="I6" s="146" t="s">
        <v>275</v>
      </c>
      <c r="J6" s="151">
        <v>0</v>
      </c>
      <c r="K6" s="151">
        <v>0.2</v>
      </c>
      <c r="L6" s="152">
        <v>20</v>
      </c>
      <c r="N6" s="564" t="s">
        <v>280</v>
      </c>
      <c r="O6" s="565"/>
      <c r="P6" s="566"/>
      <c r="Q6" s="372" t="s">
        <v>400</v>
      </c>
      <c r="R6" s="152">
        <v>3</v>
      </c>
      <c r="S6" s="152">
        <v>20</v>
      </c>
    </row>
    <row r="7" spans="1:28" s="136" customFormat="1" ht="11.25" x14ac:dyDescent="0.25">
      <c r="A7" s="144" t="s">
        <v>268</v>
      </c>
      <c r="B7" s="151">
        <v>0.1</v>
      </c>
      <c r="C7" s="151">
        <v>0.3</v>
      </c>
      <c r="D7" s="152">
        <v>40</v>
      </c>
      <c r="I7" s="144" t="s">
        <v>276</v>
      </c>
      <c r="J7" s="151">
        <v>0.2</v>
      </c>
      <c r="K7" s="151">
        <v>0.4</v>
      </c>
      <c r="L7" s="152">
        <v>40</v>
      </c>
      <c r="N7" s="564" t="s">
        <v>281</v>
      </c>
      <c r="O7" s="565"/>
      <c r="P7" s="566"/>
      <c r="Q7" s="152">
        <v>3</v>
      </c>
      <c r="R7" s="152">
        <v>4</v>
      </c>
      <c r="S7" s="152">
        <v>40</v>
      </c>
    </row>
    <row r="8" spans="1:28" s="136" customFormat="1" ht="11.25" x14ac:dyDescent="0.25">
      <c r="A8" s="144" t="s">
        <v>269</v>
      </c>
      <c r="B8" s="151">
        <v>0.3</v>
      </c>
      <c r="C8" s="151">
        <v>0.5</v>
      </c>
      <c r="D8" s="152">
        <v>60</v>
      </c>
      <c r="I8" s="144" t="s">
        <v>277</v>
      </c>
      <c r="J8" s="151">
        <v>0.4</v>
      </c>
      <c r="K8" s="151">
        <v>0.65</v>
      </c>
      <c r="L8" s="152">
        <v>60</v>
      </c>
      <c r="N8" s="564" t="s">
        <v>282</v>
      </c>
      <c r="O8" s="565"/>
      <c r="P8" s="566"/>
      <c r="Q8" s="152">
        <v>4</v>
      </c>
      <c r="R8" s="152">
        <v>5</v>
      </c>
      <c r="S8" s="152">
        <v>60</v>
      </c>
    </row>
    <row r="9" spans="1:28" s="136" customFormat="1" ht="11.25" x14ac:dyDescent="0.25">
      <c r="A9" s="144" t="s">
        <v>270</v>
      </c>
      <c r="B9" s="151">
        <v>0.5</v>
      </c>
      <c r="C9" s="151">
        <v>0.75</v>
      </c>
      <c r="D9" s="152">
        <v>80</v>
      </c>
      <c r="I9" s="144" t="s">
        <v>278</v>
      </c>
      <c r="J9" s="151">
        <v>0.65</v>
      </c>
      <c r="K9" s="151">
        <v>0.8</v>
      </c>
      <c r="L9" s="152">
        <v>80</v>
      </c>
      <c r="N9" s="564" t="s">
        <v>283</v>
      </c>
      <c r="O9" s="565"/>
      <c r="P9" s="566"/>
      <c r="Q9" s="152">
        <v>5</v>
      </c>
      <c r="R9" s="152">
        <v>6</v>
      </c>
      <c r="S9" s="152">
        <v>80</v>
      </c>
    </row>
    <row r="10" spans="1:28" ht="20.100000000000001" customHeight="1" x14ac:dyDescent="0.25">
      <c r="A10" s="144" t="s">
        <v>271</v>
      </c>
      <c r="B10" s="151">
        <v>0.75</v>
      </c>
      <c r="C10" s="151">
        <v>1</v>
      </c>
      <c r="D10" s="152">
        <v>100</v>
      </c>
      <c r="I10" s="144" t="s">
        <v>279</v>
      </c>
      <c r="J10" s="151">
        <v>0.8</v>
      </c>
      <c r="K10" s="151">
        <v>1</v>
      </c>
      <c r="L10" s="152">
        <v>100</v>
      </c>
      <c r="N10" s="564" t="s">
        <v>284</v>
      </c>
      <c r="O10" s="565"/>
      <c r="P10" s="566"/>
      <c r="Q10" s="152">
        <v>6</v>
      </c>
      <c r="R10" s="152">
        <v>7</v>
      </c>
      <c r="S10" s="152">
        <v>100</v>
      </c>
    </row>
    <row r="11" spans="1:28" x14ac:dyDescent="0.25">
      <c r="B11" s="273">
        <v>1</v>
      </c>
      <c r="C11" s="273">
        <v>2</v>
      </c>
      <c r="D11" s="273">
        <v>3</v>
      </c>
      <c r="E11" s="273">
        <v>4</v>
      </c>
      <c r="F11" s="273">
        <v>5</v>
      </c>
      <c r="G11" s="273">
        <v>6</v>
      </c>
      <c r="H11" s="274">
        <v>7</v>
      </c>
      <c r="I11" s="273">
        <v>8</v>
      </c>
      <c r="J11" s="273">
        <v>9</v>
      </c>
      <c r="K11" s="273">
        <v>10</v>
      </c>
      <c r="L11" s="273">
        <v>11</v>
      </c>
      <c r="M11" s="274">
        <v>12</v>
      </c>
      <c r="N11" s="273">
        <v>13</v>
      </c>
      <c r="O11" s="273">
        <v>14</v>
      </c>
      <c r="P11" s="273">
        <v>15</v>
      </c>
      <c r="Q11" s="273">
        <v>16</v>
      </c>
      <c r="R11" s="273">
        <v>17</v>
      </c>
      <c r="S11" s="274">
        <v>18</v>
      </c>
      <c r="T11" s="274">
        <v>19</v>
      </c>
      <c r="U11" s="273">
        <v>20</v>
      </c>
      <c r="V11" s="273">
        <v>21</v>
      </c>
    </row>
    <row r="12" spans="1:28" ht="36.75" customHeight="1" x14ac:dyDescent="0.25">
      <c r="A12" s="569" t="s">
        <v>181</v>
      </c>
      <c r="B12" s="570" t="s">
        <v>200</v>
      </c>
      <c r="C12" s="220" t="s">
        <v>334</v>
      </c>
      <c r="Z12" s="568" t="s">
        <v>398</v>
      </c>
      <c r="AA12" s="568"/>
      <c r="AB12" s="568"/>
    </row>
    <row r="13" spans="1:28" ht="36.75" customHeight="1" x14ac:dyDescent="0.25">
      <c r="A13" s="569"/>
      <c r="B13" s="570"/>
      <c r="C13" s="220"/>
      <c r="H13" s="340" t="s">
        <v>378</v>
      </c>
      <c r="I13" s="340" t="s">
        <v>402</v>
      </c>
      <c r="J13" s="340" t="s">
        <v>403</v>
      </c>
      <c r="M13" s="340" t="s">
        <v>379</v>
      </c>
      <c r="S13" s="340" t="s">
        <v>380</v>
      </c>
      <c r="Z13" s="567" t="s">
        <v>396</v>
      </c>
      <c r="AA13" s="567"/>
      <c r="AB13" s="567"/>
    </row>
    <row r="14" spans="1:28" ht="63.75" x14ac:dyDescent="0.25">
      <c r="A14" s="569"/>
      <c r="B14" s="570"/>
      <c r="C14" s="219" t="s">
        <v>254</v>
      </c>
      <c r="D14" s="155" t="s">
        <v>255</v>
      </c>
      <c r="E14" s="155" t="s">
        <v>256</v>
      </c>
      <c r="F14" s="156" t="s">
        <v>259</v>
      </c>
      <c r="G14" s="155" t="s">
        <v>260</v>
      </c>
      <c r="H14" s="13" t="s">
        <v>272</v>
      </c>
      <c r="I14" s="155" t="s">
        <v>297</v>
      </c>
      <c r="J14" s="155" t="s">
        <v>258</v>
      </c>
      <c r="K14" s="155" t="s">
        <v>259</v>
      </c>
      <c r="L14" s="155" t="s">
        <v>260</v>
      </c>
      <c r="M14" s="172" t="s">
        <v>286</v>
      </c>
      <c r="N14" s="174" t="s">
        <v>257</v>
      </c>
      <c r="O14" s="155" t="s">
        <v>285</v>
      </c>
      <c r="P14" s="155" t="s">
        <v>253</v>
      </c>
      <c r="Q14" s="155" t="s">
        <v>259</v>
      </c>
      <c r="R14" s="155" t="s">
        <v>260</v>
      </c>
      <c r="S14" s="153" t="s">
        <v>287</v>
      </c>
      <c r="T14" s="269" t="s">
        <v>288</v>
      </c>
      <c r="U14" s="269" t="s">
        <v>289</v>
      </c>
      <c r="V14" s="270" t="s">
        <v>290</v>
      </c>
      <c r="Z14" s="155" t="s">
        <v>397</v>
      </c>
      <c r="AA14" s="155" t="s">
        <v>255</v>
      </c>
      <c r="AB14" s="254" t="s">
        <v>333</v>
      </c>
    </row>
    <row r="15" spans="1:28" s="221" customFormat="1" x14ac:dyDescent="0.25">
      <c r="A15" s="152" t="s">
        <v>194</v>
      </c>
      <c r="B15" s="152" t="s">
        <v>28</v>
      </c>
      <c r="C15" s="163">
        <v>3331</v>
      </c>
      <c r="D15" s="163">
        <v>3730</v>
      </c>
      <c r="E15" s="371">
        <f t="shared" ref="E15:E22" si="0">+IF(C15/D15&lt;0.1,0,C15/D15)</f>
        <v>0.89302949061662196</v>
      </c>
      <c r="F15" s="164">
        <f>IF(E15&gt;=$B$10,$D$10,IF(E15&gt;=$B$9,$D$9,IF(E15&gt;=$B$8,$D$8,IF(E15&gt;=$B$7,$D$7,$D$6))))</f>
        <v>100</v>
      </c>
      <c r="G15" s="163">
        <f t="shared" ref="G15:G32" si="1">F15/$F$33</f>
        <v>0.26315789473684209</v>
      </c>
      <c r="H15" s="165">
        <f>IF(E15&gt;0,F15*$B$3,0)</f>
        <v>45</v>
      </c>
      <c r="I15" s="163">
        <v>11</v>
      </c>
      <c r="J15" s="158">
        <v>0.91666666666666663</v>
      </c>
      <c r="K15" s="164">
        <f>IF(J15&gt;=$J$10,$L$10,IF(J15&gt;=$J$9,$L$9,IF(J15&gt;=$J$8,$L$8,IF(J15&gt;=$J$7,$L$7,$L$6))))</f>
        <v>100</v>
      </c>
      <c r="L15" s="166">
        <f t="shared" ref="L15:L22" si="2">K15/$K$33</f>
        <v>0.14705882352941177</v>
      </c>
      <c r="M15" s="173">
        <f t="shared" ref="M15:M30" si="3">IF(E15&gt;0,K15*$J$3,0)</f>
        <v>30</v>
      </c>
      <c r="N15" s="175">
        <v>18</v>
      </c>
      <c r="O15" s="163">
        <v>92</v>
      </c>
      <c r="P15" s="167">
        <v>5.1111111111111107</v>
      </c>
      <c r="Q15" s="168">
        <f>IF(P15&gt;=$Q$10,$S$10,IF(P15&gt;=$Q$9,$S$9,IF(P15&gt;=$Q$8,$S$8,IF(P15&gt;=$Q$7,$S$7,IF(P15&gt;$Q$6,$S$6,0)))))</f>
        <v>80</v>
      </c>
      <c r="R15" s="252">
        <f t="shared" ref="R15:R22" si="4">Q15/$Q$33</f>
        <v>0.17391304347826086</v>
      </c>
      <c r="S15" s="163">
        <f t="shared" ref="S15:S30" si="5">+IF(E15&gt;0,Q15*$O$3,0)</f>
        <v>20</v>
      </c>
      <c r="T15" s="169">
        <f t="shared" ref="T15:T30" si="6">+H15+M15+S15</f>
        <v>95</v>
      </c>
      <c r="U15" s="170">
        <f t="shared" ref="U15:U32" si="7">+T15/$T$33</f>
        <v>0.19387755102040816</v>
      </c>
      <c r="V15" s="163">
        <f>+U15*$B$37</f>
        <v>94902.818877551021</v>
      </c>
      <c r="W15" s="127"/>
      <c r="X15" s="127"/>
      <c r="Y15" s="127"/>
      <c r="Z15" s="163">
        <v>3331</v>
      </c>
      <c r="AA15" s="163">
        <v>3730</v>
      </c>
      <c r="AB15" s="255">
        <f t="shared" ref="AB15:AB30" si="8">+Z15/AA15</f>
        <v>0.89302949061662196</v>
      </c>
    </row>
    <row r="16" spans="1:28" s="221" customFormat="1" x14ac:dyDescent="0.25">
      <c r="A16" s="152" t="s">
        <v>195</v>
      </c>
      <c r="B16" s="152" t="s">
        <v>27</v>
      </c>
      <c r="C16" s="163">
        <v>1978</v>
      </c>
      <c r="D16" s="163">
        <v>6747</v>
      </c>
      <c r="E16" s="371">
        <f t="shared" si="0"/>
        <v>0.29316733362976138</v>
      </c>
      <c r="F16" s="164">
        <f t="shared" ref="F16:F30" si="9">IF(E16&gt;=$B$10,$D$10,IF(E16&gt;=$B$9,$D$9,IF(E16&gt;=$B$8,$D$8,IF(E16&gt;=$B$7,$D$7,$D$6))))</f>
        <v>40</v>
      </c>
      <c r="G16" s="163">
        <f t="shared" si="1"/>
        <v>0.10526315789473684</v>
      </c>
      <c r="H16" s="165">
        <f t="shared" ref="H16:H30" si="10">IF(E16&gt;0,F16*$B$3,0)</f>
        <v>18</v>
      </c>
      <c r="I16" s="163">
        <v>12</v>
      </c>
      <c r="J16" s="158">
        <v>1</v>
      </c>
      <c r="K16" s="164">
        <f t="shared" ref="K16:K22" si="11">IF(J16&gt;=$J$10,$L$10,IF(J16&gt;=$J$9,$L$9,IF(J16&gt;=$J$8,$L$8,IF(J16&gt;=$J$7,$L$7,$L$6))))</f>
        <v>100</v>
      </c>
      <c r="L16" s="166">
        <f t="shared" si="2"/>
        <v>0.14705882352941177</v>
      </c>
      <c r="M16" s="173">
        <f t="shared" si="3"/>
        <v>30</v>
      </c>
      <c r="N16" s="175">
        <v>13</v>
      </c>
      <c r="O16" s="163">
        <v>53</v>
      </c>
      <c r="P16" s="167">
        <v>4.0769230769230766</v>
      </c>
      <c r="Q16" s="168">
        <f t="shared" ref="Q16:Q22" si="12">IF(P16&gt;=$Q$10,$S$10,IF(P16&gt;=$Q$9,$S$9,IF(P16&gt;=$Q$8,$S$8,IF(P16&gt;=$Q$7,$S$7,IF(P16&gt;$Q$6,$S$6,0)))))</f>
        <v>60</v>
      </c>
      <c r="R16" s="252">
        <f t="shared" si="4"/>
        <v>0.13043478260869565</v>
      </c>
      <c r="S16" s="163">
        <f t="shared" si="5"/>
        <v>15</v>
      </c>
      <c r="T16" s="169">
        <f t="shared" si="6"/>
        <v>63</v>
      </c>
      <c r="U16" s="170">
        <f t="shared" si="7"/>
        <v>0.12857142857142856</v>
      </c>
      <c r="V16" s="163">
        <f t="shared" ref="V16:V32" si="13">+U16*$B$37</f>
        <v>62935.553571428565</v>
      </c>
      <c r="W16" s="127"/>
      <c r="X16" s="127"/>
      <c r="Y16" s="127"/>
      <c r="Z16" s="163">
        <v>1978</v>
      </c>
      <c r="AA16" s="163">
        <v>6747</v>
      </c>
      <c r="AB16" s="255">
        <f t="shared" si="8"/>
        <v>0.29316733362976138</v>
      </c>
    </row>
    <row r="17" spans="1:28" s="221" customFormat="1" x14ac:dyDescent="0.25">
      <c r="A17" s="152" t="s">
        <v>198</v>
      </c>
      <c r="B17" s="152" t="s">
        <v>89</v>
      </c>
      <c r="C17" s="163">
        <v>1553</v>
      </c>
      <c r="D17" s="163">
        <v>6028</v>
      </c>
      <c r="E17" s="371">
        <f t="shared" si="0"/>
        <v>0.25763105507631057</v>
      </c>
      <c r="F17" s="164">
        <f t="shared" si="9"/>
        <v>40</v>
      </c>
      <c r="G17" s="163">
        <f t="shared" si="1"/>
        <v>0.10526315789473684</v>
      </c>
      <c r="H17" s="165">
        <f t="shared" si="10"/>
        <v>18</v>
      </c>
      <c r="I17" s="163">
        <v>7</v>
      </c>
      <c r="J17" s="158">
        <v>0.58333333333333337</v>
      </c>
      <c r="K17" s="164">
        <f t="shared" si="11"/>
        <v>60</v>
      </c>
      <c r="L17" s="166">
        <f t="shared" si="2"/>
        <v>8.8235294117647065E-2</v>
      </c>
      <c r="M17" s="173">
        <f t="shared" si="3"/>
        <v>18</v>
      </c>
      <c r="N17" s="175">
        <v>7</v>
      </c>
      <c r="O17" s="163">
        <v>29</v>
      </c>
      <c r="P17" s="167">
        <v>4.1428571428571432</v>
      </c>
      <c r="Q17" s="168">
        <f t="shared" si="12"/>
        <v>60</v>
      </c>
      <c r="R17" s="252">
        <f t="shared" si="4"/>
        <v>0.13043478260869565</v>
      </c>
      <c r="S17" s="163">
        <f t="shared" si="5"/>
        <v>15</v>
      </c>
      <c r="T17" s="169">
        <f t="shared" si="6"/>
        <v>51</v>
      </c>
      <c r="U17" s="170">
        <f t="shared" si="7"/>
        <v>0.10408163265306122</v>
      </c>
      <c r="V17" s="163">
        <f t="shared" si="13"/>
        <v>50947.829081632655</v>
      </c>
      <c r="W17" s="127"/>
      <c r="X17" s="127"/>
      <c r="Y17" s="127"/>
      <c r="Z17" s="163">
        <v>1553</v>
      </c>
      <c r="AA17" s="163">
        <v>6028</v>
      </c>
      <c r="AB17" s="255">
        <f t="shared" si="8"/>
        <v>0.25763105507631057</v>
      </c>
    </row>
    <row r="18" spans="1:28" x14ac:dyDescent="0.25">
      <c r="A18" s="152" t="s">
        <v>186</v>
      </c>
      <c r="B18" s="152" t="s">
        <v>7</v>
      </c>
      <c r="C18" s="163">
        <v>1569</v>
      </c>
      <c r="D18" s="163">
        <v>7483</v>
      </c>
      <c r="E18" s="157">
        <f t="shared" si="0"/>
        <v>0.20967526393157823</v>
      </c>
      <c r="F18" s="164">
        <f t="shared" si="9"/>
        <v>40</v>
      </c>
      <c r="G18" s="163">
        <f t="shared" si="1"/>
        <v>0.10526315789473684</v>
      </c>
      <c r="H18" s="165">
        <f t="shared" si="10"/>
        <v>18</v>
      </c>
      <c r="I18" s="163">
        <v>9</v>
      </c>
      <c r="J18" s="158">
        <v>0.75</v>
      </c>
      <c r="K18" s="164">
        <f t="shared" si="11"/>
        <v>80</v>
      </c>
      <c r="L18" s="166">
        <f t="shared" si="2"/>
        <v>0.11764705882352941</v>
      </c>
      <c r="M18" s="173">
        <f t="shared" si="3"/>
        <v>24</v>
      </c>
      <c r="N18" s="175">
        <v>11</v>
      </c>
      <c r="O18" s="163">
        <v>43</v>
      </c>
      <c r="P18" s="167">
        <v>3.9090909090909092</v>
      </c>
      <c r="Q18" s="168">
        <f t="shared" si="12"/>
        <v>40</v>
      </c>
      <c r="R18" s="252">
        <f t="shared" si="4"/>
        <v>8.6956521739130432E-2</v>
      </c>
      <c r="S18" s="163">
        <f t="shared" si="5"/>
        <v>10</v>
      </c>
      <c r="T18" s="169">
        <f t="shared" si="6"/>
        <v>52</v>
      </c>
      <c r="U18" s="170">
        <f t="shared" si="7"/>
        <v>0.10612244897959183</v>
      </c>
      <c r="V18" s="163">
        <f t="shared" si="13"/>
        <v>51946.806122448979</v>
      </c>
      <c r="Z18" s="163">
        <v>1569</v>
      </c>
      <c r="AA18" s="163">
        <v>7483</v>
      </c>
      <c r="AB18" s="255">
        <f t="shared" si="8"/>
        <v>0.20967526393157823</v>
      </c>
    </row>
    <row r="19" spans="1:28" s="221" customFormat="1" x14ac:dyDescent="0.25">
      <c r="A19" s="152" t="s">
        <v>187</v>
      </c>
      <c r="B19" s="152" t="s">
        <v>8</v>
      </c>
      <c r="C19" s="163">
        <v>1346</v>
      </c>
      <c r="D19" s="163">
        <v>10696</v>
      </c>
      <c r="E19" s="157">
        <f t="shared" si="0"/>
        <v>0.12584143605086012</v>
      </c>
      <c r="F19" s="164">
        <f t="shared" si="9"/>
        <v>40</v>
      </c>
      <c r="G19" s="163">
        <f t="shared" si="1"/>
        <v>0.10526315789473684</v>
      </c>
      <c r="H19" s="165">
        <f t="shared" si="10"/>
        <v>18</v>
      </c>
      <c r="I19" s="163">
        <v>9</v>
      </c>
      <c r="J19" s="158">
        <v>0.75</v>
      </c>
      <c r="K19" s="164">
        <f t="shared" si="11"/>
        <v>80</v>
      </c>
      <c r="L19" s="166">
        <f t="shared" si="2"/>
        <v>0.11764705882352941</v>
      </c>
      <c r="M19" s="173">
        <f t="shared" si="3"/>
        <v>24</v>
      </c>
      <c r="N19" s="175">
        <v>8</v>
      </c>
      <c r="O19" s="163">
        <v>32</v>
      </c>
      <c r="P19" s="167">
        <v>4</v>
      </c>
      <c r="Q19" s="168">
        <f t="shared" si="12"/>
        <v>60</v>
      </c>
      <c r="R19" s="252">
        <f t="shared" si="4"/>
        <v>0.13043478260869565</v>
      </c>
      <c r="S19" s="163">
        <f t="shared" si="5"/>
        <v>15</v>
      </c>
      <c r="T19" s="169">
        <f t="shared" si="6"/>
        <v>57</v>
      </c>
      <c r="U19" s="170">
        <f t="shared" si="7"/>
        <v>0.11632653061224489</v>
      </c>
      <c r="V19" s="163">
        <f t="shared" si="13"/>
        <v>56941.691326530607</v>
      </c>
      <c r="W19" s="127"/>
      <c r="X19" s="127"/>
      <c r="Y19" s="127"/>
      <c r="Z19" s="163">
        <v>1346</v>
      </c>
      <c r="AA19" s="163">
        <v>10696</v>
      </c>
      <c r="AB19" s="255">
        <f t="shared" si="8"/>
        <v>0.12584143605086012</v>
      </c>
    </row>
    <row r="20" spans="1:28" x14ac:dyDescent="0.25">
      <c r="A20" s="152" t="s">
        <v>188</v>
      </c>
      <c r="B20" s="152" t="s">
        <v>6</v>
      </c>
      <c r="C20" s="163">
        <v>1218</v>
      </c>
      <c r="D20" s="163">
        <v>10872</v>
      </c>
      <c r="E20" s="157">
        <f t="shared" si="0"/>
        <v>0.1120309050772627</v>
      </c>
      <c r="F20" s="164">
        <f t="shared" si="9"/>
        <v>40</v>
      </c>
      <c r="G20" s="163">
        <f t="shared" si="1"/>
        <v>0.10526315789473684</v>
      </c>
      <c r="H20" s="165">
        <f t="shared" si="10"/>
        <v>18</v>
      </c>
      <c r="I20" s="163">
        <v>6</v>
      </c>
      <c r="J20" s="158">
        <v>0.5</v>
      </c>
      <c r="K20" s="164">
        <f t="shared" si="11"/>
        <v>60</v>
      </c>
      <c r="L20" s="166">
        <f t="shared" si="2"/>
        <v>8.8235294117647065E-2</v>
      </c>
      <c r="M20" s="173">
        <f t="shared" si="3"/>
        <v>18</v>
      </c>
      <c r="N20" s="175">
        <v>6</v>
      </c>
      <c r="O20" s="163">
        <v>31</v>
      </c>
      <c r="P20" s="167">
        <v>5.166666666666667</v>
      </c>
      <c r="Q20" s="168">
        <f t="shared" si="12"/>
        <v>80</v>
      </c>
      <c r="R20" s="252">
        <f t="shared" si="4"/>
        <v>0.17391304347826086</v>
      </c>
      <c r="S20" s="163">
        <f t="shared" si="5"/>
        <v>20</v>
      </c>
      <c r="T20" s="169">
        <f t="shared" si="6"/>
        <v>56</v>
      </c>
      <c r="U20" s="170">
        <f t="shared" si="7"/>
        <v>0.11428571428571428</v>
      </c>
      <c r="V20" s="163">
        <f t="shared" si="13"/>
        <v>55942.714285714283</v>
      </c>
      <c r="Z20" s="163">
        <v>1218</v>
      </c>
      <c r="AA20" s="163">
        <v>10872</v>
      </c>
      <c r="AB20" s="255">
        <f t="shared" si="8"/>
        <v>0.1120309050772627</v>
      </c>
    </row>
    <row r="21" spans="1:28" s="221" customFormat="1" x14ac:dyDescent="0.25">
      <c r="A21" s="152" t="s">
        <v>197</v>
      </c>
      <c r="B21" s="152" t="s">
        <v>25</v>
      </c>
      <c r="C21" s="163">
        <v>986</v>
      </c>
      <c r="D21" s="163">
        <v>9095</v>
      </c>
      <c r="E21" s="157">
        <f t="shared" si="0"/>
        <v>0.10841121495327102</v>
      </c>
      <c r="F21" s="164">
        <f t="shared" si="9"/>
        <v>40</v>
      </c>
      <c r="G21" s="163">
        <f t="shared" si="1"/>
        <v>0.10526315789473684</v>
      </c>
      <c r="H21" s="165">
        <f t="shared" si="10"/>
        <v>18</v>
      </c>
      <c r="I21" s="163">
        <v>10</v>
      </c>
      <c r="J21" s="158">
        <v>0.83333333333333337</v>
      </c>
      <c r="K21" s="164">
        <f t="shared" si="11"/>
        <v>100</v>
      </c>
      <c r="L21" s="166">
        <f t="shared" si="2"/>
        <v>0.14705882352941177</v>
      </c>
      <c r="M21" s="173">
        <f t="shared" si="3"/>
        <v>30</v>
      </c>
      <c r="N21" s="175">
        <v>12</v>
      </c>
      <c r="O21" s="163">
        <v>45</v>
      </c>
      <c r="P21" s="167">
        <v>3.75</v>
      </c>
      <c r="Q21" s="168">
        <f t="shared" si="12"/>
        <v>40</v>
      </c>
      <c r="R21" s="252">
        <f t="shared" si="4"/>
        <v>8.6956521739130432E-2</v>
      </c>
      <c r="S21" s="163">
        <f t="shared" si="5"/>
        <v>10</v>
      </c>
      <c r="T21" s="169">
        <f t="shared" si="6"/>
        <v>58</v>
      </c>
      <c r="U21" s="170">
        <f t="shared" si="7"/>
        <v>0.11836734693877551</v>
      </c>
      <c r="V21" s="163">
        <f t="shared" si="13"/>
        <v>57940.668367346938</v>
      </c>
      <c r="W21" s="127"/>
      <c r="X21" s="127"/>
      <c r="Y21" s="127"/>
      <c r="Z21" s="163">
        <v>986</v>
      </c>
      <c r="AA21" s="163">
        <v>9095</v>
      </c>
      <c r="AB21" s="255">
        <f t="shared" si="8"/>
        <v>0.10841121495327102</v>
      </c>
    </row>
    <row r="22" spans="1:28" x14ac:dyDescent="0.25">
      <c r="A22" s="152" t="s">
        <v>192</v>
      </c>
      <c r="B22" s="152" t="s">
        <v>10</v>
      </c>
      <c r="C22" s="163">
        <v>1053</v>
      </c>
      <c r="D22" s="163">
        <v>10071</v>
      </c>
      <c r="E22" s="157">
        <f t="shared" si="0"/>
        <v>0.10455764075067024</v>
      </c>
      <c r="F22" s="164">
        <f t="shared" si="9"/>
        <v>40</v>
      </c>
      <c r="G22" s="163">
        <f t="shared" si="1"/>
        <v>0.10526315789473684</v>
      </c>
      <c r="H22" s="165">
        <f t="shared" si="10"/>
        <v>18</v>
      </c>
      <c r="I22" s="163">
        <v>10</v>
      </c>
      <c r="J22" s="158">
        <v>0.83333333333333337</v>
      </c>
      <c r="K22" s="164">
        <f t="shared" si="11"/>
        <v>100</v>
      </c>
      <c r="L22" s="166">
        <f t="shared" si="2"/>
        <v>0.14705882352941177</v>
      </c>
      <c r="M22" s="173">
        <f t="shared" si="3"/>
        <v>30</v>
      </c>
      <c r="N22" s="175">
        <v>10</v>
      </c>
      <c r="O22" s="163">
        <v>37</v>
      </c>
      <c r="P22" s="167">
        <v>3.7</v>
      </c>
      <c r="Q22" s="168">
        <f t="shared" si="12"/>
        <v>40</v>
      </c>
      <c r="R22" s="252">
        <f t="shared" si="4"/>
        <v>8.6956521739130432E-2</v>
      </c>
      <c r="S22" s="163">
        <f t="shared" si="5"/>
        <v>10</v>
      </c>
      <c r="T22" s="169">
        <f t="shared" si="6"/>
        <v>58</v>
      </c>
      <c r="U22" s="170">
        <f t="shared" si="7"/>
        <v>0.11836734693877551</v>
      </c>
      <c r="V22" s="163">
        <f t="shared" si="13"/>
        <v>57940.668367346938</v>
      </c>
      <c r="Z22" s="163">
        <v>1053</v>
      </c>
      <c r="AA22" s="163">
        <v>10071</v>
      </c>
      <c r="AB22" s="255">
        <f t="shared" si="8"/>
        <v>0.10455764075067024</v>
      </c>
    </row>
    <row r="23" spans="1:28" x14ac:dyDescent="0.25">
      <c r="A23" s="258" t="s">
        <v>189</v>
      </c>
      <c r="B23" s="258" t="s">
        <v>26</v>
      </c>
      <c r="C23" s="256"/>
      <c r="D23" s="256"/>
      <c r="E23" s="259"/>
      <c r="F23" s="260">
        <f t="shared" si="9"/>
        <v>0</v>
      </c>
      <c r="G23" s="261">
        <f t="shared" si="1"/>
        <v>0</v>
      </c>
      <c r="H23" s="261">
        <f t="shared" si="10"/>
        <v>0</v>
      </c>
      <c r="I23" s="256"/>
      <c r="J23" s="259"/>
      <c r="K23" s="260"/>
      <c r="L23" s="262">
        <v>0</v>
      </c>
      <c r="M23" s="263">
        <f t="shared" si="3"/>
        <v>0</v>
      </c>
      <c r="N23" s="264"/>
      <c r="O23" s="256"/>
      <c r="P23" s="265"/>
      <c r="Q23" s="266"/>
      <c r="R23" s="261">
        <v>0</v>
      </c>
      <c r="S23" s="261">
        <f t="shared" si="5"/>
        <v>0</v>
      </c>
      <c r="T23" s="267">
        <f t="shared" si="6"/>
        <v>0</v>
      </c>
      <c r="U23" s="268">
        <f t="shared" si="7"/>
        <v>0</v>
      </c>
      <c r="V23" s="261">
        <f t="shared" si="13"/>
        <v>0</v>
      </c>
      <c r="W23" s="221"/>
      <c r="X23" s="221"/>
      <c r="Y23" s="221"/>
      <c r="Z23" s="256">
        <v>370</v>
      </c>
      <c r="AA23" s="256">
        <v>3859</v>
      </c>
      <c r="AB23" s="257">
        <f t="shared" si="8"/>
        <v>9.5879761596268459E-2</v>
      </c>
    </row>
    <row r="24" spans="1:28" x14ac:dyDescent="0.25">
      <c r="A24" s="258" t="s">
        <v>193</v>
      </c>
      <c r="B24" s="258" t="s">
        <v>23</v>
      </c>
      <c r="C24" s="256"/>
      <c r="D24" s="256"/>
      <c r="E24" s="259"/>
      <c r="F24" s="260">
        <f t="shared" si="9"/>
        <v>0</v>
      </c>
      <c r="G24" s="261">
        <f t="shared" si="1"/>
        <v>0</v>
      </c>
      <c r="H24" s="261">
        <f t="shared" si="10"/>
        <v>0</v>
      </c>
      <c r="I24" s="256"/>
      <c r="J24" s="259"/>
      <c r="K24" s="260"/>
      <c r="L24" s="262">
        <v>0</v>
      </c>
      <c r="M24" s="263">
        <f t="shared" si="3"/>
        <v>0</v>
      </c>
      <c r="N24" s="264"/>
      <c r="O24" s="256"/>
      <c r="P24" s="265"/>
      <c r="Q24" s="266"/>
      <c r="R24" s="261">
        <v>0</v>
      </c>
      <c r="S24" s="261">
        <f t="shared" si="5"/>
        <v>0</v>
      </c>
      <c r="T24" s="267">
        <f t="shared" si="6"/>
        <v>0</v>
      </c>
      <c r="U24" s="268">
        <f t="shared" si="7"/>
        <v>0</v>
      </c>
      <c r="V24" s="261">
        <f t="shared" si="13"/>
        <v>0</v>
      </c>
      <c r="W24" s="221"/>
      <c r="X24" s="221"/>
      <c r="Y24" s="221"/>
      <c r="Z24" s="256">
        <v>606</v>
      </c>
      <c r="AA24" s="256">
        <v>7393</v>
      </c>
      <c r="AB24" s="257">
        <f t="shared" si="8"/>
        <v>8.1969430542404978E-2</v>
      </c>
    </row>
    <row r="25" spans="1:28" s="221" customFormat="1" x14ac:dyDescent="0.25">
      <c r="A25" s="258" t="s">
        <v>183</v>
      </c>
      <c r="B25" s="258" t="s">
        <v>3</v>
      </c>
      <c r="C25" s="256"/>
      <c r="D25" s="256"/>
      <c r="E25" s="259"/>
      <c r="F25" s="260">
        <f t="shared" si="9"/>
        <v>0</v>
      </c>
      <c r="G25" s="261">
        <f t="shared" si="1"/>
        <v>0</v>
      </c>
      <c r="H25" s="261">
        <f t="shared" si="10"/>
        <v>0</v>
      </c>
      <c r="I25" s="256"/>
      <c r="J25" s="259"/>
      <c r="K25" s="260"/>
      <c r="L25" s="262">
        <v>0</v>
      </c>
      <c r="M25" s="263">
        <f t="shared" si="3"/>
        <v>0</v>
      </c>
      <c r="N25" s="264"/>
      <c r="O25" s="256"/>
      <c r="P25" s="265"/>
      <c r="Q25" s="266"/>
      <c r="R25" s="261">
        <v>0</v>
      </c>
      <c r="S25" s="261">
        <f t="shared" si="5"/>
        <v>0</v>
      </c>
      <c r="T25" s="267">
        <f t="shared" si="6"/>
        <v>0</v>
      </c>
      <c r="U25" s="268">
        <f t="shared" si="7"/>
        <v>0</v>
      </c>
      <c r="V25" s="261">
        <f t="shared" si="13"/>
        <v>0</v>
      </c>
      <c r="Z25" s="256">
        <v>1659</v>
      </c>
      <c r="AA25" s="256">
        <v>21063</v>
      </c>
      <c r="AB25" s="257">
        <f t="shared" si="8"/>
        <v>7.8763708873379856E-2</v>
      </c>
    </row>
    <row r="26" spans="1:28" s="221" customFormat="1" x14ac:dyDescent="0.25">
      <c r="A26" s="258" t="s">
        <v>191</v>
      </c>
      <c r="B26" s="258" t="s">
        <v>24</v>
      </c>
      <c r="C26" s="256"/>
      <c r="D26" s="256"/>
      <c r="E26" s="259"/>
      <c r="F26" s="260">
        <f t="shared" si="9"/>
        <v>0</v>
      </c>
      <c r="G26" s="261">
        <f t="shared" si="1"/>
        <v>0</v>
      </c>
      <c r="H26" s="261">
        <f t="shared" si="10"/>
        <v>0</v>
      </c>
      <c r="I26" s="256"/>
      <c r="J26" s="259"/>
      <c r="K26" s="260"/>
      <c r="L26" s="262">
        <v>0</v>
      </c>
      <c r="M26" s="263">
        <f t="shared" si="3"/>
        <v>0</v>
      </c>
      <c r="N26" s="264"/>
      <c r="O26" s="256"/>
      <c r="P26" s="265"/>
      <c r="Q26" s="266"/>
      <c r="R26" s="261">
        <v>0</v>
      </c>
      <c r="S26" s="261">
        <f t="shared" si="5"/>
        <v>0</v>
      </c>
      <c r="T26" s="267">
        <f t="shared" si="6"/>
        <v>0</v>
      </c>
      <c r="U26" s="268">
        <f t="shared" si="7"/>
        <v>0</v>
      </c>
      <c r="V26" s="261">
        <f t="shared" si="13"/>
        <v>0</v>
      </c>
      <c r="Z26" s="256">
        <v>470</v>
      </c>
      <c r="AA26" s="256">
        <v>6816</v>
      </c>
      <c r="AB26" s="257">
        <f t="shared" si="8"/>
        <v>6.895539906103286E-2</v>
      </c>
    </row>
    <row r="27" spans="1:28" x14ac:dyDescent="0.25">
      <c r="A27" s="258" t="s">
        <v>185</v>
      </c>
      <c r="B27" s="258" t="s">
        <v>9</v>
      </c>
      <c r="C27" s="256"/>
      <c r="D27" s="256"/>
      <c r="E27" s="259"/>
      <c r="F27" s="260">
        <f t="shared" si="9"/>
        <v>0</v>
      </c>
      <c r="G27" s="261">
        <f t="shared" si="1"/>
        <v>0</v>
      </c>
      <c r="H27" s="261">
        <f t="shared" si="10"/>
        <v>0</v>
      </c>
      <c r="I27" s="256"/>
      <c r="J27" s="259"/>
      <c r="K27" s="260"/>
      <c r="L27" s="262">
        <v>0</v>
      </c>
      <c r="M27" s="263">
        <f t="shared" si="3"/>
        <v>0</v>
      </c>
      <c r="N27" s="264"/>
      <c r="O27" s="256"/>
      <c r="P27" s="265"/>
      <c r="Q27" s="266"/>
      <c r="R27" s="261">
        <v>0</v>
      </c>
      <c r="S27" s="261">
        <f t="shared" si="5"/>
        <v>0</v>
      </c>
      <c r="T27" s="267">
        <f t="shared" si="6"/>
        <v>0</v>
      </c>
      <c r="U27" s="268">
        <f t="shared" si="7"/>
        <v>0</v>
      </c>
      <c r="V27" s="261">
        <f t="shared" si="13"/>
        <v>0</v>
      </c>
      <c r="W27" s="221"/>
      <c r="X27" s="221"/>
      <c r="Y27" s="221"/>
      <c r="Z27" s="256">
        <v>395</v>
      </c>
      <c r="AA27" s="256">
        <v>7414</v>
      </c>
      <c r="AB27" s="257">
        <f t="shared" si="8"/>
        <v>5.3277582951173456E-2</v>
      </c>
    </row>
    <row r="28" spans="1:28" s="221" customFormat="1" x14ac:dyDescent="0.25">
      <c r="A28" s="258" t="s">
        <v>190</v>
      </c>
      <c r="B28" s="258" t="s">
        <v>5</v>
      </c>
      <c r="C28" s="256"/>
      <c r="D28" s="256"/>
      <c r="E28" s="259"/>
      <c r="F28" s="260">
        <f t="shared" si="9"/>
        <v>0</v>
      </c>
      <c r="G28" s="261">
        <f t="shared" si="1"/>
        <v>0</v>
      </c>
      <c r="H28" s="261">
        <f t="shared" si="10"/>
        <v>0</v>
      </c>
      <c r="I28" s="256"/>
      <c r="J28" s="259"/>
      <c r="K28" s="260"/>
      <c r="L28" s="262">
        <v>0</v>
      </c>
      <c r="M28" s="263">
        <f t="shared" si="3"/>
        <v>0</v>
      </c>
      <c r="N28" s="264"/>
      <c r="O28" s="256"/>
      <c r="P28" s="265"/>
      <c r="Q28" s="266"/>
      <c r="R28" s="261">
        <v>0</v>
      </c>
      <c r="S28" s="261">
        <f t="shared" si="5"/>
        <v>0</v>
      </c>
      <c r="T28" s="267">
        <f t="shared" si="6"/>
        <v>0</v>
      </c>
      <c r="U28" s="268">
        <f t="shared" si="7"/>
        <v>0</v>
      </c>
      <c r="V28" s="261">
        <f t="shared" si="13"/>
        <v>0</v>
      </c>
      <c r="Z28" s="256">
        <v>409</v>
      </c>
      <c r="AA28" s="256">
        <v>10493</v>
      </c>
      <c r="AB28" s="257">
        <f t="shared" si="8"/>
        <v>3.8978366530067664E-2</v>
      </c>
    </row>
    <row r="29" spans="1:28" x14ac:dyDescent="0.25">
      <c r="A29" s="258" t="s">
        <v>184</v>
      </c>
      <c r="B29" s="258" t="s">
        <v>4</v>
      </c>
      <c r="C29" s="256"/>
      <c r="D29" s="256"/>
      <c r="E29" s="259"/>
      <c r="F29" s="260">
        <f t="shared" si="9"/>
        <v>0</v>
      </c>
      <c r="G29" s="261">
        <f t="shared" si="1"/>
        <v>0</v>
      </c>
      <c r="H29" s="261">
        <f t="shared" si="10"/>
        <v>0</v>
      </c>
      <c r="I29" s="256"/>
      <c r="J29" s="259"/>
      <c r="K29" s="260"/>
      <c r="L29" s="262">
        <v>0</v>
      </c>
      <c r="M29" s="263">
        <f t="shared" si="3"/>
        <v>0</v>
      </c>
      <c r="N29" s="264"/>
      <c r="O29" s="256"/>
      <c r="P29" s="265"/>
      <c r="Q29" s="266"/>
      <c r="R29" s="261">
        <v>0</v>
      </c>
      <c r="S29" s="261">
        <f t="shared" si="5"/>
        <v>0</v>
      </c>
      <c r="T29" s="267">
        <f t="shared" si="6"/>
        <v>0</v>
      </c>
      <c r="U29" s="268">
        <f t="shared" si="7"/>
        <v>0</v>
      </c>
      <c r="V29" s="261">
        <f t="shared" si="13"/>
        <v>0</v>
      </c>
      <c r="W29" s="221"/>
      <c r="X29" s="221"/>
      <c r="Y29" s="221"/>
      <c r="Z29" s="256">
        <v>530</v>
      </c>
      <c r="AA29" s="256">
        <v>14937</v>
      </c>
      <c r="AB29" s="257">
        <f t="shared" si="8"/>
        <v>3.5482359242150367E-2</v>
      </c>
    </row>
    <row r="30" spans="1:28" x14ac:dyDescent="0.25">
      <c r="A30" s="258" t="s">
        <v>182</v>
      </c>
      <c r="B30" s="258" t="s">
        <v>2</v>
      </c>
      <c r="C30" s="256"/>
      <c r="D30" s="256"/>
      <c r="E30" s="259"/>
      <c r="F30" s="260">
        <f t="shared" si="9"/>
        <v>0</v>
      </c>
      <c r="G30" s="261">
        <f t="shared" si="1"/>
        <v>0</v>
      </c>
      <c r="H30" s="261">
        <f t="shared" si="10"/>
        <v>0</v>
      </c>
      <c r="I30" s="256"/>
      <c r="J30" s="259"/>
      <c r="K30" s="260"/>
      <c r="L30" s="262">
        <v>0</v>
      </c>
      <c r="M30" s="263">
        <f t="shared" si="3"/>
        <v>0</v>
      </c>
      <c r="N30" s="264"/>
      <c r="O30" s="256"/>
      <c r="P30" s="265"/>
      <c r="Q30" s="266"/>
      <c r="R30" s="261">
        <v>0</v>
      </c>
      <c r="S30" s="261">
        <f t="shared" si="5"/>
        <v>0</v>
      </c>
      <c r="T30" s="267">
        <f t="shared" si="6"/>
        <v>0</v>
      </c>
      <c r="U30" s="268">
        <f t="shared" si="7"/>
        <v>0</v>
      </c>
      <c r="V30" s="261">
        <f t="shared" si="13"/>
        <v>0</v>
      </c>
      <c r="W30" s="221"/>
      <c r="X30" s="221"/>
      <c r="Y30" s="221"/>
      <c r="Z30" s="256">
        <v>882</v>
      </c>
      <c r="AA30" s="256">
        <v>33572</v>
      </c>
      <c r="AB30" s="257">
        <f t="shared" si="8"/>
        <v>2.627189324437031E-2</v>
      </c>
    </row>
    <row r="31" spans="1:28" x14ac:dyDescent="0.25">
      <c r="A31" s="237" t="s">
        <v>196</v>
      </c>
      <c r="B31" s="237" t="s">
        <v>29</v>
      </c>
      <c r="C31" s="238">
        <v>0</v>
      </c>
      <c r="D31" s="238">
        <v>0</v>
      </c>
      <c r="E31" s="239"/>
      <c r="F31" s="240">
        <v>0</v>
      </c>
      <c r="G31" s="238">
        <f t="shared" si="1"/>
        <v>0</v>
      </c>
      <c r="H31" s="241">
        <f t="shared" ref="H31:H32" si="14">IF(E31&gt;0,F31*$B$3,0)</f>
        <v>0</v>
      </c>
      <c r="I31" s="238"/>
      <c r="J31" s="239"/>
      <c r="K31" s="240"/>
      <c r="L31" s="242">
        <f>K31/$K$33</f>
        <v>0</v>
      </c>
      <c r="M31" s="243">
        <f t="shared" ref="M31:M32" si="15">IF(E31&gt;0,K31*$J$3,0)</f>
        <v>0</v>
      </c>
      <c r="N31" s="244"/>
      <c r="O31" s="238"/>
      <c r="P31" s="245"/>
      <c r="Q31" s="246">
        <f t="shared" ref="Q31:Q32" si="16">IF(P31&gt;=$Q$10,$S$10,IF(P31&gt;=$Q$9,$S$9,IF(P31&gt;=$Q$8,$S$8,IF(P31&gt;=$Q$7,$S$7,IF(P31&gt;$Q$6,$S$6,0)))))</f>
        <v>0</v>
      </c>
      <c r="R31" s="242">
        <f>Q31/$K$33</f>
        <v>0</v>
      </c>
      <c r="S31" s="238">
        <f t="shared" ref="S31:S32" si="17">+IF(E31&gt;0,Q31*$O$3,0)</f>
        <v>0</v>
      </c>
      <c r="T31" s="247">
        <f t="shared" ref="T31:T32" si="18">+H31+M31+S31</f>
        <v>0</v>
      </c>
      <c r="U31" s="248">
        <f t="shared" si="7"/>
        <v>0</v>
      </c>
      <c r="V31" s="238">
        <f t="shared" si="13"/>
        <v>0</v>
      </c>
      <c r="Z31" s="238">
        <v>0</v>
      </c>
      <c r="AA31" s="238">
        <v>0</v>
      </c>
      <c r="AB31" s="253"/>
    </row>
    <row r="32" spans="1:28" x14ac:dyDescent="0.25">
      <c r="A32" s="237" t="s">
        <v>199</v>
      </c>
      <c r="B32" s="237" t="s">
        <v>91</v>
      </c>
      <c r="C32" s="238">
        <v>0</v>
      </c>
      <c r="D32" s="238">
        <v>0</v>
      </c>
      <c r="E32" s="239"/>
      <c r="F32" s="240">
        <v>0</v>
      </c>
      <c r="G32" s="238">
        <f t="shared" si="1"/>
        <v>0</v>
      </c>
      <c r="H32" s="241">
        <f t="shared" si="14"/>
        <v>0</v>
      </c>
      <c r="I32" s="238"/>
      <c r="J32" s="239"/>
      <c r="K32" s="240"/>
      <c r="L32" s="242">
        <f>K32/$K$33</f>
        <v>0</v>
      </c>
      <c r="M32" s="243">
        <f t="shared" si="15"/>
        <v>0</v>
      </c>
      <c r="N32" s="244"/>
      <c r="O32" s="238"/>
      <c r="P32" s="245"/>
      <c r="Q32" s="246">
        <f t="shared" si="16"/>
        <v>0</v>
      </c>
      <c r="R32" s="242">
        <f>Q32/$K$33</f>
        <v>0</v>
      </c>
      <c r="S32" s="238">
        <f t="shared" si="17"/>
        <v>0</v>
      </c>
      <c r="T32" s="247">
        <f t="shared" si="18"/>
        <v>0</v>
      </c>
      <c r="U32" s="248">
        <f t="shared" si="7"/>
        <v>0</v>
      </c>
      <c r="V32" s="238">
        <f t="shared" si="13"/>
        <v>0</v>
      </c>
      <c r="Z32" s="238">
        <v>0</v>
      </c>
      <c r="AA32" s="238">
        <v>0</v>
      </c>
      <c r="AB32" s="253"/>
    </row>
    <row r="33" spans="1:22" x14ac:dyDescent="0.25">
      <c r="C33" s="127">
        <f>SUM(C15:C32)</f>
        <v>13034</v>
      </c>
      <c r="D33" s="127">
        <f>SUM(D15:D32)</f>
        <v>64722</v>
      </c>
      <c r="F33" s="171">
        <f>SUM(F15:F32)</f>
        <v>380</v>
      </c>
      <c r="G33" s="127">
        <f>SUBTOTAL(9,G15:G32)</f>
        <v>1</v>
      </c>
      <c r="I33" s="127">
        <f>SUM(I15:I32)</f>
        <v>74</v>
      </c>
      <c r="K33" s="171">
        <f>SUM(K15:K32)</f>
        <v>680</v>
      </c>
      <c r="N33" s="127">
        <f t="shared" ref="N33:V33" si="19">SUM(N15:N32)</f>
        <v>85</v>
      </c>
      <c r="O33" s="127">
        <f t="shared" si="19"/>
        <v>362</v>
      </c>
      <c r="P33" s="127">
        <f t="shared" si="19"/>
        <v>33.856648906648907</v>
      </c>
      <c r="Q33" s="127">
        <f t="shared" si="19"/>
        <v>460</v>
      </c>
      <c r="R33" s="251">
        <f t="shared" si="19"/>
        <v>1</v>
      </c>
      <c r="S33" s="127">
        <f t="shared" si="19"/>
        <v>115</v>
      </c>
      <c r="T33" s="171">
        <f t="shared" si="19"/>
        <v>490</v>
      </c>
      <c r="U33" s="171">
        <f t="shared" si="19"/>
        <v>0.99999999999999989</v>
      </c>
      <c r="V33" s="171">
        <f t="shared" si="19"/>
        <v>489498.74999999994</v>
      </c>
    </row>
    <row r="34" spans="1:22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251">
        <v>17</v>
      </c>
      <c r="S34" s="159">
        <v>18</v>
      </c>
      <c r="T34" s="159">
        <v>19</v>
      </c>
      <c r="U34" s="159">
        <v>20</v>
      </c>
      <c r="V34" s="159">
        <v>21</v>
      </c>
    </row>
    <row r="35" spans="1:22" x14ac:dyDescent="0.25">
      <c r="J35" s="96"/>
    </row>
    <row r="37" spans="1:22" ht="15.75" x14ac:dyDescent="0.25">
      <c r="A37" s="154" t="s">
        <v>291</v>
      </c>
      <c r="B37" s="127">
        <f>+Refuerzo!B32</f>
        <v>489498.75</v>
      </c>
    </row>
  </sheetData>
  <autoFilter ref="A14:AB34" xr:uid="{EA898831-B70C-4207-A6FD-C0BDBB37324B}"/>
  <sortState xmlns:xlrd2="http://schemas.microsoft.com/office/spreadsheetml/2017/richdata2" ref="A15:AB30">
    <sortCondition descending="1" ref="AB15:AB30"/>
  </sortState>
  <mergeCells count="14">
    <mergeCell ref="A12:A14"/>
    <mergeCell ref="B12:B14"/>
    <mergeCell ref="O2:R2"/>
    <mergeCell ref="N7:P7"/>
    <mergeCell ref="N8:P8"/>
    <mergeCell ref="N9:P9"/>
    <mergeCell ref="N10:P10"/>
    <mergeCell ref="B2:C2"/>
    <mergeCell ref="J1:K1"/>
    <mergeCell ref="J2:K2"/>
    <mergeCell ref="N5:P5"/>
    <mergeCell ref="N6:P6"/>
    <mergeCell ref="Z13:AB13"/>
    <mergeCell ref="Z12:AB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F61C-299F-4923-A5DE-AFC26278A340}">
  <sheetPr>
    <tabColor rgb="FFF9B073"/>
  </sheetPr>
  <dimension ref="A1:J26"/>
  <sheetViews>
    <sheetView topLeftCell="A8" workbookViewId="0">
      <selection activeCell="K14" sqref="K14"/>
    </sheetView>
  </sheetViews>
  <sheetFormatPr baseColWidth="10" defaultRowHeight="15" x14ac:dyDescent="0.25"/>
  <cols>
    <col min="2" max="9" width="12.7109375" customWidth="1"/>
    <col min="10" max="10" width="15.5703125" bestFit="1" customWidth="1"/>
  </cols>
  <sheetData>
    <row r="1" spans="1:10" x14ac:dyDescent="0.25">
      <c r="B1" s="341" t="s">
        <v>389</v>
      </c>
      <c r="C1" s="341" t="s">
        <v>390</v>
      </c>
      <c r="D1" s="341" t="s">
        <v>384</v>
      </c>
      <c r="E1" s="341" t="s">
        <v>385</v>
      </c>
      <c r="F1" s="341" t="s">
        <v>382</v>
      </c>
      <c r="G1" s="341" t="s">
        <v>383</v>
      </c>
    </row>
    <row r="2" spans="1:10" x14ac:dyDescent="0.25">
      <c r="B2" s="573">
        <v>45224</v>
      </c>
      <c r="C2" s="574"/>
      <c r="D2" s="147">
        <v>0.5</v>
      </c>
      <c r="E2" s="147">
        <v>0.5</v>
      </c>
      <c r="F2" s="35"/>
      <c r="G2" s="35"/>
      <c r="H2" s="1"/>
      <c r="I2" s="1"/>
    </row>
    <row r="3" spans="1:10" s="128" customFormat="1" ht="60" x14ac:dyDescent="0.25">
      <c r="A3" s="139" t="s">
        <v>200</v>
      </c>
      <c r="B3" s="160" t="s">
        <v>295</v>
      </c>
      <c r="C3" s="160" t="s">
        <v>386</v>
      </c>
      <c r="D3" s="161" t="s">
        <v>292</v>
      </c>
      <c r="E3" s="161" t="s">
        <v>293</v>
      </c>
      <c r="F3" s="161" t="s">
        <v>411</v>
      </c>
      <c r="G3" s="161" t="s">
        <v>412</v>
      </c>
      <c r="H3" s="342" t="s">
        <v>387</v>
      </c>
      <c r="I3" s="162" t="s">
        <v>294</v>
      </c>
    </row>
    <row r="4" spans="1:10" x14ac:dyDescent="0.25">
      <c r="A4" s="64" t="s">
        <v>2</v>
      </c>
      <c r="B4">
        <f>+VLOOKUP(A4,'Indicadores Género'!$C$10:$I$27,7,0)</f>
        <v>77.246034769581271</v>
      </c>
      <c r="C4">
        <f>+VLOOKUP(A4,'Indicadores Género'!$C$36:$I$53,7,0)</f>
        <v>70.666666666666671</v>
      </c>
      <c r="D4">
        <f>+B4/$B$22</f>
        <v>7.4735927834689658E-2</v>
      </c>
      <c r="E4">
        <f>+C4/$C$22</f>
        <v>5.7608695652173914E-2</v>
      </c>
      <c r="F4">
        <f>+D4*$D$2</f>
        <v>3.7367963917344829E-2</v>
      </c>
      <c r="G4">
        <f>+E4*$E$2</f>
        <v>2.8804347826086957E-2</v>
      </c>
      <c r="H4">
        <f>SUM(F4:G4)</f>
        <v>6.6172311743431786E-2</v>
      </c>
      <c r="I4" s="344">
        <f>+H4*$C$25</f>
        <v>97173.791649060542</v>
      </c>
      <c r="J4" s="373">
        <f>H4</f>
        <v>6.6172311743431786E-2</v>
      </c>
    </row>
    <row r="5" spans="1:10" x14ac:dyDescent="0.25">
      <c r="A5" s="64" t="s">
        <v>3</v>
      </c>
      <c r="B5">
        <f>+VLOOKUP(A5,'Indicadores Género'!$C$10:$I$27,7,0)</f>
        <v>57.557489916008826</v>
      </c>
      <c r="C5">
        <f>+VLOOKUP(A5,'Indicadores Género'!$C$36:$I$53,7,0)</f>
        <v>60</v>
      </c>
      <c r="D5">
        <f t="shared" ref="D5:D21" si="0">+B5/$B$22</f>
        <v>5.5687161490425727E-2</v>
      </c>
      <c r="E5">
        <f t="shared" ref="E5:E21" si="1">+C5/$C$22</f>
        <v>4.8913043478260865E-2</v>
      </c>
      <c r="F5">
        <f t="shared" ref="F5:F21" si="2">+D5*$D$2</f>
        <v>2.7843580745212863E-2</v>
      </c>
      <c r="G5">
        <f t="shared" ref="G5:G21" si="3">+E5*$E$2</f>
        <v>2.4456521739130432E-2</v>
      </c>
      <c r="H5">
        <f t="shared" ref="H5:H21" si="4">SUM(F5:G5)</f>
        <v>5.2300102484343296E-2</v>
      </c>
      <c r="I5" s="344">
        <f t="shared" ref="I5:I21" si="5">+H5*$C$25</f>
        <v>76802.504372873809</v>
      </c>
      <c r="J5" s="373">
        <f t="shared" ref="J5:J23" si="6">H5</f>
        <v>5.2300102484343296E-2</v>
      </c>
    </row>
    <row r="6" spans="1:10" x14ac:dyDescent="0.25">
      <c r="A6" s="64" t="s">
        <v>9</v>
      </c>
      <c r="B6">
        <f>+VLOOKUP(A6,'Indicadores Género'!$C$10:$I$27,7,0)</f>
        <v>55.098818115793023</v>
      </c>
      <c r="C6">
        <f>+VLOOKUP(A6,'Indicadores Género'!$C$36:$I$53,7,0)</f>
        <v>64</v>
      </c>
      <c r="D6">
        <f t="shared" si="0"/>
        <v>5.3308384135986375E-2</v>
      </c>
      <c r="E6">
        <f t="shared" si="1"/>
        <v>5.2173913043478258E-2</v>
      </c>
      <c r="F6">
        <f t="shared" si="2"/>
        <v>2.6654192067993188E-2</v>
      </c>
      <c r="G6">
        <f t="shared" si="3"/>
        <v>2.6086956521739129E-2</v>
      </c>
      <c r="H6">
        <f t="shared" si="4"/>
        <v>5.274114858973232E-2</v>
      </c>
      <c r="I6" s="344">
        <f t="shared" si="5"/>
        <v>77450.178924714695</v>
      </c>
      <c r="J6" s="373">
        <f t="shared" si="6"/>
        <v>5.274114858973232E-2</v>
      </c>
    </row>
    <row r="7" spans="1:10" x14ac:dyDescent="0.25">
      <c r="A7" s="64" t="s">
        <v>6</v>
      </c>
      <c r="B7">
        <f>+VLOOKUP(A7,'Indicadores Género'!$C$10:$I$27,7,0)</f>
        <v>54.35668496323914</v>
      </c>
      <c r="C7">
        <f>+VLOOKUP(A7,'Indicadores Género'!$C$36:$I$53,7,0)</f>
        <v>70.666666666666671</v>
      </c>
      <c r="D7">
        <f t="shared" si="0"/>
        <v>5.2590366571739322E-2</v>
      </c>
      <c r="E7">
        <f t="shared" si="1"/>
        <v>5.7608695652173914E-2</v>
      </c>
      <c r="F7">
        <f t="shared" si="2"/>
        <v>2.6295183285869661E-2</v>
      </c>
      <c r="G7">
        <f t="shared" si="3"/>
        <v>2.8804347826086957E-2</v>
      </c>
      <c r="H7">
        <f t="shared" si="4"/>
        <v>5.5099531111956618E-2</v>
      </c>
      <c r="I7" s="344">
        <f t="shared" si="5"/>
        <v>80913.45481466662</v>
      </c>
      <c r="J7" s="373">
        <f t="shared" si="6"/>
        <v>5.5099531111956618E-2</v>
      </c>
    </row>
    <row r="8" spans="1:10" x14ac:dyDescent="0.25">
      <c r="A8" s="64" t="s">
        <v>5</v>
      </c>
      <c r="B8">
        <f>+VLOOKUP(A8,'Indicadores Género'!$C$10:$I$27,7,0)</f>
        <v>53.328594474576903</v>
      </c>
      <c r="C8">
        <f>+VLOOKUP(A8,'Indicadores Género'!$C$36:$I$53,7,0)</f>
        <v>50.666666666666664</v>
      </c>
      <c r="D8">
        <f t="shared" si="0"/>
        <v>5.1595683844044817E-2</v>
      </c>
      <c r="E8">
        <f t="shared" si="1"/>
        <v>4.1304347826086954E-2</v>
      </c>
      <c r="F8">
        <f t="shared" si="2"/>
        <v>2.5797841922022408E-2</v>
      </c>
      <c r="G8">
        <f t="shared" si="3"/>
        <v>2.0652173913043477E-2</v>
      </c>
      <c r="H8">
        <f t="shared" si="4"/>
        <v>4.6450015835065889E-2</v>
      </c>
      <c r="I8" s="344">
        <f t="shared" si="5"/>
        <v>68211.674066234875</v>
      </c>
      <c r="J8" s="373">
        <f t="shared" si="6"/>
        <v>4.6450015835065889E-2</v>
      </c>
    </row>
    <row r="9" spans="1:10" x14ac:dyDescent="0.25">
      <c r="A9" s="64" t="s">
        <v>10</v>
      </c>
      <c r="B9">
        <f>+VLOOKUP(A9,'Indicadores Género'!$C$10:$I$27,7,0)</f>
        <v>46.923539800520928</v>
      </c>
      <c r="C9">
        <f>+VLOOKUP(A9,'Indicadores Género'!$C$36:$I$53,7,0)</f>
        <v>60</v>
      </c>
      <c r="D9">
        <f t="shared" si="0"/>
        <v>4.5398761175776133E-2</v>
      </c>
      <c r="E9">
        <f t="shared" si="1"/>
        <v>4.8913043478260865E-2</v>
      </c>
      <c r="F9">
        <f t="shared" si="2"/>
        <v>2.2699380587888066E-2</v>
      </c>
      <c r="G9">
        <f t="shared" si="3"/>
        <v>2.4456521739130432E-2</v>
      </c>
      <c r="H9">
        <f t="shared" si="4"/>
        <v>4.7155902327018495E-2</v>
      </c>
      <c r="I9" s="344">
        <f t="shared" si="5"/>
        <v>69248.265732592932</v>
      </c>
      <c r="J9" s="373">
        <f t="shared" si="6"/>
        <v>4.7155902327018495E-2</v>
      </c>
    </row>
    <row r="10" spans="1:10" x14ac:dyDescent="0.25">
      <c r="A10" s="64" t="s">
        <v>4</v>
      </c>
      <c r="B10">
        <f>+VLOOKUP(A10,'Indicadores Género'!$C$10:$I$27,7,0)</f>
        <v>70.771705025498122</v>
      </c>
      <c r="C10">
        <f>+VLOOKUP(A10,'Indicadores Género'!$C$36:$I$53,7,0)</f>
        <v>82.666666666666671</v>
      </c>
      <c r="D10">
        <f t="shared" si="0"/>
        <v>6.8471981187135336E-2</v>
      </c>
      <c r="E10">
        <f t="shared" si="1"/>
        <v>6.7391304347826086E-2</v>
      </c>
      <c r="F10">
        <f t="shared" si="2"/>
        <v>3.4235990593567668E-2</v>
      </c>
      <c r="G10">
        <f t="shared" si="3"/>
        <v>3.3695652173913043E-2</v>
      </c>
      <c r="H10">
        <f t="shared" si="4"/>
        <v>6.7931642767480704E-2</v>
      </c>
      <c r="I10" s="344">
        <f t="shared" si="5"/>
        <v>99757.362660385043</v>
      </c>
      <c r="J10" s="373">
        <f t="shared" si="6"/>
        <v>6.7931642767480704E-2</v>
      </c>
    </row>
    <row r="11" spans="1:10" x14ac:dyDescent="0.25">
      <c r="A11" s="64" t="s">
        <v>8</v>
      </c>
      <c r="B11">
        <f>+VLOOKUP(A11,'Indicadores Género'!$C$10:$I$27,7,0)</f>
        <v>52.634579129985205</v>
      </c>
      <c r="C11">
        <f>+VLOOKUP(A11,'Indicadores Género'!$C$36:$I$53,7,0)</f>
        <v>53.333333333333336</v>
      </c>
      <c r="D11">
        <f t="shared" si="0"/>
        <v>5.0924220501437134E-2</v>
      </c>
      <c r="E11">
        <f t="shared" si="1"/>
        <v>4.3478260869565216E-2</v>
      </c>
      <c r="F11">
        <f t="shared" si="2"/>
        <v>2.5462110250718567E-2</v>
      </c>
      <c r="G11">
        <f t="shared" si="3"/>
        <v>2.1739130434782608E-2</v>
      </c>
      <c r="H11">
        <f t="shared" si="4"/>
        <v>4.7201240685501175E-2</v>
      </c>
      <c r="I11" s="344">
        <f t="shared" si="5"/>
        <v>69314.844942005904</v>
      </c>
      <c r="J11" s="373">
        <f t="shared" si="6"/>
        <v>4.7201240685501175E-2</v>
      </c>
    </row>
    <row r="12" spans="1:10" x14ac:dyDescent="0.25">
      <c r="A12" s="64" t="s">
        <v>7</v>
      </c>
      <c r="B12">
        <f>+VLOOKUP(A12,'Indicadores Género'!$C$10:$I$27,7,0)</f>
        <v>60.758305525846701</v>
      </c>
      <c r="C12">
        <f>+VLOOKUP(A12,'Indicadores Género'!$C$36:$I$53,7,0)</f>
        <v>56</v>
      </c>
      <c r="D12">
        <f t="shared" si="0"/>
        <v>5.8783966719879295E-2</v>
      </c>
      <c r="E12">
        <f t="shared" si="1"/>
        <v>4.5652173913043478E-2</v>
      </c>
      <c r="F12">
        <f t="shared" si="2"/>
        <v>2.9391983359939648E-2</v>
      </c>
      <c r="G12">
        <f t="shared" si="3"/>
        <v>2.2826086956521739E-2</v>
      </c>
      <c r="H12">
        <f t="shared" si="4"/>
        <v>5.221807031646139E-2</v>
      </c>
      <c r="I12" s="344">
        <f t="shared" si="5"/>
        <v>76682.040441959864</v>
      </c>
      <c r="J12" s="373">
        <f t="shared" si="6"/>
        <v>5.221807031646139E-2</v>
      </c>
    </row>
    <row r="13" spans="1:10" x14ac:dyDescent="0.25">
      <c r="A13" s="64" t="s">
        <v>27</v>
      </c>
      <c r="B13">
        <f>+VLOOKUP(A13,'Indicadores Género'!$C$10:$I$27,7,0)</f>
        <v>51.43608706045606</v>
      </c>
      <c r="C13">
        <f>+VLOOKUP(A13,'Indicadores Género'!$C$36:$I$53,7,0)</f>
        <v>92</v>
      </c>
      <c r="D13">
        <f t="shared" si="0"/>
        <v>4.9764673385705442E-2</v>
      </c>
      <c r="E13">
        <f t="shared" si="1"/>
        <v>7.4999999999999997E-2</v>
      </c>
      <c r="F13">
        <f t="shared" si="2"/>
        <v>2.4882336692852721E-2</v>
      </c>
      <c r="G13">
        <f t="shared" si="3"/>
        <v>3.7499999999999999E-2</v>
      </c>
      <c r="H13">
        <f t="shared" si="4"/>
        <v>6.2382336692852716E-2</v>
      </c>
      <c r="I13" s="344">
        <f t="shared" si="5"/>
        <v>91608.227499691609</v>
      </c>
      <c r="J13" s="373">
        <f t="shared" si="6"/>
        <v>6.2382336692852716E-2</v>
      </c>
    </row>
    <row r="14" spans="1:10" x14ac:dyDescent="0.25">
      <c r="A14" s="64" t="s">
        <v>23</v>
      </c>
      <c r="B14">
        <f>+VLOOKUP(A14,'Indicadores Género'!$C$10:$I$27,7,0)</f>
        <v>47.752117349925562</v>
      </c>
      <c r="C14">
        <f>+VLOOKUP(A14,'Indicadores Género'!$C$36:$I$53,7,0)</f>
        <v>61.333333333333336</v>
      </c>
      <c r="D14">
        <f t="shared" si="0"/>
        <v>4.6200414129516282E-2</v>
      </c>
      <c r="E14">
        <f t="shared" si="1"/>
        <v>4.9999999999999996E-2</v>
      </c>
      <c r="F14">
        <f t="shared" si="2"/>
        <v>2.3100207064758141E-2</v>
      </c>
      <c r="G14">
        <f t="shared" si="3"/>
        <v>2.4999999999999998E-2</v>
      </c>
      <c r="H14">
        <f t="shared" si="4"/>
        <v>4.8100207064758135E-2</v>
      </c>
      <c r="I14" s="344">
        <f t="shared" si="5"/>
        <v>70634.973698820831</v>
      </c>
      <c r="J14" s="373">
        <f t="shared" si="6"/>
        <v>4.8100207064758135E-2</v>
      </c>
    </row>
    <row r="15" spans="1:10" x14ac:dyDescent="0.25">
      <c r="A15" s="64" t="s">
        <v>24</v>
      </c>
      <c r="B15">
        <f>+VLOOKUP(A15,'Indicadores Género'!$C$10:$I$27,7,0)</f>
        <v>51.541507611940773</v>
      </c>
      <c r="C15">
        <f>+VLOOKUP(A15,'Indicadores Género'!$C$36:$I$53,7,0)</f>
        <v>49.333333333333336</v>
      </c>
      <c r="D15">
        <f t="shared" si="0"/>
        <v>4.9866668300416028E-2</v>
      </c>
      <c r="E15">
        <f t="shared" si="1"/>
        <v>4.0217391304347823E-2</v>
      </c>
      <c r="F15">
        <f t="shared" si="2"/>
        <v>2.4933334150208014E-2</v>
      </c>
      <c r="G15">
        <f t="shared" si="3"/>
        <v>2.0108695652173911E-2</v>
      </c>
      <c r="H15">
        <f t="shared" si="4"/>
        <v>4.5042029802381922E-2</v>
      </c>
      <c r="I15" s="344">
        <f t="shared" si="5"/>
        <v>66144.051857186088</v>
      </c>
      <c r="J15" s="373">
        <f t="shared" si="6"/>
        <v>4.5042029802381922E-2</v>
      </c>
    </row>
    <row r="16" spans="1:10" x14ac:dyDescent="0.25">
      <c r="A16" s="64" t="s">
        <v>25</v>
      </c>
      <c r="B16">
        <f>+VLOOKUP(A16,'Indicadores Género'!$C$10:$I$27,7,0)</f>
        <v>43.363064330419093</v>
      </c>
      <c r="C16">
        <f>+VLOOKUP(A16,'Indicadores Género'!$C$36:$I$53,7,0)</f>
        <v>72</v>
      </c>
      <c r="D16">
        <f t="shared" si="0"/>
        <v>4.1953983219413009E-2</v>
      </c>
      <c r="E16">
        <f t="shared" si="1"/>
        <v>5.8695652173913038E-2</v>
      </c>
      <c r="F16">
        <f t="shared" si="2"/>
        <v>2.0976991609706504E-2</v>
      </c>
      <c r="G16">
        <f t="shared" si="3"/>
        <v>2.9347826086956519E-2</v>
      </c>
      <c r="H16">
        <f t="shared" si="4"/>
        <v>5.0324817696663027E-2</v>
      </c>
      <c r="I16" s="344">
        <f t="shared" si="5"/>
        <v>73901.806069483297</v>
      </c>
      <c r="J16" s="373">
        <f t="shared" si="6"/>
        <v>5.0324817696663027E-2</v>
      </c>
    </row>
    <row r="17" spans="1:10" x14ac:dyDescent="0.25">
      <c r="A17" s="64" t="s">
        <v>26</v>
      </c>
      <c r="B17">
        <f>+VLOOKUP(A17,'Indicadores Género'!$C$10:$I$27,7,0)</f>
        <v>47.272464316902592</v>
      </c>
      <c r="C17">
        <f>+VLOOKUP(A17,'Indicadores Género'!$C$36:$I$53,7,0)</f>
        <v>74.666666666666671</v>
      </c>
      <c r="D17">
        <f t="shared" si="0"/>
        <v>4.5736347403390797E-2</v>
      </c>
      <c r="E17">
        <f t="shared" si="1"/>
        <v>6.0869565217391307E-2</v>
      </c>
      <c r="F17">
        <f t="shared" si="2"/>
        <v>2.2868173701695398E-2</v>
      </c>
      <c r="G17">
        <f t="shared" si="3"/>
        <v>3.0434782608695653E-2</v>
      </c>
      <c r="H17">
        <f t="shared" si="4"/>
        <v>5.3302956310391052E-2</v>
      </c>
      <c r="I17" s="344">
        <f t="shared" si="5"/>
        <v>78275.191455723092</v>
      </c>
      <c r="J17" s="373">
        <f t="shared" si="6"/>
        <v>5.3302956310391052E-2</v>
      </c>
    </row>
    <row r="18" spans="1:10" x14ac:dyDescent="0.25">
      <c r="A18" s="64" t="s">
        <v>28</v>
      </c>
      <c r="B18">
        <f>+VLOOKUP(A18,'Indicadores Género'!$C$10:$I$27,7,0)</f>
        <v>77.859912445278312</v>
      </c>
      <c r="C18">
        <f>+VLOOKUP(A18,'Indicadores Género'!$C$36:$I$53,7,0)</f>
        <v>96</v>
      </c>
      <c r="D18">
        <f t="shared" si="0"/>
        <v>7.5329857578877474E-2</v>
      </c>
      <c r="E18">
        <f t="shared" si="1"/>
        <v>7.8260869565217384E-2</v>
      </c>
      <c r="F18">
        <f t="shared" si="2"/>
        <v>3.7664928789438737E-2</v>
      </c>
      <c r="G18">
        <f t="shared" si="3"/>
        <v>3.9130434782608692E-2</v>
      </c>
      <c r="H18">
        <f t="shared" si="4"/>
        <v>7.6795363572047429E-2</v>
      </c>
      <c r="I18" s="344">
        <f t="shared" si="5"/>
        <v>112773.70342293826</v>
      </c>
      <c r="J18" s="389">
        <f t="shared" si="6"/>
        <v>7.6795363572047429E-2</v>
      </c>
    </row>
    <row r="19" spans="1:10" x14ac:dyDescent="0.25">
      <c r="A19" s="64" t="s">
        <v>29</v>
      </c>
      <c r="B19">
        <f>+VLOOKUP(A19,'Indicadores Género'!$C$10:$I$27,7,0)</f>
        <v>49.536092402170986</v>
      </c>
      <c r="C19">
        <f>+VLOOKUP(A19,'Indicadores Género'!$C$36:$I$53,7,0)</f>
        <v>62.666666666666664</v>
      </c>
      <c r="D19">
        <f t="shared" si="0"/>
        <v>4.7926418980913564E-2</v>
      </c>
      <c r="E19">
        <f t="shared" si="1"/>
        <v>5.1086956521739127E-2</v>
      </c>
      <c r="F19">
        <f t="shared" si="2"/>
        <v>2.3963209490456782E-2</v>
      </c>
      <c r="G19">
        <f t="shared" si="3"/>
        <v>2.5543478260869563E-2</v>
      </c>
      <c r="H19">
        <f t="shared" si="4"/>
        <v>4.9506687751326342E-2</v>
      </c>
      <c r="I19" s="344">
        <f t="shared" si="5"/>
        <v>72700.38531274366</v>
      </c>
      <c r="J19" s="373">
        <f t="shared" si="6"/>
        <v>4.9506687751326342E-2</v>
      </c>
    </row>
    <row r="20" spans="1:10" x14ac:dyDescent="0.25">
      <c r="A20" s="64" t="s">
        <v>89</v>
      </c>
      <c r="B20">
        <f>+VLOOKUP(A20,'Indicadores Género'!$C$10:$I$27,7,0)</f>
        <v>66.786714128892896</v>
      </c>
      <c r="C20">
        <f>+VLOOKUP(A20,'Indicadores Género'!$C$36:$I$53,7,0)</f>
        <v>81.333333333333329</v>
      </c>
      <c r="D20">
        <f t="shared" si="0"/>
        <v>6.4616482416758797E-2</v>
      </c>
      <c r="E20">
        <f t="shared" si="1"/>
        <v>6.6304347826086948E-2</v>
      </c>
      <c r="F20">
        <f t="shared" si="2"/>
        <v>3.2308241208379399E-2</v>
      </c>
      <c r="G20">
        <f t="shared" si="3"/>
        <v>3.3152173913043474E-2</v>
      </c>
      <c r="H20">
        <f t="shared" si="4"/>
        <v>6.5460415121422866E-2</v>
      </c>
      <c r="I20" s="344">
        <f t="shared" si="5"/>
        <v>96128.37412925277</v>
      </c>
      <c r="J20" s="373">
        <f t="shared" si="6"/>
        <v>6.5460415121422866E-2</v>
      </c>
    </row>
    <row r="21" spans="1:10" x14ac:dyDescent="0.25">
      <c r="A21" s="64" t="s">
        <v>91</v>
      </c>
      <c r="B21">
        <f>+VLOOKUP(A21,'Indicadores Género'!$C$10:$I$27,7,0)</f>
        <v>69.362637362637358</v>
      </c>
      <c r="C21">
        <f>+VLOOKUP(A21,'Indicadores Género'!$C$36:$I$53,7,0)</f>
        <v>69.333333333333329</v>
      </c>
      <c r="D21">
        <f t="shared" si="0"/>
        <v>6.7108701123894776E-2</v>
      </c>
      <c r="E21">
        <f t="shared" si="1"/>
        <v>5.6521739130434775E-2</v>
      </c>
      <c r="F21">
        <f t="shared" si="2"/>
        <v>3.3554350561947388E-2</v>
      </c>
      <c r="G21">
        <f t="shared" si="3"/>
        <v>2.8260869565217388E-2</v>
      </c>
      <c r="H21">
        <f t="shared" si="4"/>
        <v>6.1815220127164776E-2</v>
      </c>
      <c r="I21" s="344">
        <f t="shared" si="5"/>
        <v>90775.418949665996</v>
      </c>
      <c r="J21" s="373">
        <f t="shared" si="6"/>
        <v>6.1815220127164776E-2</v>
      </c>
    </row>
    <row r="22" spans="1:10" x14ac:dyDescent="0.25">
      <c r="B22" s="224">
        <f>SUM(B4:B21)</f>
        <v>1033.5863487296738</v>
      </c>
      <c r="C22" s="224">
        <f>SUM(C4:C21)</f>
        <v>1226.6666666666667</v>
      </c>
      <c r="D22">
        <f t="shared" ref="D22:I22" si="7">SUM(D4:D21)</f>
        <v>1</v>
      </c>
      <c r="E22">
        <f t="shared" si="7"/>
        <v>1</v>
      </c>
      <c r="F22">
        <f>SUM(F4:F21)</f>
        <v>0.5</v>
      </c>
      <c r="G22">
        <f>SUM(G4:G21)</f>
        <v>0.5</v>
      </c>
      <c r="H22">
        <f t="shared" si="7"/>
        <v>1</v>
      </c>
      <c r="I22" s="344">
        <f t="shared" si="7"/>
        <v>1468496.25</v>
      </c>
      <c r="J22" s="373">
        <f t="shared" si="6"/>
        <v>1</v>
      </c>
    </row>
    <row r="23" spans="1:10" x14ac:dyDescent="0.25">
      <c r="B23" s="341" t="s">
        <v>381</v>
      </c>
      <c r="C23" s="341" t="s">
        <v>388</v>
      </c>
      <c r="J23" s="373">
        <f t="shared" si="6"/>
        <v>0</v>
      </c>
    </row>
    <row r="25" spans="1:10" x14ac:dyDescent="0.25">
      <c r="A25" s="575" t="s">
        <v>296</v>
      </c>
      <c r="B25" s="575"/>
      <c r="C25">
        <f>+Refuerzo!B33</f>
        <v>1468496.25</v>
      </c>
    </row>
    <row r="26" spans="1:10" x14ac:dyDescent="0.25">
      <c r="C26" s="377"/>
    </row>
  </sheetData>
  <mergeCells count="2">
    <mergeCell ref="B2:C2"/>
    <mergeCell ref="A25:B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2B99-FC8C-40D2-AAE7-27FB41CBB635}">
  <sheetPr>
    <tabColor theme="9" tint="0.59999389629810485"/>
  </sheetPr>
  <dimension ref="A1:I54"/>
  <sheetViews>
    <sheetView zoomScale="90" zoomScaleNormal="90" workbookViewId="0">
      <selection activeCell="D8" sqref="D8"/>
    </sheetView>
  </sheetViews>
  <sheetFormatPr baseColWidth="10" defaultRowHeight="15" x14ac:dyDescent="0.25"/>
  <cols>
    <col min="1" max="1" width="9.42578125" customWidth="1"/>
    <col min="2" max="2" width="55.140625" bestFit="1" customWidth="1"/>
    <col min="3" max="3" width="6.85546875" bestFit="1" customWidth="1"/>
  </cols>
  <sheetData>
    <row r="1" spans="1:9" ht="15.75" x14ac:dyDescent="0.25">
      <c r="A1" s="181" t="s">
        <v>324</v>
      </c>
    </row>
    <row r="2" spans="1:9" ht="15.75" x14ac:dyDescent="0.25">
      <c r="A2" s="181" t="s">
        <v>325</v>
      </c>
    </row>
    <row r="5" spans="1:9" ht="15.75" x14ac:dyDescent="0.25">
      <c r="A5" s="576" t="s">
        <v>311</v>
      </c>
      <c r="B5" s="576"/>
      <c r="C5" s="576"/>
      <c r="D5" s="576"/>
    </row>
    <row r="7" spans="1:9" x14ac:dyDescent="0.25">
      <c r="B7" s="16" t="s">
        <v>298</v>
      </c>
    </row>
    <row r="8" spans="1:9" x14ac:dyDescent="0.25">
      <c r="D8" s="339" t="s">
        <v>439</v>
      </c>
      <c r="E8" s="339"/>
      <c r="F8" s="339"/>
      <c r="G8" s="339"/>
      <c r="H8" s="339"/>
      <c r="I8" s="339"/>
    </row>
    <row r="9" spans="1:9" s="180" customFormat="1" ht="25.5" x14ac:dyDescent="0.25">
      <c r="A9" s="155" t="s">
        <v>310</v>
      </c>
      <c r="B9" s="155" t="s">
        <v>299</v>
      </c>
      <c r="C9" s="178" t="s">
        <v>307</v>
      </c>
      <c r="D9" s="179" t="s">
        <v>300</v>
      </c>
      <c r="E9" s="179" t="s">
        <v>301</v>
      </c>
      <c r="F9" s="179" t="s">
        <v>302</v>
      </c>
      <c r="G9" s="179" t="s">
        <v>303</v>
      </c>
      <c r="H9" s="179" t="s">
        <v>304</v>
      </c>
      <c r="I9" s="222" t="s">
        <v>305</v>
      </c>
    </row>
    <row r="10" spans="1:9" x14ac:dyDescent="0.25">
      <c r="A10" s="176">
        <v>70</v>
      </c>
      <c r="B10" s="176" t="s">
        <v>12</v>
      </c>
      <c r="C10" s="176" t="s">
        <v>2</v>
      </c>
      <c r="D10" s="177">
        <v>87.713868613138686</v>
      </c>
      <c r="E10" s="177">
        <v>74.401970443349754</v>
      </c>
      <c r="F10" s="177">
        <v>73.831084457771112</v>
      </c>
      <c r="G10" s="177">
        <v>80.084331576425498</v>
      </c>
      <c r="H10" s="177">
        <v>77.82268827454719</v>
      </c>
      <c r="I10" s="223">
        <v>77.246034769581271</v>
      </c>
    </row>
    <row r="11" spans="1:9" x14ac:dyDescent="0.25">
      <c r="A11" s="176">
        <v>71</v>
      </c>
      <c r="B11" s="176" t="s">
        <v>13</v>
      </c>
      <c r="C11" s="176" t="s">
        <v>3</v>
      </c>
      <c r="D11" s="177">
        <v>58.272056239015818</v>
      </c>
      <c r="E11" s="177">
        <v>60.850591715976329</v>
      </c>
      <c r="F11" s="177">
        <v>60.088591725867111</v>
      </c>
      <c r="G11" s="177">
        <v>54.844957796534871</v>
      </c>
      <c r="H11" s="177">
        <v>57.738920225624497</v>
      </c>
      <c r="I11" s="223">
        <v>57.557489916008826</v>
      </c>
    </row>
    <row r="12" spans="1:9" x14ac:dyDescent="0.25">
      <c r="A12" s="176">
        <v>72</v>
      </c>
      <c r="B12" s="176" t="s">
        <v>118</v>
      </c>
      <c r="C12" s="176" t="s">
        <v>4</v>
      </c>
      <c r="D12" s="177">
        <v>72.294949494949492</v>
      </c>
      <c r="E12" s="177">
        <v>74.706964520367933</v>
      </c>
      <c r="F12" s="177">
        <v>73.307586206896545</v>
      </c>
      <c r="G12" s="177">
        <v>69.209549071618042</v>
      </c>
      <c r="H12" s="177">
        <v>69.797979797979792</v>
      </c>
      <c r="I12" s="223">
        <v>70.771705025498122</v>
      </c>
    </row>
    <row r="13" spans="1:9" x14ac:dyDescent="0.25">
      <c r="A13" s="176">
        <v>73</v>
      </c>
      <c r="B13" s="176" t="s">
        <v>19</v>
      </c>
      <c r="C13" s="176" t="s">
        <v>9</v>
      </c>
      <c r="D13" s="177">
        <v>53.123674911660778</v>
      </c>
      <c r="E13" s="177">
        <v>53.883333333333333</v>
      </c>
      <c r="F13" s="177">
        <v>53.484918793503482</v>
      </c>
      <c r="G13" s="177">
        <v>51.015075376884425</v>
      </c>
      <c r="H13" s="177">
        <v>60.796460176991154</v>
      </c>
      <c r="I13" s="223">
        <v>55.098818115793023</v>
      </c>
    </row>
    <row r="14" spans="1:9" x14ac:dyDescent="0.25">
      <c r="A14" s="176">
        <v>74</v>
      </c>
      <c r="B14" s="176" t="s">
        <v>17</v>
      </c>
      <c r="C14" s="176" t="s">
        <v>7</v>
      </c>
      <c r="D14" s="177">
        <v>61.896805896805894</v>
      </c>
      <c r="E14" s="177">
        <v>63.455040871934607</v>
      </c>
      <c r="F14" s="177">
        <v>58.1312</v>
      </c>
      <c r="G14" s="177">
        <v>61.882352941176471</v>
      </c>
      <c r="H14" s="177">
        <v>62.261363636363633</v>
      </c>
      <c r="I14" s="223">
        <v>60.758305525846701</v>
      </c>
    </row>
    <row r="15" spans="1:9" x14ac:dyDescent="0.25">
      <c r="A15" s="176">
        <v>75</v>
      </c>
      <c r="B15" s="176" t="s">
        <v>119</v>
      </c>
      <c r="C15" s="176" t="s">
        <v>8</v>
      </c>
      <c r="D15" s="177">
        <v>53.966666666666669</v>
      </c>
      <c r="E15" s="177">
        <v>51.789794364051787</v>
      </c>
      <c r="F15" s="177">
        <v>52.747892720306517</v>
      </c>
      <c r="G15" s="177">
        <v>55.581481481481482</v>
      </c>
      <c r="H15" s="177">
        <v>49.574363188167624</v>
      </c>
      <c r="I15" s="223">
        <v>52.634579129985205</v>
      </c>
    </row>
    <row r="16" spans="1:9" x14ac:dyDescent="0.25">
      <c r="A16" s="176">
        <v>76</v>
      </c>
      <c r="B16" s="176" t="s">
        <v>16</v>
      </c>
      <c r="C16" s="176" t="s">
        <v>6</v>
      </c>
      <c r="D16" s="177">
        <v>58.205128205128204</v>
      </c>
      <c r="E16" s="177">
        <v>54.099099099099099</v>
      </c>
      <c r="F16" s="177">
        <v>52.467605633802819</v>
      </c>
      <c r="G16" s="177">
        <v>55.530410183875532</v>
      </c>
      <c r="H16" s="177">
        <v>55.072039072039075</v>
      </c>
      <c r="I16" s="223">
        <v>54.35668496323914</v>
      </c>
    </row>
    <row r="17" spans="1:9" x14ac:dyDescent="0.25">
      <c r="A17" s="176">
        <v>77</v>
      </c>
      <c r="B17" s="176" t="s">
        <v>33</v>
      </c>
      <c r="C17" s="176" t="s">
        <v>26</v>
      </c>
      <c r="D17" s="177">
        <v>43.935222672064775</v>
      </c>
      <c r="E17" s="177">
        <v>54.160427807486634</v>
      </c>
      <c r="F17" s="177">
        <v>39.689320388349515</v>
      </c>
      <c r="G17" s="177">
        <v>43.502222222222223</v>
      </c>
      <c r="H17" s="177">
        <v>58.625850340136054</v>
      </c>
      <c r="I17" s="223">
        <v>47.272464316902592</v>
      </c>
    </row>
    <row r="18" spans="1:9" x14ac:dyDescent="0.25">
      <c r="A18" s="176">
        <v>78</v>
      </c>
      <c r="B18" s="176" t="s">
        <v>15</v>
      </c>
      <c r="C18" s="176" t="s">
        <v>5</v>
      </c>
      <c r="D18" s="177">
        <v>53.189340813464234</v>
      </c>
      <c r="E18" s="177">
        <v>51.004291845493562</v>
      </c>
      <c r="F18" s="177">
        <v>59.007299270072991</v>
      </c>
      <c r="G18" s="177">
        <v>51.291139240506332</v>
      </c>
      <c r="H18" s="177">
        <v>49.687344913151364</v>
      </c>
      <c r="I18" s="223">
        <v>53.328594474576903</v>
      </c>
    </row>
    <row r="19" spans="1:9" x14ac:dyDescent="0.25">
      <c r="A19" s="176">
        <v>79</v>
      </c>
      <c r="B19" s="176" t="s">
        <v>31</v>
      </c>
      <c r="C19" s="176" t="s">
        <v>24</v>
      </c>
      <c r="D19" s="177">
        <v>46.350435624394969</v>
      </c>
      <c r="E19" s="177">
        <v>44.741275571600482</v>
      </c>
      <c r="F19" s="177">
        <v>50.353477765108323</v>
      </c>
      <c r="G19" s="177">
        <v>50.673521850899746</v>
      </c>
      <c r="H19" s="177">
        <v>53.597523219814242</v>
      </c>
      <c r="I19" s="223">
        <v>51.541507611940773</v>
      </c>
    </row>
    <row r="20" spans="1:9" x14ac:dyDescent="0.25">
      <c r="A20" s="176">
        <v>80</v>
      </c>
      <c r="B20" s="176" t="s">
        <v>117</v>
      </c>
      <c r="C20" s="176" t="s">
        <v>10</v>
      </c>
      <c r="D20" s="177">
        <v>46.932006633499171</v>
      </c>
      <c r="E20" s="177">
        <v>53.303292894280766</v>
      </c>
      <c r="F20" s="177">
        <v>52.058700209643604</v>
      </c>
      <c r="G20" s="177">
        <v>49.737373737373737</v>
      </c>
      <c r="H20" s="177">
        <v>38.974545454545456</v>
      </c>
      <c r="I20" s="223">
        <v>46.923539800520928</v>
      </c>
    </row>
    <row r="21" spans="1:9" x14ac:dyDescent="0.25">
      <c r="A21" s="176">
        <v>81</v>
      </c>
      <c r="B21" s="176" t="s">
        <v>30</v>
      </c>
      <c r="C21" s="176" t="s">
        <v>23</v>
      </c>
      <c r="D21" s="177">
        <v>48.360248447204967</v>
      </c>
      <c r="E21" s="177">
        <v>51.136801541425818</v>
      </c>
      <c r="F21" s="177">
        <v>47.594520547945208</v>
      </c>
      <c r="G21" s="177">
        <v>47.052307692307693</v>
      </c>
      <c r="H21" s="177">
        <v>48.609523809523807</v>
      </c>
      <c r="I21" s="223">
        <v>47.752117349925562</v>
      </c>
    </row>
    <row r="22" spans="1:9" x14ac:dyDescent="0.25">
      <c r="A22" s="176">
        <v>82</v>
      </c>
      <c r="B22" s="176" t="s">
        <v>121</v>
      </c>
      <c r="C22" s="176" t="s">
        <v>28</v>
      </c>
      <c r="D22" s="177">
        <v>87.213973799126634</v>
      </c>
      <c r="E22" s="177">
        <v>82.7434554973822</v>
      </c>
      <c r="F22" s="177">
        <v>83.292307692307688</v>
      </c>
      <c r="G22" s="177">
        <v>76.195121951219505</v>
      </c>
      <c r="H22" s="177">
        <v>74.092307692307699</v>
      </c>
      <c r="I22" s="223">
        <v>77.859912445278312</v>
      </c>
    </row>
    <row r="23" spans="1:9" x14ac:dyDescent="0.25">
      <c r="A23" s="176">
        <v>83</v>
      </c>
      <c r="B23" s="176" t="s">
        <v>120</v>
      </c>
      <c r="C23" s="176" t="s">
        <v>27</v>
      </c>
      <c r="D23" s="177">
        <v>62.60526315789474</v>
      </c>
      <c r="E23" s="177">
        <v>64.540540540540547</v>
      </c>
      <c r="F23" s="177">
        <v>51.932203389830505</v>
      </c>
      <c r="G23" s="177">
        <v>58.305882352941175</v>
      </c>
      <c r="H23" s="177">
        <v>44.070175438596493</v>
      </c>
      <c r="I23" s="223">
        <v>51.43608706045606</v>
      </c>
    </row>
    <row r="24" spans="1:9" x14ac:dyDescent="0.25">
      <c r="A24" s="176">
        <v>84</v>
      </c>
      <c r="B24" s="176" t="s">
        <v>32</v>
      </c>
      <c r="C24" s="176" t="s">
        <v>25</v>
      </c>
      <c r="D24" s="177">
        <v>45.513687600644126</v>
      </c>
      <c r="E24" s="177">
        <v>42.815503875968993</v>
      </c>
      <c r="F24" s="177">
        <v>39.539823008849559</v>
      </c>
      <c r="G24" s="177">
        <v>35.708879184861715</v>
      </c>
      <c r="H24" s="177">
        <v>54.840490797546011</v>
      </c>
      <c r="I24" s="223">
        <v>43.363064330419093</v>
      </c>
    </row>
    <row r="25" spans="1:9" x14ac:dyDescent="0.25">
      <c r="A25" s="176">
        <v>85</v>
      </c>
      <c r="B25" s="176" t="s">
        <v>122</v>
      </c>
      <c r="C25" s="176" t="s">
        <v>29</v>
      </c>
      <c r="D25" s="177">
        <v>54.581881533101047</v>
      </c>
      <c r="E25" s="177">
        <v>52.673946957878314</v>
      </c>
      <c r="F25" s="177">
        <v>53.619834710743802</v>
      </c>
      <c r="G25" s="177">
        <v>47.650364203954211</v>
      </c>
      <c r="H25" s="177">
        <v>47.338078291814945</v>
      </c>
      <c r="I25" s="223">
        <v>49.536092402170986</v>
      </c>
    </row>
    <row r="26" spans="1:9" x14ac:dyDescent="0.25">
      <c r="A26" s="176">
        <v>895</v>
      </c>
      <c r="B26" s="176" t="s">
        <v>126</v>
      </c>
      <c r="C26" s="176" t="s">
        <v>89</v>
      </c>
      <c r="D26" s="177">
        <v>52.558951965065503</v>
      </c>
      <c r="E26" s="177">
        <v>55.521594684385384</v>
      </c>
      <c r="F26" s="177">
        <v>53.213930348258707</v>
      </c>
      <c r="G26" s="177">
        <v>47.943462897526501</v>
      </c>
      <c r="H26" s="177">
        <v>99.202749140893474</v>
      </c>
      <c r="I26" s="223">
        <v>66.786714128892896</v>
      </c>
    </row>
    <row r="27" spans="1:9" x14ac:dyDescent="0.25">
      <c r="A27" s="176">
        <v>896</v>
      </c>
      <c r="B27" s="176" t="s">
        <v>306</v>
      </c>
      <c r="C27" s="176" t="s">
        <v>91</v>
      </c>
      <c r="D27" s="177">
        <v>60</v>
      </c>
      <c r="E27" s="177">
        <v>88</v>
      </c>
      <c r="F27" s="177">
        <v>53.333333333333336</v>
      </c>
      <c r="G27" s="177">
        <v>58.857142857142854</v>
      </c>
      <c r="H27" s="177">
        <v>95.897435897435898</v>
      </c>
      <c r="I27" s="223">
        <v>69.362637362637358</v>
      </c>
    </row>
    <row r="28" spans="1:9" x14ac:dyDescent="0.25">
      <c r="A28" s="577" t="s">
        <v>0</v>
      </c>
      <c r="B28" s="578"/>
      <c r="C28" s="579"/>
      <c r="D28" s="177">
        <v>60.199855367825897</v>
      </c>
      <c r="E28" s="177">
        <v>58.696651254028303</v>
      </c>
      <c r="F28" s="177">
        <v>58.396583850931677</v>
      </c>
      <c r="G28" s="177">
        <v>57.601665732361653</v>
      </c>
      <c r="H28" s="177">
        <v>58.999857163262391</v>
      </c>
      <c r="I28" s="223">
        <v>58.332702248851909</v>
      </c>
    </row>
    <row r="29" spans="1:9" x14ac:dyDescent="0.25">
      <c r="I29" s="388">
        <f>SUM(I10:I27)</f>
        <v>1033.5863487296738</v>
      </c>
    </row>
    <row r="31" spans="1:9" ht="15.75" x14ac:dyDescent="0.25">
      <c r="A31" s="576" t="s">
        <v>312</v>
      </c>
      <c r="B31" s="576"/>
      <c r="C31" s="576"/>
      <c r="D31" s="576"/>
    </row>
    <row r="33" spans="1:9" x14ac:dyDescent="0.25">
      <c r="B33" s="16" t="s">
        <v>308</v>
      </c>
    </row>
    <row r="35" spans="1:9" ht="25.5" x14ac:dyDescent="0.25">
      <c r="A35" s="155" t="s">
        <v>310</v>
      </c>
      <c r="B35" s="155" t="s">
        <v>299</v>
      </c>
      <c r="C35" s="178" t="s">
        <v>307</v>
      </c>
      <c r="D35" s="179" t="s">
        <v>300</v>
      </c>
      <c r="E35" s="179" t="s">
        <v>301</v>
      </c>
      <c r="F35" s="179" t="s">
        <v>302</v>
      </c>
      <c r="G35" s="179" t="s">
        <v>303</v>
      </c>
      <c r="H35" s="179" t="s">
        <v>304</v>
      </c>
      <c r="I35" s="222" t="s">
        <v>309</v>
      </c>
    </row>
    <row r="36" spans="1:9" x14ac:dyDescent="0.25">
      <c r="A36" s="176">
        <v>70</v>
      </c>
      <c r="B36" s="176" t="s">
        <v>12</v>
      </c>
      <c r="C36" s="176" t="s">
        <v>2</v>
      </c>
      <c r="D36" s="177">
        <v>68</v>
      </c>
      <c r="E36" s="177">
        <v>68</v>
      </c>
      <c r="F36" s="177">
        <v>68</v>
      </c>
      <c r="G36" s="177">
        <v>72</v>
      </c>
      <c r="H36" s="177">
        <v>72</v>
      </c>
      <c r="I36" s="223">
        <v>70.666666666666671</v>
      </c>
    </row>
    <row r="37" spans="1:9" x14ac:dyDescent="0.25">
      <c r="A37" s="176">
        <v>71</v>
      </c>
      <c r="B37" s="176" t="s">
        <v>13</v>
      </c>
      <c r="C37" s="176" t="s">
        <v>3</v>
      </c>
      <c r="D37" s="177">
        <v>60</v>
      </c>
      <c r="E37" s="177">
        <v>60</v>
      </c>
      <c r="F37" s="177">
        <v>60</v>
      </c>
      <c r="G37" s="177">
        <v>60</v>
      </c>
      <c r="H37" s="177">
        <v>60</v>
      </c>
      <c r="I37" s="223">
        <v>60</v>
      </c>
    </row>
    <row r="38" spans="1:9" x14ac:dyDescent="0.25">
      <c r="A38" s="176">
        <v>72</v>
      </c>
      <c r="B38" s="176" t="s">
        <v>14</v>
      </c>
      <c r="C38" s="176" t="s">
        <v>4</v>
      </c>
      <c r="D38" s="177">
        <v>76</v>
      </c>
      <c r="E38" s="177">
        <v>76</v>
      </c>
      <c r="F38" s="177">
        <v>80</v>
      </c>
      <c r="G38" s="177">
        <v>84</v>
      </c>
      <c r="H38" s="177">
        <v>84</v>
      </c>
      <c r="I38" s="223">
        <v>82.666666666666671</v>
      </c>
    </row>
    <row r="39" spans="1:9" x14ac:dyDescent="0.25">
      <c r="A39" s="176">
        <v>73</v>
      </c>
      <c r="B39" s="176" t="s">
        <v>19</v>
      </c>
      <c r="C39" s="176" t="s">
        <v>9</v>
      </c>
      <c r="D39" s="177">
        <v>64</v>
      </c>
      <c r="E39" s="177">
        <v>64</v>
      </c>
      <c r="F39" s="177">
        <v>64</v>
      </c>
      <c r="G39" s="177">
        <v>64</v>
      </c>
      <c r="H39" s="177">
        <v>64</v>
      </c>
      <c r="I39" s="223">
        <v>64</v>
      </c>
    </row>
    <row r="40" spans="1:9" x14ac:dyDescent="0.25">
      <c r="A40" s="176">
        <v>74</v>
      </c>
      <c r="B40" s="176" t="s">
        <v>17</v>
      </c>
      <c r="C40" s="176" t="s">
        <v>7</v>
      </c>
      <c r="D40" s="177">
        <v>60</v>
      </c>
      <c r="E40" s="177">
        <v>56</v>
      </c>
      <c r="F40" s="177">
        <v>60</v>
      </c>
      <c r="G40" s="177">
        <v>52</v>
      </c>
      <c r="H40" s="177">
        <v>56</v>
      </c>
      <c r="I40" s="223">
        <v>56</v>
      </c>
    </row>
    <row r="41" spans="1:9" x14ac:dyDescent="0.25">
      <c r="A41" s="176">
        <v>75</v>
      </c>
      <c r="B41" s="176" t="s">
        <v>18</v>
      </c>
      <c r="C41" s="176" t="s">
        <v>8</v>
      </c>
      <c r="D41" s="177">
        <v>48</v>
      </c>
      <c r="E41" s="177">
        <v>48</v>
      </c>
      <c r="F41" s="177">
        <v>52</v>
      </c>
      <c r="G41" s="177">
        <v>52</v>
      </c>
      <c r="H41" s="177">
        <v>56</v>
      </c>
      <c r="I41" s="223">
        <v>53.333333333333336</v>
      </c>
    </row>
    <row r="42" spans="1:9" x14ac:dyDescent="0.25">
      <c r="A42" s="176">
        <v>76</v>
      </c>
      <c r="B42" s="176" t="s">
        <v>16</v>
      </c>
      <c r="C42" s="176" t="s">
        <v>6</v>
      </c>
      <c r="D42" s="177">
        <v>72</v>
      </c>
      <c r="E42" s="177">
        <v>68</v>
      </c>
      <c r="F42" s="177">
        <v>68</v>
      </c>
      <c r="G42" s="177">
        <v>72</v>
      </c>
      <c r="H42" s="177">
        <v>72</v>
      </c>
      <c r="I42" s="223">
        <v>70.666666666666671</v>
      </c>
    </row>
    <row r="43" spans="1:9" x14ac:dyDescent="0.25">
      <c r="A43" s="176">
        <v>77</v>
      </c>
      <c r="B43" s="176" t="s">
        <v>33</v>
      </c>
      <c r="C43" s="176" t="s">
        <v>26</v>
      </c>
      <c r="D43" s="177">
        <v>84</v>
      </c>
      <c r="E43" s="177">
        <v>76</v>
      </c>
      <c r="F43" s="177">
        <v>76</v>
      </c>
      <c r="G43" s="177">
        <v>76</v>
      </c>
      <c r="H43" s="177">
        <v>72</v>
      </c>
      <c r="I43" s="223">
        <v>74.666666666666671</v>
      </c>
    </row>
    <row r="44" spans="1:9" x14ac:dyDescent="0.25">
      <c r="A44" s="176">
        <v>78</v>
      </c>
      <c r="B44" s="176" t="s">
        <v>15</v>
      </c>
      <c r="C44" s="176" t="s">
        <v>5</v>
      </c>
      <c r="D44" s="177">
        <v>48</v>
      </c>
      <c r="E44" s="177">
        <v>48</v>
      </c>
      <c r="F44" s="177">
        <v>52</v>
      </c>
      <c r="G44" s="177">
        <v>48</v>
      </c>
      <c r="H44" s="177">
        <v>52</v>
      </c>
      <c r="I44" s="223">
        <v>50.666666666666664</v>
      </c>
    </row>
    <row r="45" spans="1:9" x14ac:dyDescent="0.25">
      <c r="A45" s="176">
        <v>79</v>
      </c>
      <c r="B45" s="176" t="s">
        <v>31</v>
      </c>
      <c r="C45" s="176" t="s">
        <v>24</v>
      </c>
      <c r="D45" s="177">
        <v>40</v>
      </c>
      <c r="E45" s="177">
        <v>48</v>
      </c>
      <c r="F45" s="177">
        <v>48</v>
      </c>
      <c r="G45" s="177">
        <v>52</v>
      </c>
      <c r="H45" s="177">
        <v>48</v>
      </c>
      <c r="I45" s="223">
        <v>49.333333333333336</v>
      </c>
    </row>
    <row r="46" spans="1:9" x14ac:dyDescent="0.25">
      <c r="A46" s="176">
        <v>80</v>
      </c>
      <c r="B46" s="176" t="s">
        <v>20</v>
      </c>
      <c r="C46" s="176" t="s">
        <v>10</v>
      </c>
      <c r="D46" s="177">
        <v>56</v>
      </c>
      <c r="E46" s="177">
        <v>56</v>
      </c>
      <c r="F46" s="177">
        <v>56</v>
      </c>
      <c r="G46" s="177">
        <v>60</v>
      </c>
      <c r="H46" s="177">
        <v>64</v>
      </c>
      <c r="I46" s="223">
        <v>60</v>
      </c>
    </row>
    <row r="47" spans="1:9" x14ac:dyDescent="0.25">
      <c r="A47" s="176">
        <v>81</v>
      </c>
      <c r="B47" s="176" t="s">
        <v>30</v>
      </c>
      <c r="C47" s="176" t="s">
        <v>23</v>
      </c>
      <c r="D47" s="177">
        <v>68</v>
      </c>
      <c r="E47" s="177">
        <v>68</v>
      </c>
      <c r="F47" s="177">
        <v>64</v>
      </c>
      <c r="G47" s="177">
        <v>60</v>
      </c>
      <c r="H47" s="177">
        <v>60</v>
      </c>
      <c r="I47" s="223">
        <v>61.333333333333336</v>
      </c>
    </row>
    <row r="48" spans="1:9" x14ac:dyDescent="0.25">
      <c r="A48" s="176">
        <v>82</v>
      </c>
      <c r="B48" s="176" t="s">
        <v>110</v>
      </c>
      <c r="C48" s="176" t="s">
        <v>28</v>
      </c>
      <c r="D48" s="177">
        <v>96</v>
      </c>
      <c r="E48" s="177">
        <v>100</v>
      </c>
      <c r="F48" s="177">
        <v>100</v>
      </c>
      <c r="G48" s="177">
        <v>92</v>
      </c>
      <c r="H48" s="177">
        <v>96</v>
      </c>
      <c r="I48" s="223">
        <v>96</v>
      </c>
    </row>
    <row r="49" spans="1:9" x14ac:dyDescent="0.25">
      <c r="A49" s="176">
        <v>83</v>
      </c>
      <c r="B49" s="176" t="s">
        <v>109</v>
      </c>
      <c r="C49" s="176" t="s">
        <v>27</v>
      </c>
      <c r="D49" s="177">
        <v>88</v>
      </c>
      <c r="E49" s="177">
        <v>88</v>
      </c>
      <c r="F49" s="177">
        <v>92</v>
      </c>
      <c r="G49" s="177">
        <v>92</v>
      </c>
      <c r="H49" s="177">
        <v>92</v>
      </c>
      <c r="I49" s="223">
        <v>92</v>
      </c>
    </row>
    <row r="50" spans="1:9" x14ac:dyDescent="0.25">
      <c r="A50" s="176">
        <v>84</v>
      </c>
      <c r="B50" s="176" t="s">
        <v>32</v>
      </c>
      <c r="C50" s="176" t="s">
        <v>25</v>
      </c>
      <c r="D50" s="177">
        <v>60</v>
      </c>
      <c r="E50" s="177">
        <v>68</v>
      </c>
      <c r="F50" s="177">
        <v>68</v>
      </c>
      <c r="G50" s="177">
        <v>72</v>
      </c>
      <c r="H50" s="177">
        <v>76</v>
      </c>
      <c r="I50" s="223">
        <v>72</v>
      </c>
    </row>
    <row r="51" spans="1:9" x14ac:dyDescent="0.25">
      <c r="A51" s="176">
        <v>85</v>
      </c>
      <c r="B51" s="176" t="s">
        <v>36</v>
      </c>
      <c r="C51" s="176" t="s">
        <v>29</v>
      </c>
      <c r="D51" s="177">
        <v>64</v>
      </c>
      <c r="E51" s="177">
        <v>64</v>
      </c>
      <c r="F51" s="177">
        <v>64</v>
      </c>
      <c r="G51" s="177">
        <v>60</v>
      </c>
      <c r="H51" s="177">
        <v>64</v>
      </c>
      <c r="I51" s="223">
        <v>62.666666666666664</v>
      </c>
    </row>
    <row r="52" spans="1:9" x14ac:dyDescent="0.25">
      <c r="A52" s="176">
        <v>895</v>
      </c>
      <c r="B52" s="176" t="s">
        <v>126</v>
      </c>
      <c r="C52" s="176" t="s">
        <v>89</v>
      </c>
      <c r="D52" s="177">
        <v>72</v>
      </c>
      <c r="E52" s="177">
        <v>76</v>
      </c>
      <c r="F52" s="177">
        <v>80</v>
      </c>
      <c r="G52" s="177">
        <v>80</v>
      </c>
      <c r="H52" s="177">
        <v>84</v>
      </c>
      <c r="I52" s="223">
        <v>81.333333333333329</v>
      </c>
    </row>
    <row r="53" spans="1:9" x14ac:dyDescent="0.25">
      <c r="A53" s="176">
        <v>896</v>
      </c>
      <c r="B53" s="176" t="s">
        <v>127</v>
      </c>
      <c r="C53" s="176" t="s">
        <v>91</v>
      </c>
      <c r="D53" s="177">
        <v>64</v>
      </c>
      <c r="E53" s="177">
        <v>56</v>
      </c>
      <c r="F53" s="177">
        <v>52</v>
      </c>
      <c r="G53" s="177">
        <v>76</v>
      </c>
      <c r="H53" s="177">
        <v>80</v>
      </c>
      <c r="I53" s="223">
        <v>69.333333333333329</v>
      </c>
    </row>
    <row r="54" spans="1:9" x14ac:dyDescent="0.25">
      <c r="I54" s="388">
        <f>SUM(I35:I53)</f>
        <v>1226.6666666666665</v>
      </c>
    </row>
  </sheetData>
  <mergeCells count="3">
    <mergeCell ref="A5:D5"/>
    <mergeCell ref="A31:D31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Montos AIUE 2024</vt:lpstr>
      <vt:lpstr>Montos Anticipo AIUE 2024 </vt:lpstr>
      <vt:lpstr>Categorías</vt:lpstr>
      <vt:lpstr>Valores</vt:lpstr>
      <vt:lpstr>Indicadores</vt:lpstr>
      <vt:lpstr>Publicaciones</vt:lpstr>
      <vt:lpstr>Acreditación</vt:lpstr>
      <vt:lpstr>Doctorado JC </vt:lpstr>
      <vt:lpstr>Programas Doct. Acreditados </vt:lpstr>
      <vt:lpstr>Académicos JC </vt:lpstr>
      <vt:lpstr>Matrícula Regular Pre </vt:lpstr>
      <vt:lpstr>Refuerzo</vt:lpstr>
      <vt:lpstr>Pedagogía</vt:lpstr>
      <vt:lpstr>Género</vt:lpstr>
      <vt:lpstr>Indicadores Género</vt:lpstr>
      <vt:lpstr>'Montos AIUE 2024'!Área_de_impresión</vt:lpstr>
      <vt:lpstr>Refuerzo!Área_de_impresión</vt:lpstr>
      <vt:lpstr>'Montos AIUE 2024'!Títulos_a_imprimir</vt:lpstr>
      <vt:lpstr>'Montos Anticipo AIUE 2024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2024-10-29T13:48:47Z</cp:lastPrinted>
  <dcterms:created xsi:type="dcterms:W3CDTF">2016-05-30T15:19:10Z</dcterms:created>
  <dcterms:modified xsi:type="dcterms:W3CDTF">2024-12-02T13:00:59Z</dcterms:modified>
</cp:coreProperties>
</file>