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Ministerio de Educación\Desktop\2024\"/>
    </mc:Choice>
  </mc:AlternateContent>
  <xr:revisionPtr revIDLastSave="0" documentId="13_ncr:1_{10E38F3D-AB8D-4615-BDBB-8D0198BD3894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Distribucion ESR Estatales 2024" sheetId="1" r:id="rId1"/>
    <sheet name="Subvencionados U.Estatales 2023" sheetId="2" r:id="rId2"/>
    <sheet name="KM RM" sheetId="3" r:id="rId3"/>
  </sheets>
  <definedNames>
    <definedName name="_xlnm._FilterDatabase" localSheetId="0" hidden="1">'Distribucion ESR Estatales 2024'!$A$10:$S$39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5" i="1" l="1"/>
  <c r="L44" i="1"/>
  <c r="N45" i="1"/>
  <c r="N44" i="1"/>
  <c r="S15" i="1" s="1"/>
  <c r="S14" i="1"/>
  <c r="T14" i="1" s="1"/>
  <c r="S18" i="1"/>
  <c r="T18" i="1" s="1"/>
  <c r="S22" i="1"/>
  <c r="T22" i="1" s="1"/>
  <c r="S11" i="1"/>
  <c r="T11" i="1" s="1"/>
  <c r="T15" i="1" l="1"/>
  <c r="S24" i="1"/>
  <c r="S20" i="1"/>
  <c r="S16" i="1"/>
  <c r="S12" i="1"/>
  <c r="S21" i="1"/>
  <c r="S17" i="1"/>
  <c r="S13" i="1"/>
  <c r="S23" i="1"/>
  <c r="S19" i="1"/>
  <c r="O44" i="1"/>
  <c r="P44" i="1" s="1"/>
  <c r="Q44" i="1" s="1"/>
  <c r="S39" i="1"/>
  <c r="T13" i="1" l="1"/>
  <c r="T16" i="1"/>
  <c r="T17" i="1"/>
  <c r="T20" i="1"/>
  <c r="T19" i="1"/>
  <c r="T21" i="1"/>
  <c r="T24" i="1"/>
  <c r="S40" i="1"/>
  <c r="T23" i="1"/>
  <c r="T12" i="1"/>
  <c r="O45" i="1" l="1"/>
  <c r="P45" i="1" l="1"/>
  <c r="O46" i="1"/>
  <c r="Q45" i="1" l="1"/>
  <c r="P46" i="1"/>
  <c r="M45" i="1" l="1"/>
  <c r="K46" i="1"/>
  <c r="M46" i="1"/>
  <c r="M44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11" i="1"/>
  <c r="T39" i="1"/>
  <c r="T40" i="1" l="1"/>
  <c r="H5" i="2"/>
  <c r="G39" i="1" l="1"/>
  <c r="H39" i="1"/>
  <c r="J39" i="1"/>
  <c r="K39" i="1"/>
  <c r="C43" i="1" l="1"/>
  <c r="Q27" i="1"/>
  <c r="Q29" i="1"/>
  <c r="Q30" i="1"/>
  <c r="Q31" i="1"/>
  <c r="Q32" i="1"/>
  <c r="Q35" i="1"/>
  <c r="Q36" i="1"/>
  <c r="Q37" i="1"/>
  <c r="Q38" i="1"/>
  <c r="I7" i="2"/>
  <c r="J7" i="2" s="1"/>
  <c r="H6" i="2"/>
  <c r="I6" i="2" s="1"/>
  <c r="J6" i="2" s="1"/>
  <c r="H7" i="2"/>
  <c r="H8" i="2"/>
  <c r="I8" i="2" s="1"/>
  <c r="H9" i="2"/>
  <c r="I9" i="2" s="1"/>
  <c r="J9" i="2" s="1"/>
  <c r="H10" i="2"/>
  <c r="I10" i="2" s="1"/>
  <c r="J10" i="2" s="1"/>
  <c r="H11" i="2"/>
  <c r="I11" i="2" s="1"/>
  <c r="H12" i="2"/>
  <c r="I12" i="2" s="1"/>
  <c r="J12" i="2" s="1"/>
  <c r="H13" i="2"/>
  <c r="I13" i="2" s="1"/>
  <c r="J13" i="2" s="1"/>
  <c r="H14" i="2"/>
  <c r="I14" i="2" s="1"/>
  <c r="J14" i="2" s="1"/>
  <c r="H15" i="2"/>
  <c r="I15" i="2" s="1"/>
  <c r="J15" i="2" s="1"/>
  <c r="H16" i="2"/>
  <c r="H17" i="2"/>
  <c r="H18" i="2"/>
  <c r="I5" i="2"/>
  <c r="F39" i="1"/>
  <c r="C44" i="1"/>
  <c r="F17" i="3"/>
  <c r="G4" i="3"/>
  <c r="G8" i="3"/>
  <c r="G12" i="3"/>
  <c r="G16" i="3"/>
  <c r="G6" i="3"/>
  <c r="G14" i="3"/>
  <c r="G11" i="3"/>
  <c r="G5" i="3"/>
  <c r="G17" i="3"/>
  <c r="G9" i="3"/>
  <c r="G13" i="3"/>
  <c r="G3" i="3"/>
  <c r="G10" i="3"/>
  <c r="G7" i="3"/>
  <c r="G15" i="3"/>
  <c r="I17" i="2" l="1"/>
  <c r="J17" i="2" s="1"/>
  <c r="I18" i="2"/>
  <c r="J18" i="2" s="1"/>
  <c r="I16" i="2"/>
  <c r="J16" i="2" s="1"/>
  <c r="J11" i="2"/>
  <c r="J8" i="2"/>
  <c r="J5" i="2"/>
  <c r="H19" i="2"/>
  <c r="Q33" i="1"/>
  <c r="Q28" i="1"/>
  <c r="Q34" i="1"/>
  <c r="C45" i="1"/>
  <c r="M12" i="1" l="1"/>
  <c r="M16" i="1"/>
  <c r="M20" i="1"/>
  <c r="M24" i="1"/>
  <c r="M23" i="1"/>
  <c r="M13" i="1"/>
  <c r="M17" i="1"/>
  <c r="M21" i="1"/>
  <c r="M19" i="1"/>
  <c r="M14" i="1"/>
  <c r="M18" i="1"/>
  <c r="M22" i="1"/>
  <c r="M15" i="1"/>
  <c r="I19" i="2"/>
  <c r="K8" i="2"/>
  <c r="I24" i="1" s="1"/>
  <c r="N24" i="1" s="1"/>
  <c r="J19" i="2"/>
  <c r="K5" i="2"/>
  <c r="K16" i="2"/>
  <c r="I20" i="1" s="1"/>
  <c r="N20" i="1" s="1"/>
  <c r="K10" i="2"/>
  <c r="I15" i="1" s="1"/>
  <c r="N15" i="1" s="1"/>
  <c r="K7" i="2"/>
  <c r="I13" i="1" s="1"/>
  <c r="N13" i="1" s="1"/>
  <c r="K17" i="2"/>
  <c r="I21" i="1" s="1"/>
  <c r="N21" i="1" s="1"/>
  <c r="K18" i="2"/>
  <c r="I22" i="1" s="1"/>
  <c r="N22" i="1" s="1"/>
  <c r="K13" i="2"/>
  <c r="I23" i="1" s="1"/>
  <c r="N23" i="1" s="1"/>
  <c r="K6" i="2"/>
  <c r="I12" i="1" s="1"/>
  <c r="N12" i="1" s="1"/>
  <c r="K15" i="2"/>
  <c r="I19" i="1" s="1"/>
  <c r="N19" i="1" s="1"/>
  <c r="K9" i="2"/>
  <c r="I14" i="1" s="1"/>
  <c r="N14" i="1" s="1"/>
  <c r="K11" i="2"/>
  <c r="I16" i="1" s="1"/>
  <c r="N16" i="1" s="1"/>
  <c r="K14" i="2"/>
  <c r="I18" i="1" s="1"/>
  <c r="N18" i="1" s="1"/>
  <c r="K12" i="2"/>
  <c r="I17" i="1" s="1"/>
  <c r="N17" i="1" s="1"/>
  <c r="C49" i="1"/>
  <c r="C47" i="1"/>
  <c r="C46" i="1"/>
  <c r="C48" i="1"/>
  <c r="M11" i="1"/>
  <c r="O14" i="1"/>
  <c r="O18" i="1"/>
  <c r="O22" i="1"/>
  <c r="O13" i="1"/>
  <c r="O11" i="1"/>
  <c r="O15" i="1"/>
  <c r="O19" i="1"/>
  <c r="O23" i="1"/>
  <c r="O17" i="1"/>
  <c r="O12" i="1"/>
  <c r="O16" i="1"/>
  <c r="O20" i="1"/>
  <c r="O24" i="1"/>
  <c r="O21" i="1"/>
  <c r="L11" i="1"/>
  <c r="L17" i="1"/>
  <c r="L13" i="1"/>
  <c r="L18" i="1"/>
  <c r="L20" i="1"/>
  <c r="L22" i="1"/>
  <c r="L12" i="1"/>
  <c r="L16" i="1"/>
  <c r="L19" i="1"/>
  <c r="L21" i="1"/>
  <c r="L15" i="1"/>
  <c r="L23" i="1"/>
  <c r="L14" i="1"/>
  <c r="L24" i="1"/>
  <c r="M39" i="1" l="1"/>
  <c r="K19" i="2"/>
  <c r="I11" i="1"/>
  <c r="Q26" i="1"/>
  <c r="C50" i="1"/>
  <c r="L39" i="1"/>
  <c r="O39" i="1"/>
  <c r="I39" i="1" l="1"/>
  <c r="N11" i="1"/>
  <c r="Q25" i="1"/>
  <c r="Q18" i="1"/>
  <c r="P39" i="1" l="1"/>
  <c r="N39" i="1"/>
  <c r="Q14" i="1"/>
  <c r="Q15" i="1"/>
  <c r="Q21" i="1"/>
  <c r="Q13" i="1"/>
  <c r="Q17" i="1"/>
  <c r="Q16" i="1"/>
  <c r="Q23" i="1"/>
  <c r="Q24" i="1"/>
  <c r="Q22" i="1"/>
  <c r="Q20" i="1"/>
  <c r="Q12" i="1"/>
  <c r="Q19" i="1"/>
  <c r="Q11" i="1" l="1"/>
  <c r="Q39" i="1" s="1"/>
  <c r="R13" i="1" l="1"/>
  <c r="Q40" i="1"/>
  <c r="R11" i="1"/>
  <c r="R19" i="1"/>
  <c r="R21" i="1"/>
  <c r="R20" i="1"/>
  <c r="R12" i="1"/>
  <c r="R14" i="1"/>
  <c r="R24" i="1"/>
  <c r="R16" i="1"/>
  <c r="R22" i="1"/>
  <c r="R27" i="1"/>
  <c r="R38" i="1"/>
  <c r="R35" i="1"/>
  <c r="R36" i="1"/>
  <c r="R29" i="1"/>
  <c r="R28" i="1"/>
  <c r="R32" i="1"/>
  <c r="R26" i="1"/>
  <c r="R30" i="1"/>
  <c r="R34" i="1"/>
  <c r="R25" i="1"/>
  <c r="R31" i="1"/>
  <c r="R18" i="1"/>
  <c r="R37" i="1"/>
  <c r="R33" i="1"/>
  <c r="R23" i="1"/>
  <c r="R17" i="1"/>
  <c r="R15" i="1"/>
  <c r="R39" i="1" l="1"/>
</calcChain>
</file>

<file path=xl/sharedStrings.xml><?xml version="1.0" encoding="utf-8"?>
<sst xmlns="http://schemas.openxmlformats.org/spreadsheetml/2006/main" count="307" uniqueCount="168">
  <si>
    <t>Instituciones</t>
  </si>
  <si>
    <t>Región</t>
  </si>
  <si>
    <t>Tipo IES</t>
  </si>
  <si>
    <t>Ciudad</t>
  </si>
  <si>
    <t>Universidad Regional</t>
  </si>
  <si>
    <t>Km RM</t>
  </si>
  <si>
    <t>CRUCH-ESTATAL</t>
  </si>
  <si>
    <t>UVA</t>
  </si>
  <si>
    <t>U. de Valparaíso</t>
  </si>
  <si>
    <t>Valparaíso</t>
  </si>
  <si>
    <t>ANT</t>
  </si>
  <si>
    <t>U. de Antofagasta</t>
  </si>
  <si>
    <t>Antofagasta</t>
  </si>
  <si>
    <t>ULS</t>
  </si>
  <si>
    <t>U. de la Serena</t>
  </si>
  <si>
    <t>Coquimbo</t>
  </si>
  <si>
    <t>La Serena</t>
  </si>
  <si>
    <t>UBB</t>
  </si>
  <si>
    <t>Bío-Bío</t>
  </si>
  <si>
    <t>Concepción</t>
  </si>
  <si>
    <t>FRO</t>
  </si>
  <si>
    <t>U. de la Frontera</t>
  </si>
  <si>
    <t>Araucanía</t>
  </si>
  <si>
    <t>Temuco</t>
  </si>
  <si>
    <t>MAG</t>
  </si>
  <si>
    <t>U. de Magallanes</t>
  </si>
  <si>
    <t>Magallanes</t>
  </si>
  <si>
    <t>Punta Arenas</t>
  </si>
  <si>
    <t>TAL</t>
  </si>
  <si>
    <t>U. de Talca</t>
  </si>
  <si>
    <t>Maule</t>
  </si>
  <si>
    <t>Talca</t>
  </si>
  <si>
    <t>ATA</t>
  </si>
  <si>
    <t>U. de Atacama</t>
  </si>
  <si>
    <t>Atacama</t>
  </si>
  <si>
    <t>Copiapó</t>
  </si>
  <si>
    <t>UTA</t>
  </si>
  <si>
    <t>U. de Tarapacá</t>
  </si>
  <si>
    <t>Arica y Parinacota</t>
  </si>
  <si>
    <t>Arica</t>
  </si>
  <si>
    <t>UAP</t>
  </si>
  <si>
    <t>U. Arturo Prat</t>
  </si>
  <si>
    <t>Tarapacá</t>
  </si>
  <si>
    <t>Iquique</t>
  </si>
  <si>
    <t>UPA</t>
  </si>
  <si>
    <t>U. de Playa Ancha</t>
  </si>
  <si>
    <t>ULA</t>
  </si>
  <si>
    <t>U. de Los Lagos</t>
  </si>
  <si>
    <t>Los Lagos</t>
  </si>
  <si>
    <t>Osorno</t>
  </si>
  <si>
    <t>URO</t>
  </si>
  <si>
    <t>U. de O'Higgins</t>
  </si>
  <si>
    <t>O'Higgins</t>
  </si>
  <si>
    <t>Rancagua</t>
  </si>
  <si>
    <t>URY</t>
  </si>
  <si>
    <t>U. de Aysén</t>
  </si>
  <si>
    <t>Aysén</t>
  </si>
  <si>
    <t>Coyhaique</t>
  </si>
  <si>
    <t>UNIVERSIDAD ARTURO PRAT</t>
  </si>
  <si>
    <t>UNIVERSIDAD DE ANTOFAGASTA</t>
  </si>
  <si>
    <t>UNIVERSIDAD DE ATACAMA</t>
  </si>
  <si>
    <t>UNIVERSIDAD DE LA FRONTERA</t>
  </si>
  <si>
    <t>UNIVERSIDAD DE LA SERENA</t>
  </si>
  <si>
    <t>UNIVERSIDAD DE LOS LAGOS</t>
  </si>
  <si>
    <t>UNIVERSIDAD DE MAGALLANES</t>
  </si>
  <si>
    <t>UNIVERSIDAD DE PLAYA ANCHA DE CIENCIAS DE LA EDUCACION</t>
  </si>
  <si>
    <t>UNIVERSIDAD DE TALCA</t>
  </si>
  <si>
    <t>UNIVERSIDAD DE TARAPACA</t>
  </si>
  <si>
    <t>UNIVERSIDAD DE VALPARAISO</t>
  </si>
  <si>
    <t>UNIVERSIDAD DEL BIO-BIO</t>
  </si>
  <si>
    <t>U. del Bio Bio</t>
  </si>
  <si>
    <t>% Matrícula Subvencionada</t>
  </si>
  <si>
    <t>NOMBRE INSTITUCIÓN</t>
  </si>
  <si>
    <t>Suma de TOTAL TES</t>
  </si>
  <si>
    <t>Total</t>
  </si>
  <si>
    <t>% KM</t>
  </si>
  <si>
    <t>% KM RM</t>
  </si>
  <si>
    <t>Código</t>
  </si>
  <si>
    <t>KM RM</t>
  </si>
  <si>
    <t>% Distribución</t>
  </si>
  <si>
    <t>NIVEL GLOBAL</t>
  </si>
  <si>
    <t>Pregrado</t>
  </si>
  <si>
    <t>TIPO DE PLAN DE LA CARRERA</t>
  </si>
  <si>
    <t>Plan Regular</t>
  </si>
  <si>
    <t>Suma de TES MUNICIPAL</t>
  </si>
  <si>
    <t>Suma de TES PARTICULAR SUBVENCIONADO</t>
  </si>
  <si>
    <t>Suma de TES PARTICULAR PAGADO</t>
  </si>
  <si>
    <t>UNIVERSIDAD DE AYSEN</t>
  </si>
  <si>
    <t>UNIVERSIDAD DE O'HIGGINS</t>
  </si>
  <si>
    <t>% Matrícula Subvencionada por IES</t>
  </si>
  <si>
    <t>% Ajustado</t>
  </si>
  <si>
    <t>CFT Estatal</t>
  </si>
  <si>
    <t>Transferencias Corrientes</t>
  </si>
  <si>
    <t>Transferencias de Capital</t>
  </si>
  <si>
    <t>CFT ESTATAL</t>
  </si>
  <si>
    <t>Oferta Académica CFT Estatal</t>
  </si>
  <si>
    <t>Monto a Distribuir por Indicadores</t>
  </si>
  <si>
    <t>Suma de TES SERVICIO LOCAL EDUCACION</t>
  </si>
  <si>
    <t>Código DFI</t>
  </si>
  <si>
    <t>Totales</t>
  </si>
  <si>
    <t>Total con decimales M$</t>
  </si>
  <si>
    <t>CRM</t>
  </si>
  <si>
    <t>CRA</t>
  </si>
  <si>
    <t>CRC</t>
  </si>
  <si>
    <t>CRT</t>
  </si>
  <si>
    <t>CRL</t>
  </si>
  <si>
    <t>CRR</t>
  </si>
  <si>
    <t>CEM</t>
  </si>
  <si>
    <t>CRV</t>
  </si>
  <si>
    <t>CAN</t>
  </si>
  <si>
    <t>CEA</t>
  </si>
  <si>
    <t>CRP</t>
  </si>
  <si>
    <t>CRY</t>
  </si>
  <si>
    <t>CRB</t>
  </si>
  <si>
    <t>CRO</t>
  </si>
  <si>
    <t>REGION DE ANTOFAGASTA</t>
  </si>
  <si>
    <t>REGION DE ARICA Y PARINACOTA</t>
  </si>
  <si>
    <t>REGION DE ATACAMA</t>
  </si>
  <si>
    <t>REGION DE AYSEN DEL GENERAL CARLOS IBAÑEZ DEL CAMPO</t>
  </si>
  <si>
    <t>REGION DE COQUIMBO</t>
  </si>
  <si>
    <t>REGION DE LA ARAUCANIA</t>
  </si>
  <si>
    <t>REGION DE LOS LAGOS</t>
  </si>
  <si>
    <t>REGION DE LOS RIOS</t>
  </si>
  <si>
    <t>REGION DE MAGALLANES Y DE LA ANTARTICA CHILENA</t>
  </si>
  <si>
    <t>REGION DE TARAPACA</t>
  </si>
  <si>
    <t>REGION DE VALPARAISO</t>
  </si>
  <si>
    <t>REGION DEL BIOBIO</t>
  </si>
  <si>
    <t>REGION DEL LIBERTADOR BERNARDO OHIGGINS</t>
  </si>
  <si>
    <t>REGION DEL MAULE</t>
  </si>
  <si>
    <t>Suma de TES CORP. DE ADMINISTRACIÓN DELEGADA</t>
  </si>
  <si>
    <t>Suma de Total Subvencionado</t>
  </si>
  <si>
    <t>Vinculación con el Medio</t>
  </si>
  <si>
    <t>% Matrícula Subvencionada 2023</t>
  </si>
  <si>
    <t>Matrícula Subvencionada 2023</t>
  </si>
  <si>
    <t>Ley de Presupuestos 2024</t>
  </si>
  <si>
    <t>Educación Superior Regional (ESR)</t>
  </si>
  <si>
    <t xml:space="preserve">Universidades Estatales y CFT Estatales </t>
  </si>
  <si>
    <t>Miles de pesos</t>
  </si>
  <si>
    <t>Año 2024</t>
  </si>
  <si>
    <t>Unidad de Anáslisis e Información, DIVIA-SUBESUP</t>
  </si>
  <si>
    <t xml:space="preserve"> Febrero 2024</t>
  </si>
  <si>
    <t>Araucania</t>
  </si>
  <si>
    <t>Los Rios</t>
  </si>
  <si>
    <t>Calama</t>
  </si>
  <si>
    <t>Chañaral</t>
  </si>
  <si>
    <t>Aysen</t>
  </si>
  <si>
    <t>Ovalle</t>
  </si>
  <si>
    <t>Lautaro</t>
  </si>
  <si>
    <t>Llanquihue</t>
  </si>
  <si>
    <t>La union</t>
  </si>
  <si>
    <t>Porvenir</t>
  </si>
  <si>
    <t>Alto Hospicio</t>
  </si>
  <si>
    <t>Tirua</t>
  </si>
  <si>
    <t>San Vicente</t>
  </si>
  <si>
    <t>Linares</t>
  </si>
  <si>
    <t>San Antonio</t>
  </si>
  <si>
    <t>Monto 
ESR  
2024
Transferencias Corrientes 
M$</t>
  </si>
  <si>
    <t>Monto 
ESR
2024
Transferencias de Capital
M$</t>
  </si>
  <si>
    <t>Total
ESR
2024
(redondeado)
M$</t>
  </si>
  <si>
    <t>Programa</t>
  </si>
  <si>
    <t>Asign</t>
  </si>
  <si>
    <t>TP</t>
  </si>
  <si>
    <t>% TP</t>
  </si>
  <si>
    <t>Disponible</t>
  </si>
  <si>
    <t>% Disponible</t>
  </si>
  <si>
    <t>U</t>
  </si>
  <si>
    <t>Total distribuido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</si>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</sst>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0.000%"/>
    <numFmt numFmtId="168" formatCode="_-* #,##0.0_-;\-* #,##0.0_-;_-* &quot;-&quot;??_-;_-@_-"/>
    <numFmt numFmtId="169" formatCode="0.00000"/>
    <numFmt numFmtId="170" formatCode="0.0000000"/>
    <numFmt numFmtId="171" formatCode="_ * #,##0.0_ ;_ * \-#,##0.0_ ;_ * &quot;-&quot;_ ;_ @_ "/>
    <numFmt numFmtId="173" formatCode="0#"/>
    <numFmt numFmtId="174" formatCode="_ * #,##0.0_ ;_ * \-#,##0.0_ ;_ * &quot;-&quot;??_ ;_ @_ "/>
    <numFmt numFmtId="175" formatCode="_ * #,##0.00_ ;_ * \-#,##0.00_ ;_ * &quot;-&quot;?_ ;_ @_ "/>
    <numFmt numFmtId="176" formatCode="_ * #,##0.0_ ;_ * \-#,##0.0_ ;_ * &quot;-&quot;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theme="4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6">
    <xf numFmtId="0" fontId="0" fillId="0" borderId="0" xfId="0"/>
    <xf numFmtId="165" fontId="0" fillId="0" borderId="0" xfId="0" applyNumberFormat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/>
    <xf numFmtId="9" fontId="3" fillId="0" borderId="0" xfId="2" applyFont="1" applyAlignment="1">
      <alignment horizontal="center"/>
    </xf>
    <xf numFmtId="0" fontId="3" fillId="0" borderId="0" xfId="0" applyFont="1"/>
    <xf numFmtId="10" fontId="3" fillId="0" borderId="0" xfId="2" applyNumberFormat="1" applyFont="1"/>
    <xf numFmtId="0" fontId="0" fillId="0" borderId="0" xfId="0" pivotButton="1"/>
    <xf numFmtId="0" fontId="6" fillId="0" borderId="2" xfId="0" applyFont="1" applyBorder="1"/>
    <xf numFmtId="2" fontId="6" fillId="0" borderId="2" xfId="0" applyNumberFormat="1" applyFont="1" applyBorder="1"/>
    <xf numFmtId="2" fontId="3" fillId="0" borderId="0" xfId="0" applyNumberFormat="1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165" fontId="5" fillId="0" borderId="2" xfId="0" applyNumberFormat="1" applyFont="1" applyBorder="1"/>
    <xf numFmtId="0" fontId="5" fillId="0" borderId="2" xfId="0" applyFont="1" applyBorder="1"/>
    <xf numFmtId="10" fontId="5" fillId="0" borderId="2" xfId="2" applyNumberFormat="1" applyFont="1" applyBorder="1"/>
    <xf numFmtId="0" fontId="5" fillId="2" borderId="2" xfId="0" applyFont="1" applyFill="1" applyBorder="1"/>
    <xf numFmtId="0" fontId="3" fillId="0" borderId="2" xfId="0" applyFont="1" applyBorder="1" applyAlignment="1">
      <alignment horizontal="left" vertical="center" wrapText="1"/>
    </xf>
    <xf numFmtId="165" fontId="5" fillId="2" borderId="2" xfId="1" applyNumberFormat="1" applyFont="1" applyFill="1" applyBorder="1"/>
    <xf numFmtId="165" fontId="5" fillId="2" borderId="2" xfId="0" applyNumberFormat="1" applyFont="1" applyFill="1" applyBorder="1"/>
    <xf numFmtId="0" fontId="4" fillId="0" borderId="0" xfId="0" applyFont="1"/>
    <xf numFmtId="0" fontId="6" fillId="0" borderId="0" xfId="0" applyFont="1"/>
    <xf numFmtId="0" fontId="7" fillId="0" borderId="2" xfId="0" applyFont="1" applyBorder="1"/>
    <xf numFmtId="41" fontId="6" fillId="0" borderId="2" xfId="3" applyFont="1" applyBorder="1"/>
    <xf numFmtId="41" fontId="7" fillId="0" borderId="2" xfId="3" applyFont="1" applyBorder="1"/>
    <xf numFmtId="0" fontId="6" fillId="0" borderId="3" xfId="0" applyFont="1" applyBorder="1"/>
    <xf numFmtId="9" fontId="7" fillId="0" borderId="2" xfId="2" applyFont="1" applyFill="1" applyBorder="1"/>
    <xf numFmtId="164" fontId="5" fillId="0" borderId="2" xfId="0" applyNumberFormat="1" applyFont="1" applyBorder="1"/>
    <xf numFmtId="0" fontId="5" fillId="0" borderId="3" xfId="0" applyFont="1" applyBorder="1"/>
    <xf numFmtId="165" fontId="5" fillId="0" borderId="4" xfId="1" applyNumberFormat="1" applyFont="1" applyBorder="1"/>
    <xf numFmtId="0" fontId="8" fillId="0" borderId="2" xfId="0" applyFont="1" applyBorder="1"/>
    <xf numFmtId="165" fontId="5" fillId="2" borderId="4" xfId="0" applyNumberFormat="1" applyFont="1" applyFill="1" applyBorder="1"/>
    <xf numFmtId="166" fontId="6" fillId="0" borderId="2" xfId="0" applyNumberFormat="1" applyFont="1" applyBorder="1"/>
    <xf numFmtId="167" fontId="5" fillId="0" borderId="2" xfId="2" applyNumberFormat="1" applyFont="1" applyBorder="1"/>
    <xf numFmtId="168" fontId="5" fillId="0" borderId="2" xfId="0" applyNumberFormat="1" applyFont="1" applyBorder="1"/>
    <xf numFmtId="168" fontId="5" fillId="0" borderId="2" xfId="1" applyNumberFormat="1" applyFont="1" applyBorder="1"/>
    <xf numFmtId="169" fontId="0" fillId="0" borderId="0" xfId="0" applyNumberFormat="1"/>
    <xf numFmtId="170" fontId="0" fillId="0" borderId="0" xfId="0" applyNumberFormat="1"/>
    <xf numFmtId="2" fontId="0" fillId="0" borderId="0" xfId="0" applyNumberFormat="1"/>
    <xf numFmtId="171" fontId="5" fillId="0" borderId="2" xfId="3" applyNumberFormat="1" applyFont="1" applyBorder="1"/>
    <xf numFmtId="9" fontId="3" fillId="0" borderId="2" xfId="2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10" fontId="5" fillId="3" borderId="2" xfId="2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165" fontId="5" fillId="0" borderId="5" xfId="1" applyNumberFormat="1" applyFont="1" applyBorder="1"/>
    <xf numFmtId="165" fontId="5" fillId="2" borderId="1" xfId="0" applyNumberFormat="1" applyFont="1" applyFill="1" applyBorder="1"/>
    <xf numFmtId="165" fontId="5" fillId="2" borderId="1" xfId="1" applyNumberFormat="1" applyFont="1" applyFill="1" applyBorder="1"/>
    <xf numFmtId="10" fontId="5" fillId="3" borderId="1" xfId="2" applyNumberFormat="1" applyFont="1" applyFill="1" applyBorder="1"/>
    <xf numFmtId="165" fontId="3" fillId="0" borderId="2" xfId="0" applyNumberFormat="1" applyFont="1" applyBorder="1"/>
    <xf numFmtId="10" fontId="3" fillId="0" borderId="2" xfId="2" applyNumberFormat="1" applyFont="1" applyBorder="1"/>
    <xf numFmtId="0" fontId="0" fillId="0" borderId="2" xfId="0" applyBorder="1"/>
    <xf numFmtId="168" fontId="11" fillId="0" borderId="0" xfId="0" applyNumberFormat="1" applyFont="1"/>
    <xf numFmtId="0" fontId="3" fillId="4" borderId="2" xfId="0" applyFont="1" applyFill="1" applyBorder="1" applyAlignment="1">
      <alignment horizontal="center" vertical="center" wrapText="1"/>
    </xf>
    <xf numFmtId="165" fontId="3" fillId="4" borderId="2" xfId="0" applyNumberFormat="1" applyFont="1" applyFill="1" applyBorder="1"/>
    <xf numFmtId="0" fontId="3" fillId="5" borderId="2" xfId="0" applyFont="1" applyFill="1" applyBorder="1"/>
    <xf numFmtId="165" fontId="3" fillId="5" borderId="2" xfId="1" applyNumberFormat="1" applyFont="1" applyFill="1" applyBorder="1"/>
    <xf numFmtId="168" fontId="12" fillId="0" borderId="0" xfId="0" applyNumberFormat="1" applyFont="1"/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/>
    </xf>
    <xf numFmtId="168" fontId="5" fillId="3" borderId="2" xfId="0" applyNumberFormat="1" applyFont="1" applyFill="1" applyBorder="1"/>
    <xf numFmtId="168" fontId="5" fillId="3" borderId="1" xfId="0" applyNumberFormat="1" applyFont="1" applyFill="1" applyBorder="1"/>
    <xf numFmtId="168" fontId="3" fillId="0" borderId="2" xfId="0" applyNumberFormat="1" applyFont="1" applyBorder="1"/>
    <xf numFmtId="0" fontId="3" fillId="0" borderId="2" xfId="0" applyFont="1" applyBorder="1"/>
    <xf numFmtId="165" fontId="3" fillId="0" borderId="2" xfId="1" applyNumberFormat="1" applyFont="1" applyFill="1" applyBorder="1"/>
    <xf numFmtId="0" fontId="3" fillId="4" borderId="2" xfId="0" applyFont="1" applyFill="1" applyBorder="1"/>
    <xf numFmtId="165" fontId="3" fillId="4" borderId="2" xfId="1" applyNumberFormat="1" applyFont="1" applyFill="1" applyBorder="1"/>
    <xf numFmtId="0" fontId="3" fillId="7" borderId="2" xfId="0" applyFont="1" applyFill="1" applyBorder="1"/>
    <xf numFmtId="165" fontId="3" fillId="7" borderId="2" xfId="1" applyNumberFormat="1" applyFont="1" applyFill="1" applyBorder="1"/>
    <xf numFmtId="0" fontId="3" fillId="7" borderId="2" xfId="0" applyFont="1" applyFill="1" applyBorder="1" applyAlignment="1">
      <alignment horizontal="left" vertical="center" wrapText="1"/>
    </xf>
    <xf numFmtId="165" fontId="3" fillId="7" borderId="2" xfId="0" applyNumberFormat="1" applyFont="1" applyFill="1" applyBorder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1" fontId="0" fillId="0" borderId="0" xfId="3" applyFont="1"/>
    <xf numFmtId="168" fontId="5" fillId="4" borderId="2" xfId="0" applyNumberFormat="1" applyFont="1" applyFill="1" applyBorder="1"/>
    <xf numFmtId="176" fontId="0" fillId="0" borderId="0" xfId="0" applyNumberFormat="1"/>
    <xf numFmtId="173" fontId="0" fillId="0" borderId="2" xfId="0" applyNumberFormat="1" applyBorder="1"/>
    <xf numFmtId="174" fontId="0" fillId="0" borderId="2" xfId="0" applyNumberFormat="1" applyBorder="1"/>
    <xf numFmtId="175" fontId="0" fillId="0" borderId="2" xfId="0" applyNumberFormat="1" applyBorder="1"/>
    <xf numFmtId="43" fontId="0" fillId="0" borderId="2" xfId="0" applyNumberFormat="1" applyBorder="1"/>
    <xf numFmtId="176" fontId="0" fillId="0" borderId="2" xfId="0" applyNumberFormat="1" applyBorder="1"/>
    <xf numFmtId="165" fontId="0" fillId="0" borderId="2" xfId="0" applyNumberFormat="1" applyBorder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52917</xdr:rowOff>
    </xdr:from>
    <xdr:to>
      <xdr:col>1</xdr:col>
      <xdr:colOff>811743</xdr:colOff>
      <xdr:row>0</xdr:row>
      <xdr:rowOff>1205441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49559B-58C0-4881-82CF-276DB07CD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52917"/>
          <a:ext cx="1265767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topLeftCell="A15" zoomScale="80" zoomScaleNormal="80" workbookViewId="0">
      <selection activeCell="E43" sqref="E43"/>
    </sheetView>
  </sheetViews>
  <sheetFormatPr baseColWidth="10" defaultRowHeight="15" x14ac:dyDescent="0.25"/>
  <cols>
    <col min="1" max="1" width="7.28515625" customWidth="1"/>
    <col min="2" max="2" width="33.5703125" customWidth="1"/>
    <col min="3" max="3" width="16.42578125" bestFit="1" customWidth="1"/>
    <col min="4" max="4" width="15.140625" bestFit="1" customWidth="1"/>
    <col min="5" max="5" width="13.42578125" customWidth="1"/>
    <col min="6" max="6" width="16" bestFit="1" customWidth="1"/>
    <col min="7" max="10" width="10.5703125" customWidth="1"/>
    <col min="12" max="12" width="10.85546875" customWidth="1"/>
    <col min="13" max="13" width="12.140625" customWidth="1"/>
    <col min="14" max="14" width="10.85546875" customWidth="1"/>
    <col min="15" max="15" width="14" customWidth="1"/>
    <col min="16" max="16" width="12.42578125" bestFit="1" customWidth="1"/>
    <col min="17" max="17" width="12.42578125" customWidth="1"/>
    <col min="19" max="20" width="12.28515625" customWidth="1"/>
    <col min="21" max="21" width="7.5703125" customWidth="1"/>
    <col min="22" max="22" width="13.42578125" customWidth="1"/>
    <col min="24" max="24" width="14.85546875" customWidth="1"/>
    <col min="25" max="25" width="14.5703125" customWidth="1"/>
  </cols>
  <sheetData>
    <row r="1" spans="1:22" ht="100.5" customHeight="1" x14ac:dyDescent="0.25"/>
    <row r="2" spans="1:22" ht="19.5" x14ac:dyDescent="0.3">
      <c r="A2" s="75" t="s">
        <v>135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2" ht="19.5" x14ac:dyDescent="0.3">
      <c r="A3" s="75" t="s">
        <v>136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2" ht="19.5" x14ac:dyDescent="0.3">
      <c r="A4" s="75" t="s">
        <v>138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2" ht="15.75" x14ac:dyDescent="0.25">
      <c r="A5" s="76" t="s">
        <v>137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22" x14ac:dyDescent="0.25">
      <c r="A6" s="74" t="s">
        <v>139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2" x14ac:dyDescent="0.25">
      <c r="A7" s="74" t="s">
        <v>140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9" spans="1:22" x14ac:dyDescent="0.25">
      <c r="B9" s="2"/>
      <c r="G9" s="41">
        <v>0.25</v>
      </c>
      <c r="H9" s="41">
        <v>0.25</v>
      </c>
      <c r="I9" s="41">
        <v>0.3</v>
      </c>
      <c r="J9" s="41">
        <v>0.2</v>
      </c>
      <c r="K9" s="5"/>
      <c r="L9" s="41">
        <v>0.25</v>
      </c>
      <c r="M9" s="41">
        <v>0.25</v>
      </c>
      <c r="N9" s="41">
        <v>0.3</v>
      </c>
      <c r="O9" s="41">
        <v>0.2</v>
      </c>
    </row>
    <row r="10" spans="1:22" ht="76.5" x14ac:dyDescent="0.25">
      <c r="A10" s="3" t="s">
        <v>77</v>
      </c>
      <c r="B10" s="3" t="s">
        <v>0</v>
      </c>
      <c r="C10" s="3" t="s">
        <v>1</v>
      </c>
      <c r="D10" s="3" t="s">
        <v>2</v>
      </c>
      <c r="E10" s="3" t="s">
        <v>3</v>
      </c>
      <c r="F10" s="3" t="s">
        <v>95</v>
      </c>
      <c r="G10" s="3" t="s">
        <v>4</v>
      </c>
      <c r="H10" s="3" t="s">
        <v>131</v>
      </c>
      <c r="I10" s="13" t="s">
        <v>132</v>
      </c>
      <c r="J10" s="3" t="s">
        <v>76</v>
      </c>
      <c r="K10" s="3" t="s">
        <v>95</v>
      </c>
      <c r="L10" s="13" t="s">
        <v>4</v>
      </c>
      <c r="M10" s="13" t="s">
        <v>131</v>
      </c>
      <c r="N10" s="13" t="s">
        <v>133</v>
      </c>
      <c r="O10" s="13" t="s">
        <v>78</v>
      </c>
      <c r="P10" s="3" t="s">
        <v>100</v>
      </c>
      <c r="Q10" s="42" t="s">
        <v>158</v>
      </c>
      <c r="R10" s="42" t="s">
        <v>79</v>
      </c>
      <c r="S10" s="54" t="s">
        <v>156</v>
      </c>
      <c r="T10" s="54" t="s">
        <v>157</v>
      </c>
      <c r="U10" s="3" t="s">
        <v>77</v>
      </c>
    </row>
    <row r="11" spans="1:22" x14ac:dyDescent="0.25">
      <c r="A11" s="31" t="s">
        <v>40</v>
      </c>
      <c r="B11" s="15" t="s">
        <v>41</v>
      </c>
      <c r="C11" s="15" t="s">
        <v>42</v>
      </c>
      <c r="D11" s="15" t="s">
        <v>6</v>
      </c>
      <c r="E11" s="15" t="s">
        <v>43</v>
      </c>
      <c r="F11" s="15">
        <v>0</v>
      </c>
      <c r="G11" s="15">
        <v>1</v>
      </c>
      <c r="H11" s="15">
        <v>1</v>
      </c>
      <c r="I11" s="34">
        <f>VLOOKUP(A11,'Subvencionados U.Estatales 2023'!$B$5:$K$18,10,0)</f>
        <v>7.4932063048965963E-2</v>
      </c>
      <c r="J11" s="16">
        <v>0.12823505524002601</v>
      </c>
      <c r="K11" s="15">
        <v>0</v>
      </c>
      <c r="L11" s="35">
        <f t="shared" ref="L11:L24" si="0">$G$9*$C$45*(G11/$G$39)</f>
        <v>152907.71428571429</v>
      </c>
      <c r="M11" s="40">
        <f>$H$9*$C$45*(H11/$H$39)</f>
        <v>164669.84615384616</v>
      </c>
      <c r="N11" s="36">
        <f t="shared" ref="N11:N24" si="1">$I$9*$C$45*(I11)</f>
        <v>192489.20019051101</v>
      </c>
      <c r="O11" s="14">
        <f t="shared" ref="O11:O24" si="2">$J$9*$C$45*J11</f>
        <v>219611.04690621249</v>
      </c>
      <c r="P11" s="28">
        <f>K11+L11+N11+M11+O11</f>
        <v>729677.80753628386</v>
      </c>
      <c r="Q11" s="63">
        <f>ROUND(P11,0)</f>
        <v>729678</v>
      </c>
      <c r="R11" s="43">
        <f t="shared" ref="R11:R38" si="3">Q11/$Q$39</f>
        <v>7.8774836764267858E-2</v>
      </c>
      <c r="S11" s="78">
        <f>+ROUND(Q11*$N$44,0)</f>
        <v>598391</v>
      </c>
      <c r="T11" s="78">
        <f>Q11-S11</f>
        <v>131287</v>
      </c>
      <c r="U11" s="52" t="str">
        <f t="shared" ref="U11:U38" si="4">+A11</f>
        <v>UAP</v>
      </c>
      <c r="V11" s="79"/>
    </row>
    <row r="12" spans="1:22" x14ac:dyDescent="0.25">
      <c r="A12" s="31" t="s">
        <v>10</v>
      </c>
      <c r="B12" s="15" t="s">
        <v>11</v>
      </c>
      <c r="C12" s="15" t="s">
        <v>12</v>
      </c>
      <c r="D12" s="15" t="s">
        <v>6</v>
      </c>
      <c r="E12" s="15" t="s">
        <v>12</v>
      </c>
      <c r="F12" s="15">
        <v>0</v>
      </c>
      <c r="G12" s="15">
        <v>1</v>
      </c>
      <c r="H12" s="15">
        <v>1</v>
      </c>
      <c r="I12" s="34">
        <f>VLOOKUP(A12,'Subvencionados U.Estatales 2023'!$B$5:$K$18,10,0)</f>
        <v>6.7617534053053902E-2</v>
      </c>
      <c r="J12" s="34">
        <v>9.8511140167966554E-2</v>
      </c>
      <c r="K12" s="15">
        <v>0</v>
      </c>
      <c r="L12" s="35">
        <f t="shared" si="0"/>
        <v>152907.71428571429</v>
      </c>
      <c r="M12" s="40">
        <f t="shared" ref="M12:M24" si="5">$H$9*$C$45*(H12/$H$39)</f>
        <v>164669.84615384616</v>
      </c>
      <c r="N12" s="36">
        <f t="shared" si="1"/>
        <v>173699.27530517391</v>
      </c>
      <c r="O12" s="14">
        <f t="shared" si="2"/>
        <v>168706.86867734988</v>
      </c>
      <c r="P12" s="28">
        <f t="shared" ref="P12:P38" si="6">K12+L12+N12+M12+O12</f>
        <v>659983.70442208427</v>
      </c>
      <c r="Q12" s="63">
        <f t="shared" ref="Q12:Q34" si="7">ROUND(P12,0)</f>
        <v>659984</v>
      </c>
      <c r="R12" s="43">
        <f t="shared" si="3"/>
        <v>7.1250787151357936E-2</v>
      </c>
      <c r="S12" s="78">
        <f t="shared" ref="S12:S24" si="8">+ROUND(Q12*$N$44,0)</f>
        <v>541236</v>
      </c>
      <c r="T12" s="78">
        <f t="shared" ref="T12:T24" si="9">Q12-S12</f>
        <v>118748</v>
      </c>
      <c r="U12" s="52" t="str">
        <f t="shared" si="4"/>
        <v>ANT</v>
      </c>
      <c r="V12" s="79"/>
    </row>
    <row r="13" spans="1:22" x14ac:dyDescent="0.25">
      <c r="A13" s="31" t="s">
        <v>32</v>
      </c>
      <c r="B13" s="15" t="s">
        <v>33</v>
      </c>
      <c r="C13" s="15" t="s">
        <v>34</v>
      </c>
      <c r="D13" s="15" t="s">
        <v>6</v>
      </c>
      <c r="E13" s="15" t="s">
        <v>35</v>
      </c>
      <c r="F13" s="15">
        <v>0</v>
      </c>
      <c r="G13" s="15">
        <v>1</v>
      </c>
      <c r="H13" s="15">
        <v>1</v>
      </c>
      <c r="I13" s="34">
        <f>VLOOKUP(A13,'Subvencionados U.Estatales 2023'!$B$5:$K$18,10,0)</f>
        <v>7.3068895326292849E-2</v>
      </c>
      <c r="J13" s="34">
        <v>5.7869543679365927E-2</v>
      </c>
      <c r="K13" s="15">
        <v>0</v>
      </c>
      <c r="L13" s="35">
        <f t="shared" si="0"/>
        <v>152907.71428571429</v>
      </c>
      <c r="M13" s="40">
        <f t="shared" si="5"/>
        <v>164669.84615384616</v>
      </c>
      <c r="N13" s="36">
        <f t="shared" si="1"/>
        <v>187703.00253138927</v>
      </c>
      <c r="O13" s="14">
        <f t="shared" si="2"/>
        <v>99105.436088614471</v>
      </c>
      <c r="P13" s="28">
        <f t="shared" si="6"/>
        <v>604385.9990595642</v>
      </c>
      <c r="Q13" s="63">
        <f t="shared" si="7"/>
        <v>604386</v>
      </c>
      <c r="R13" s="43">
        <f t="shared" si="3"/>
        <v>6.5248518514480075E-2</v>
      </c>
      <c r="S13" s="78">
        <f t="shared" si="8"/>
        <v>495642</v>
      </c>
      <c r="T13" s="78">
        <f t="shared" si="9"/>
        <v>108744</v>
      </c>
      <c r="U13" s="52" t="str">
        <f t="shared" si="4"/>
        <v>ATA</v>
      </c>
      <c r="V13" s="79"/>
    </row>
    <row r="14" spans="1:22" x14ac:dyDescent="0.25">
      <c r="A14" s="31" t="s">
        <v>20</v>
      </c>
      <c r="B14" s="15" t="s">
        <v>21</v>
      </c>
      <c r="C14" s="15" t="s">
        <v>22</v>
      </c>
      <c r="D14" s="15" t="s">
        <v>6</v>
      </c>
      <c r="E14" s="15" t="s">
        <v>23</v>
      </c>
      <c r="F14" s="15">
        <v>0</v>
      </c>
      <c r="G14" s="15">
        <v>1</v>
      </c>
      <c r="H14" s="15">
        <v>1</v>
      </c>
      <c r="I14" s="34">
        <f>VLOOKUP(A14,'Subvencionados U.Estatales 2023'!$B$5:$K$18,10,0)</f>
        <v>7.1250348837068364E-2</v>
      </c>
      <c r="J14" s="34">
        <v>4.9677862516272486E-2</v>
      </c>
      <c r="K14" s="15">
        <v>0</v>
      </c>
      <c r="L14" s="35">
        <f t="shared" si="0"/>
        <v>152907.71428571429</v>
      </c>
      <c r="M14" s="40">
        <f t="shared" si="5"/>
        <v>164669.84615384616</v>
      </c>
      <c r="N14" s="36">
        <f t="shared" si="1"/>
        <v>183031.43010996355</v>
      </c>
      <c r="O14" s="14">
        <f t="shared" si="2"/>
        <v>85076.638169187718</v>
      </c>
      <c r="P14" s="28">
        <f t="shared" si="6"/>
        <v>585685.62871871167</v>
      </c>
      <c r="Q14" s="63">
        <f t="shared" si="7"/>
        <v>585686</v>
      </c>
      <c r="R14" s="43">
        <f t="shared" si="3"/>
        <v>6.3229697270737212E-2</v>
      </c>
      <c r="S14" s="78">
        <f t="shared" si="8"/>
        <v>480307</v>
      </c>
      <c r="T14" s="78">
        <f t="shared" si="9"/>
        <v>105379</v>
      </c>
      <c r="U14" s="52" t="str">
        <f t="shared" si="4"/>
        <v>FRO</v>
      </c>
      <c r="V14" s="79"/>
    </row>
    <row r="15" spans="1:22" x14ac:dyDescent="0.25">
      <c r="A15" s="31" t="s">
        <v>13</v>
      </c>
      <c r="B15" s="15" t="s">
        <v>14</v>
      </c>
      <c r="C15" s="15" t="s">
        <v>15</v>
      </c>
      <c r="D15" s="15" t="s">
        <v>6</v>
      </c>
      <c r="E15" s="15" t="s">
        <v>16</v>
      </c>
      <c r="F15" s="15">
        <v>0</v>
      </c>
      <c r="G15" s="15">
        <v>1</v>
      </c>
      <c r="H15" s="15">
        <v>1</v>
      </c>
      <c r="I15" s="34">
        <f>VLOOKUP(A15,'Subvencionados U.Estatales 2023'!$B$5:$K$18,10,0)</f>
        <v>6.8418189606539198E-2</v>
      </c>
      <c r="J15" s="34">
        <v>3.3864756978445452E-2</v>
      </c>
      <c r="K15" s="15">
        <v>0</v>
      </c>
      <c r="L15" s="35">
        <f t="shared" si="0"/>
        <v>152907.71428571429</v>
      </c>
      <c r="M15" s="40">
        <f t="shared" si="5"/>
        <v>164669.84615384616</v>
      </c>
      <c r="N15" s="36">
        <f t="shared" si="1"/>
        <v>175756.03900348238</v>
      </c>
      <c r="O15" s="14">
        <f t="shared" si="2"/>
        <v>57995.644945451211</v>
      </c>
      <c r="P15" s="28">
        <f t="shared" si="6"/>
        <v>551329.24438849394</v>
      </c>
      <c r="Q15" s="63">
        <f t="shared" si="7"/>
        <v>551329</v>
      </c>
      <c r="R15" s="43">
        <f t="shared" si="3"/>
        <v>5.9520572058369629E-2</v>
      </c>
      <c r="S15" s="78">
        <f t="shared" si="8"/>
        <v>452131</v>
      </c>
      <c r="T15" s="78">
        <f t="shared" si="9"/>
        <v>99198</v>
      </c>
      <c r="U15" s="52" t="str">
        <f t="shared" si="4"/>
        <v>ULS</v>
      </c>
      <c r="V15" s="79"/>
    </row>
    <row r="16" spans="1:22" x14ac:dyDescent="0.25">
      <c r="A16" s="31" t="s">
        <v>46</v>
      </c>
      <c r="B16" s="15" t="s">
        <v>47</v>
      </c>
      <c r="C16" s="15" t="s">
        <v>48</v>
      </c>
      <c r="D16" s="15" t="s">
        <v>6</v>
      </c>
      <c r="E16" s="15" t="s">
        <v>49</v>
      </c>
      <c r="F16" s="15">
        <v>0</v>
      </c>
      <c r="G16" s="15">
        <v>1</v>
      </c>
      <c r="H16" s="15">
        <v>1</v>
      </c>
      <c r="I16" s="34">
        <f>VLOOKUP(A16,'Subvencionados U.Estatales 2023'!$B$5:$K$18,10,0)</f>
        <v>7.4637795073087099E-2</v>
      </c>
      <c r="J16" s="34">
        <v>6.7096615324355152E-2</v>
      </c>
      <c r="K16" s="15">
        <v>0</v>
      </c>
      <c r="L16" s="35">
        <f t="shared" si="0"/>
        <v>152907.71428571429</v>
      </c>
      <c r="M16" s="40">
        <f t="shared" si="5"/>
        <v>164669.84615384616</v>
      </c>
      <c r="N16" s="36">
        <f t="shared" si="1"/>
        <v>191733.27001838177</v>
      </c>
      <c r="O16" s="14">
        <f t="shared" si="2"/>
        <v>114907.40895821575</v>
      </c>
      <c r="P16" s="28">
        <f t="shared" si="6"/>
        <v>624218.23941615794</v>
      </c>
      <c r="Q16" s="63">
        <f t="shared" si="7"/>
        <v>624218</v>
      </c>
      <c r="R16" s="43">
        <f t="shared" si="3"/>
        <v>6.7389548616400327E-2</v>
      </c>
      <c r="S16" s="78">
        <f t="shared" si="8"/>
        <v>511906</v>
      </c>
      <c r="T16" s="78">
        <f t="shared" si="9"/>
        <v>112312</v>
      </c>
      <c r="U16" s="52" t="str">
        <f t="shared" si="4"/>
        <v>ULA</v>
      </c>
      <c r="V16" s="79"/>
    </row>
    <row r="17" spans="1:22" x14ac:dyDescent="0.25">
      <c r="A17" s="31" t="s">
        <v>24</v>
      </c>
      <c r="B17" s="15" t="s">
        <v>25</v>
      </c>
      <c r="C17" s="15" t="s">
        <v>26</v>
      </c>
      <c r="D17" s="15" t="s">
        <v>6</v>
      </c>
      <c r="E17" s="15" t="s">
        <v>27</v>
      </c>
      <c r="F17" s="15">
        <v>0</v>
      </c>
      <c r="G17" s="15">
        <v>1</v>
      </c>
      <c r="H17" s="15">
        <v>1</v>
      </c>
      <c r="I17" s="34">
        <f>VLOOKUP(A17,'Subvencionados U.Estatales 2023'!$B$5:$K$18,10,0)</f>
        <v>6.8780458513498982E-2</v>
      </c>
      <c r="J17" s="34">
        <v>0.21627204704906514</v>
      </c>
      <c r="K17" s="15">
        <v>0</v>
      </c>
      <c r="L17" s="35">
        <f t="shared" si="0"/>
        <v>152907.71428571429</v>
      </c>
      <c r="M17" s="40">
        <f t="shared" si="5"/>
        <v>164669.84615384616</v>
      </c>
      <c r="N17" s="36">
        <f t="shared" si="1"/>
        <v>176686.65334021847</v>
      </c>
      <c r="O17" s="14">
        <f t="shared" si="2"/>
        <v>370380.24103544815</v>
      </c>
      <c r="P17" s="28">
        <f t="shared" si="6"/>
        <v>864644.45481522707</v>
      </c>
      <c r="Q17" s="63">
        <f t="shared" si="7"/>
        <v>864644</v>
      </c>
      <c r="R17" s="43">
        <f t="shared" si="3"/>
        <v>9.3345544143037917E-2</v>
      </c>
      <c r="S17" s="78">
        <f t="shared" si="8"/>
        <v>709073</v>
      </c>
      <c r="T17" s="78">
        <f t="shared" si="9"/>
        <v>155571</v>
      </c>
      <c r="U17" s="52" t="str">
        <f t="shared" si="4"/>
        <v>MAG</v>
      </c>
      <c r="V17" s="79"/>
    </row>
    <row r="18" spans="1:22" x14ac:dyDescent="0.25">
      <c r="A18" s="31" t="s">
        <v>44</v>
      </c>
      <c r="B18" s="15" t="s">
        <v>45</v>
      </c>
      <c r="C18" s="15" t="s">
        <v>9</v>
      </c>
      <c r="D18" s="15" t="s">
        <v>6</v>
      </c>
      <c r="E18" s="15" t="s">
        <v>9</v>
      </c>
      <c r="F18" s="15">
        <v>0</v>
      </c>
      <c r="G18" s="15">
        <v>1</v>
      </c>
      <c r="H18" s="15">
        <v>1</v>
      </c>
      <c r="I18" s="34">
        <f>VLOOKUP(A18,'Subvencionados U.Estatales 2023'!$B$5:$K$18,10,0)</f>
        <v>7.3325413764793873E-2</v>
      </c>
      <c r="J18" s="34">
        <v>8.3486457841318862E-3</v>
      </c>
      <c r="K18" s="15">
        <v>0</v>
      </c>
      <c r="L18" s="35">
        <f t="shared" si="0"/>
        <v>152907.71428571429</v>
      </c>
      <c r="M18" s="40">
        <f t="shared" si="5"/>
        <v>164669.84615384616</v>
      </c>
      <c r="N18" s="36">
        <f t="shared" si="1"/>
        <v>188361.95981952525</v>
      </c>
      <c r="O18" s="14">
        <f t="shared" si="2"/>
        <v>14297.610255405923</v>
      </c>
      <c r="P18" s="28">
        <f t="shared" si="6"/>
        <v>520237.13051449164</v>
      </c>
      <c r="Q18" s="63">
        <f t="shared" si="7"/>
        <v>520237</v>
      </c>
      <c r="R18" s="43">
        <f t="shared" si="3"/>
        <v>5.6163930875992446E-2</v>
      </c>
      <c r="S18" s="78">
        <f t="shared" si="8"/>
        <v>426633</v>
      </c>
      <c r="T18" s="78">
        <f t="shared" si="9"/>
        <v>93604</v>
      </c>
      <c r="U18" s="52" t="str">
        <f t="shared" si="4"/>
        <v>UPA</v>
      </c>
      <c r="V18" s="79"/>
    </row>
    <row r="19" spans="1:22" x14ac:dyDescent="0.25">
      <c r="A19" s="31" t="s">
        <v>28</v>
      </c>
      <c r="B19" s="15" t="s">
        <v>29</v>
      </c>
      <c r="C19" s="15" t="s">
        <v>30</v>
      </c>
      <c r="D19" s="15" t="s">
        <v>6</v>
      </c>
      <c r="E19" s="15" t="s">
        <v>31</v>
      </c>
      <c r="F19" s="15">
        <v>0</v>
      </c>
      <c r="G19" s="15">
        <v>1</v>
      </c>
      <c r="H19" s="15">
        <v>1</v>
      </c>
      <c r="I19" s="34">
        <f>VLOOKUP(A19,'Subvencionados U.Estatales 2023'!$B$5:$K$18,10,0)</f>
        <v>6.9652759035026643E-2</v>
      </c>
      <c r="J19" s="34">
        <v>1.8494464477034206E-2</v>
      </c>
      <c r="K19" s="15">
        <v>0</v>
      </c>
      <c r="L19" s="35">
        <f t="shared" si="0"/>
        <v>152907.71428571429</v>
      </c>
      <c r="M19" s="40">
        <f t="shared" si="5"/>
        <v>164669.84615384616</v>
      </c>
      <c r="N19" s="36">
        <f t="shared" si="1"/>
        <v>178927.46218602458</v>
      </c>
      <c r="O19" s="14">
        <f t="shared" si="2"/>
        <v>31672.998449362356</v>
      </c>
      <c r="P19" s="28">
        <f t="shared" si="6"/>
        <v>528178.02107494732</v>
      </c>
      <c r="Q19" s="63">
        <f t="shared" si="7"/>
        <v>528178</v>
      </c>
      <c r="R19" s="43">
        <f t="shared" si="3"/>
        <v>5.7021228175273844E-2</v>
      </c>
      <c r="S19" s="78">
        <f t="shared" si="8"/>
        <v>433146</v>
      </c>
      <c r="T19" s="78">
        <f t="shared" si="9"/>
        <v>95032</v>
      </c>
      <c r="U19" s="52" t="str">
        <f t="shared" si="4"/>
        <v>TAL</v>
      </c>
      <c r="V19" s="79"/>
    </row>
    <row r="20" spans="1:22" x14ac:dyDescent="0.25">
      <c r="A20" s="31" t="s">
        <v>36</v>
      </c>
      <c r="B20" s="15" t="s">
        <v>37</v>
      </c>
      <c r="C20" s="15" t="s">
        <v>38</v>
      </c>
      <c r="D20" s="15" t="s">
        <v>6</v>
      </c>
      <c r="E20" s="15" t="s">
        <v>39</v>
      </c>
      <c r="F20" s="15">
        <v>0</v>
      </c>
      <c r="G20" s="15">
        <v>1</v>
      </c>
      <c r="H20" s="15">
        <v>1</v>
      </c>
      <c r="I20" s="34">
        <f>VLOOKUP(A20,'Subvencionados U.Estatales 2023'!$B$5:$K$18,10,0)</f>
        <v>7.3318383318212499E-2</v>
      </c>
      <c r="J20" s="34">
        <v>0.14825524463440204</v>
      </c>
      <c r="K20" s="15">
        <v>0</v>
      </c>
      <c r="L20" s="35">
        <f t="shared" si="0"/>
        <v>152907.71428571429</v>
      </c>
      <c r="M20" s="40">
        <f t="shared" si="5"/>
        <v>164669.84615384616</v>
      </c>
      <c r="N20" s="36">
        <f t="shared" si="1"/>
        <v>188343.89965963687</v>
      </c>
      <c r="O20" s="14">
        <f t="shared" si="2"/>
        <v>253896.95058465723</v>
      </c>
      <c r="P20" s="28">
        <f t="shared" si="6"/>
        <v>759818.4106838546</v>
      </c>
      <c r="Q20" s="63">
        <f t="shared" si="7"/>
        <v>759818</v>
      </c>
      <c r="R20" s="43">
        <f t="shared" si="3"/>
        <v>8.2028701592418124E-2</v>
      </c>
      <c r="S20" s="78">
        <f t="shared" si="8"/>
        <v>623108</v>
      </c>
      <c r="T20" s="78">
        <f t="shared" si="9"/>
        <v>136710</v>
      </c>
      <c r="U20" s="52" t="str">
        <f t="shared" si="4"/>
        <v>UTA</v>
      </c>
      <c r="V20" s="79"/>
    </row>
    <row r="21" spans="1:22" x14ac:dyDescent="0.25">
      <c r="A21" s="31" t="s">
        <v>7</v>
      </c>
      <c r="B21" s="15" t="s">
        <v>8</v>
      </c>
      <c r="C21" s="15" t="s">
        <v>9</v>
      </c>
      <c r="D21" s="15" t="s">
        <v>6</v>
      </c>
      <c r="E21" s="15" t="s">
        <v>9</v>
      </c>
      <c r="F21" s="15">
        <v>0</v>
      </c>
      <c r="G21" s="15">
        <v>1</v>
      </c>
      <c r="H21" s="15">
        <v>1</v>
      </c>
      <c r="I21" s="34">
        <f>VLOOKUP(A21,'Subvencionados U.Estatales 2023'!$B$5:$K$18,10,0)</f>
        <v>6.5878410865578566E-2</v>
      </c>
      <c r="J21" s="34">
        <v>8.3486457841318862E-3</v>
      </c>
      <c r="K21" s="15">
        <v>0</v>
      </c>
      <c r="L21" s="35">
        <f t="shared" si="0"/>
        <v>152907.71428571429</v>
      </c>
      <c r="M21" s="40">
        <f t="shared" si="5"/>
        <v>164669.84615384616</v>
      </c>
      <c r="N21" s="36">
        <f t="shared" si="1"/>
        <v>169231.72940067717</v>
      </c>
      <c r="O21" s="14">
        <f t="shared" si="2"/>
        <v>14297.610255405923</v>
      </c>
      <c r="P21" s="28">
        <f t="shared" si="6"/>
        <v>501106.90009564353</v>
      </c>
      <c r="Q21" s="63">
        <f t="shared" si="7"/>
        <v>501107</v>
      </c>
      <c r="R21" s="43">
        <f t="shared" si="3"/>
        <v>5.4098687539479023E-2</v>
      </c>
      <c r="S21" s="78">
        <f t="shared" si="8"/>
        <v>410945</v>
      </c>
      <c r="T21" s="78">
        <f t="shared" si="9"/>
        <v>90162</v>
      </c>
      <c r="U21" s="52" t="str">
        <f t="shared" si="4"/>
        <v>UVA</v>
      </c>
      <c r="V21" s="79"/>
    </row>
    <row r="22" spans="1:22" x14ac:dyDescent="0.25">
      <c r="A22" s="31" t="s">
        <v>17</v>
      </c>
      <c r="B22" s="15" t="s">
        <v>70</v>
      </c>
      <c r="C22" s="15" t="s">
        <v>18</v>
      </c>
      <c r="D22" s="15" t="s">
        <v>6</v>
      </c>
      <c r="E22" s="15" t="s">
        <v>19</v>
      </c>
      <c r="F22" s="15">
        <v>0</v>
      </c>
      <c r="G22" s="15">
        <v>1</v>
      </c>
      <c r="H22" s="15">
        <v>1</v>
      </c>
      <c r="I22" s="34">
        <f>VLOOKUP(A22,'Subvencionados U.Estatales 2023'!$B$5:$K$18,10,0)</f>
        <v>7.3742092223532354E-2</v>
      </c>
      <c r="J22" s="34">
        <v>3.5983059341267012E-2</v>
      </c>
      <c r="K22" s="15">
        <v>0</v>
      </c>
      <c r="L22" s="35">
        <f t="shared" si="0"/>
        <v>152907.71428571429</v>
      </c>
      <c r="M22" s="40">
        <f t="shared" si="5"/>
        <v>164669.84615384616</v>
      </c>
      <c r="N22" s="36">
        <f t="shared" si="1"/>
        <v>189432.34411158421</v>
      </c>
      <c r="O22" s="14">
        <f t="shared" si="2"/>
        <v>61623.378397060027</v>
      </c>
      <c r="P22" s="28">
        <f t="shared" si="6"/>
        <v>568633.28294820467</v>
      </c>
      <c r="Q22" s="63">
        <f t="shared" si="7"/>
        <v>568633</v>
      </c>
      <c r="R22" s="43">
        <f t="shared" si="3"/>
        <v>6.1388683438141106E-2</v>
      </c>
      <c r="S22" s="78">
        <f t="shared" si="8"/>
        <v>466322</v>
      </c>
      <c r="T22" s="78">
        <f t="shared" si="9"/>
        <v>102311</v>
      </c>
      <c r="U22" s="52" t="str">
        <f t="shared" si="4"/>
        <v>UBB</v>
      </c>
      <c r="V22" s="79"/>
    </row>
    <row r="23" spans="1:22" x14ac:dyDescent="0.25">
      <c r="A23" s="31" t="s">
        <v>50</v>
      </c>
      <c r="B23" s="15" t="s">
        <v>51</v>
      </c>
      <c r="C23" s="15" t="s">
        <v>52</v>
      </c>
      <c r="D23" s="15" t="s">
        <v>6</v>
      </c>
      <c r="E23" s="15" t="s">
        <v>53</v>
      </c>
      <c r="F23" s="15">
        <v>0</v>
      </c>
      <c r="G23" s="15">
        <v>1</v>
      </c>
      <c r="H23" s="15">
        <v>1</v>
      </c>
      <c r="I23" s="34">
        <f>VLOOKUP(A23,'Subvencionados U.Estatales 2023'!$B$5:$K$18,10,0)</f>
        <v>6.9527628540031319E-2</v>
      </c>
      <c r="J23" s="34">
        <v>6.0287374860315893E-3</v>
      </c>
      <c r="K23" s="15">
        <v>0</v>
      </c>
      <c r="L23" s="35">
        <f t="shared" si="0"/>
        <v>152907.71428571429</v>
      </c>
      <c r="M23" s="40">
        <f t="shared" si="5"/>
        <v>164669.84615384616</v>
      </c>
      <c r="N23" s="36">
        <f t="shared" si="1"/>
        <v>178606.02076400805</v>
      </c>
      <c r="O23" s="14">
        <f t="shared" si="2"/>
        <v>10324.61325299817</v>
      </c>
      <c r="P23" s="28">
        <f t="shared" si="6"/>
        <v>506508.19445656665</v>
      </c>
      <c r="Q23" s="63">
        <f t="shared" si="7"/>
        <v>506508</v>
      </c>
      <c r="R23" s="43">
        <f t="shared" si="3"/>
        <v>5.4681770616348283E-2</v>
      </c>
      <c r="S23" s="78">
        <f t="shared" si="8"/>
        <v>415375</v>
      </c>
      <c r="T23" s="78">
        <f t="shared" si="9"/>
        <v>91133</v>
      </c>
      <c r="U23" s="52" t="str">
        <f t="shared" si="4"/>
        <v>URO</v>
      </c>
      <c r="V23" s="79"/>
    </row>
    <row r="24" spans="1:22" x14ac:dyDescent="0.25">
      <c r="A24" s="31" t="s">
        <v>54</v>
      </c>
      <c r="B24" s="15" t="s">
        <v>55</v>
      </c>
      <c r="C24" s="15" t="s">
        <v>56</v>
      </c>
      <c r="D24" s="15" t="s">
        <v>6</v>
      </c>
      <c r="E24" s="15" t="s">
        <v>57</v>
      </c>
      <c r="F24" s="15">
        <v>0</v>
      </c>
      <c r="G24" s="15">
        <v>1</v>
      </c>
      <c r="H24" s="15">
        <v>0</v>
      </c>
      <c r="I24" s="34">
        <f>VLOOKUP(A24,'Subvencionados U.Estatales 2023'!$B$5:$K$18,10,0)</f>
        <v>7.5850027794318403E-2</v>
      </c>
      <c r="J24" s="34">
        <v>0.12301418153750447</v>
      </c>
      <c r="K24" s="15">
        <v>0</v>
      </c>
      <c r="L24" s="35">
        <f t="shared" si="0"/>
        <v>152907.71428571429</v>
      </c>
      <c r="M24" s="40">
        <f t="shared" si="5"/>
        <v>0</v>
      </c>
      <c r="N24" s="36">
        <f t="shared" si="1"/>
        <v>194847.31355942372</v>
      </c>
      <c r="O24" s="14">
        <f t="shared" si="2"/>
        <v>210669.95402463051</v>
      </c>
      <c r="P24" s="28">
        <f t="shared" si="6"/>
        <v>558424.98186976847</v>
      </c>
      <c r="Q24" s="63">
        <f t="shared" si="7"/>
        <v>558425</v>
      </c>
      <c r="R24" s="43">
        <f t="shared" si="3"/>
        <v>6.0286644547439115E-2</v>
      </c>
      <c r="S24" s="78">
        <f t="shared" si="8"/>
        <v>457950</v>
      </c>
      <c r="T24" s="78">
        <f t="shared" si="9"/>
        <v>100475</v>
      </c>
      <c r="U24" s="52" t="str">
        <f t="shared" si="4"/>
        <v>URY</v>
      </c>
      <c r="V24" s="79"/>
    </row>
    <row r="25" spans="1:22" x14ac:dyDescent="0.25">
      <c r="A25" s="31" t="s">
        <v>109</v>
      </c>
      <c r="B25" s="15" t="s">
        <v>115</v>
      </c>
      <c r="C25" s="15" t="s">
        <v>12</v>
      </c>
      <c r="D25" s="15" t="s">
        <v>94</v>
      </c>
      <c r="E25" s="15" t="s">
        <v>143</v>
      </c>
      <c r="F25" s="29">
        <v>1</v>
      </c>
      <c r="G25" s="17"/>
      <c r="H25" s="17"/>
      <c r="I25" s="17"/>
      <c r="J25" s="17"/>
      <c r="K25" s="30">
        <v>50000</v>
      </c>
      <c r="L25" s="32"/>
      <c r="M25" s="19"/>
      <c r="N25" s="19"/>
      <c r="O25" s="20"/>
      <c r="P25" s="28">
        <f t="shared" si="6"/>
        <v>50000</v>
      </c>
      <c r="Q25" s="63">
        <f t="shared" si="7"/>
        <v>50000</v>
      </c>
      <c r="R25" s="43">
        <f t="shared" si="3"/>
        <v>5.3979177640183654E-3</v>
      </c>
      <c r="S25" s="78">
        <v>41000</v>
      </c>
      <c r="T25" s="78">
        <v>9000</v>
      </c>
      <c r="U25" s="52" t="str">
        <f t="shared" si="4"/>
        <v>CAN</v>
      </c>
      <c r="V25" s="79"/>
    </row>
    <row r="26" spans="1:22" x14ac:dyDescent="0.25">
      <c r="A26" s="31" t="s">
        <v>111</v>
      </c>
      <c r="B26" s="15" t="s">
        <v>116</v>
      </c>
      <c r="C26" s="15" t="s">
        <v>38</v>
      </c>
      <c r="D26" s="15" t="s">
        <v>94</v>
      </c>
      <c r="E26" s="15" t="s">
        <v>39</v>
      </c>
      <c r="F26" s="29">
        <v>1</v>
      </c>
      <c r="G26" s="17"/>
      <c r="H26" s="17"/>
      <c r="I26" s="17"/>
      <c r="J26" s="17"/>
      <c r="K26" s="30">
        <v>50000</v>
      </c>
      <c r="L26" s="32"/>
      <c r="M26" s="19"/>
      <c r="N26" s="19"/>
      <c r="O26" s="20"/>
      <c r="P26" s="28">
        <f t="shared" si="6"/>
        <v>50000</v>
      </c>
      <c r="Q26" s="63">
        <f t="shared" si="7"/>
        <v>50000</v>
      </c>
      <c r="R26" s="43">
        <f t="shared" si="3"/>
        <v>5.3979177640183654E-3</v>
      </c>
      <c r="S26" s="78">
        <v>41000</v>
      </c>
      <c r="T26" s="78">
        <v>9000</v>
      </c>
      <c r="U26" s="52" t="str">
        <f t="shared" si="4"/>
        <v>CRP</v>
      </c>
      <c r="V26" s="79"/>
    </row>
    <row r="27" spans="1:22" x14ac:dyDescent="0.25">
      <c r="A27" s="31" t="s">
        <v>110</v>
      </c>
      <c r="B27" s="15" t="s">
        <v>117</v>
      </c>
      <c r="C27" s="15" t="s">
        <v>34</v>
      </c>
      <c r="D27" s="15" t="s">
        <v>94</v>
      </c>
      <c r="E27" s="15" t="s">
        <v>144</v>
      </c>
      <c r="F27" s="29">
        <v>1</v>
      </c>
      <c r="G27" s="17"/>
      <c r="H27" s="17"/>
      <c r="I27" s="17"/>
      <c r="J27" s="17"/>
      <c r="K27" s="30">
        <v>50000</v>
      </c>
      <c r="L27" s="32"/>
      <c r="M27" s="19"/>
      <c r="N27" s="19"/>
      <c r="O27" s="20"/>
      <c r="P27" s="28">
        <f t="shared" si="6"/>
        <v>50000</v>
      </c>
      <c r="Q27" s="63">
        <f t="shared" si="7"/>
        <v>50000</v>
      </c>
      <c r="R27" s="43">
        <f t="shared" si="3"/>
        <v>5.3979177640183654E-3</v>
      </c>
      <c r="S27" s="78">
        <v>41000</v>
      </c>
      <c r="T27" s="78">
        <v>9000</v>
      </c>
      <c r="U27" s="52" t="str">
        <f t="shared" si="4"/>
        <v>CEA</v>
      </c>
      <c r="V27" s="79"/>
    </row>
    <row r="28" spans="1:22" x14ac:dyDescent="0.25">
      <c r="A28" s="31" t="s">
        <v>112</v>
      </c>
      <c r="B28" s="15" t="s">
        <v>118</v>
      </c>
      <c r="C28" s="15" t="s">
        <v>56</v>
      </c>
      <c r="D28" s="15" t="s">
        <v>94</v>
      </c>
      <c r="E28" s="15" t="s">
        <v>145</v>
      </c>
      <c r="F28" s="29">
        <v>1</v>
      </c>
      <c r="G28" s="17"/>
      <c r="H28" s="17"/>
      <c r="I28" s="17"/>
      <c r="J28" s="17"/>
      <c r="K28" s="30">
        <v>50000</v>
      </c>
      <c r="L28" s="32"/>
      <c r="M28" s="19"/>
      <c r="N28" s="19"/>
      <c r="O28" s="20"/>
      <c r="P28" s="28">
        <f t="shared" si="6"/>
        <v>50000</v>
      </c>
      <c r="Q28" s="63">
        <f t="shared" si="7"/>
        <v>50000</v>
      </c>
      <c r="R28" s="43">
        <f t="shared" si="3"/>
        <v>5.3979177640183654E-3</v>
      </c>
      <c r="S28" s="78">
        <v>41000</v>
      </c>
      <c r="T28" s="78">
        <v>9000</v>
      </c>
      <c r="U28" s="52" t="str">
        <f t="shared" si="4"/>
        <v>CRY</v>
      </c>
      <c r="V28" s="79"/>
    </row>
    <row r="29" spans="1:22" x14ac:dyDescent="0.25">
      <c r="A29" s="31" t="s">
        <v>103</v>
      </c>
      <c r="B29" s="15" t="s">
        <v>119</v>
      </c>
      <c r="C29" s="15" t="s">
        <v>15</v>
      </c>
      <c r="D29" s="15" t="s">
        <v>94</v>
      </c>
      <c r="E29" s="15" t="s">
        <v>146</v>
      </c>
      <c r="F29" s="15">
        <v>1</v>
      </c>
      <c r="G29" s="17"/>
      <c r="H29" s="17"/>
      <c r="I29" s="17"/>
      <c r="J29" s="17"/>
      <c r="K29" s="30">
        <v>50000</v>
      </c>
      <c r="L29" s="32"/>
      <c r="M29" s="19"/>
      <c r="N29" s="19"/>
      <c r="O29" s="20"/>
      <c r="P29" s="28">
        <f t="shared" si="6"/>
        <v>50000</v>
      </c>
      <c r="Q29" s="63">
        <f t="shared" si="7"/>
        <v>50000</v>
      </c>
      <c r="R29" s="43">
        <f t="shared" si="3"/>
        <v>5.3979177640183654E-3</v>
      </c>
      <c r="S29" s="78">
        <v>41000</v>
      </c>
      <c r="T29" s="78">
        <v>9000</v>
      </c>
      <c r="U29" s="52" t="str">
        <f t="shared" si="4"/>
        <v>CRC</v>
      </c>
      <c r="V29" s="79"/>
    </row>
    <row r="30" spans="1:22" x14ac:dyDescent="0.25">
      <c r="A30" s="31" t="s">
        <v>102</v>
      </c>
      <c r="B30" s="15" t="s">
        <v>120</v>
      </c>
      <c r="C30" s="15" t="s">
        <v>141</v>
      </c>
      <c r="D30" s="15" t="s">
        <v>94</v>
      </c>
      <c r="E30" s="15" t="s">
        <v>147</v>
      </c>
      <c r="F30" s="15">
        <v>1</v>
      </c>
      <c r="G30" s="17"/>
      <c r="H30" s="17"/>
      <c r="I30" s="17"/>
      <c r="J30" s="17"/>
      <c r="K30" s="30">
        <v>50000</v>
      </c>
      <c r="L30" s="32"/>
      <c r="M30" s="19"/>
      <c r="N30" s="19"/>
      <c r="O30" s="20"/>
      <c r="P30" s="28">
        <f t="shared" si="6"/>
        <v>50000</v>
      </c>
      <c r="Q30" s="63">
        <f t="shared" si="7"/>
        <v>50000</v>
      </c>
      <c r="R30" s="43">
        <f t="shared" si="3"/>
        <v>5.3979177640183654E-3</v>
      </c>
      <c r="S30" s="78">
        <v>41000</v>
      </c>
      <c r="T30" s="78">
        <v>9000</v>
      </c>
      <c r="U30" s="52" t="str">
        <f t="shared" si="4"/>
        <v>CRA</v>
      </c>
      <c r="V30" s="79"/>
    </row>
    <row r="31" spans="1:22" x14ac:dyDescent="0.25">
      <c r="A31" s="31" t="s">
        <v>105</v>
      </c>
      <c r="B31" s="15" t="s">
        <v>121</v>
      </c>
      <c r="C31" s="15" t="s">
        <v>48</v>
      </c>
      <c r="D31" s="15" t="s">
        <v>94</v>
      </c>
      <c r="E31" s="15" t="s">
        <v>148</v>
      </c>
      <c r="F31" s="15">
        <v>1</v>
      </c>
      <c r="G31" s="17"/>
      <c r="H31" s="17"/>
      <c r="I31" s="17"/>
      <c r="J31" s="17"/>
      <c r="K31" s="30">
        <v>50000</v>
      </c>
      <c r="L31" s="32"/>
      <c r="M31" s="19"/>
      <c r="N31" s="19"/>
      <c r="O31" s="20"/>
      <c r="P31" s="28">
        <f t="shared" si="6"/>
        <v>50000</v>
      </c>
      <c r="Q31" s="63">
        <f t="shared" si="7"/>
        <v>50000</v>
      </c>
      <c r="R31" s="43">
        <f t="shared" si="3"/>
        <v>5.3979177640183654E-3</v>
      </c>
      <c r="S31" s="78">
        <v>41000</v>
      </c>
      <c r="T31" s="78">
        <v>9000</v>
      </c>
      <c r="U31" s="52" t="str">
        <f t="shared" si="4"/>
        <v>CRL</v>
      </c>
      <c r="V31" s="79"/>
    </row>
    <row r="32" spans="1:22" x14ac:dyDescent="0.25">
      <c r="A32" s="31" t="s">
        <v>106</v>
      </c>
      <c r="B32" s="15" t="s">
        <v>122</v>
      </c>
      <c r="C32" s="15" t="s">
        <v>142</v>
      </c>
      <c r="D32" s="15" t="s">
        <v>94</v>
      </c>
      <c r="E32" s="15" t="s">
        <v>149</v>
      </c>
      <c r="F32" s="15">
        <v>1</v>
      </c>
      <c r="G32" s="17"/>
      <c r="H32" s="17"/>
      <c r="I32" s="17"/>
      <c r="J32" s="17"/>
      <c r="K32" s="30">
        <v>50000</v>
      </c>
      <c r="L32" s="32"/>
      <c r="M32" s="19"/>
      <c r="N32" s="19"/>
      <c r="O32" s="20"/>
      <c r="P32" s="28">
        <f t="shared" si="6"/>
        <v>50000</v>
      </c>
      <c r="Q32" s="63">
        <f t="shared" si="7"/>
        <v>50000</v>
      </c>
      <c r="R32" s="43">
        <f t="shared" si="3"/>
        <v>5.3979177640183654E-3</v>
      </c>
      <c r="S32" s="78">
        <v>41000</v>
      </c>
      <c r="T32" s="78">
        <v>9000</v>
      </c>
      <c r="U32" s="52" t="str">
        <f t="shared" si="4"/>
        <v>CRR</v>
      </c>
      <c r="V32" s="79"/>
    </row>
    <row r="33" spans="1:22" x14ac:dyDescent="0.25">
      <c r="A33" s="31" t="s">
        <v>107</v>
      </c>
      <c r="B33" s="15" t="s">
        <v>123</v>
      </c>
      <c r="C33" s="15" t="s">
        <v>26</v>
      </c>
      <c r="D33" s="15" t="s">
        <v>94</v>
      </c>
      <c r="E33" s="15" t="s">
        <v>150</v>
      </c>
      <c r="F33" s="15">
        <v>1</v>
      </c>
      <c r="G33" s="17"/>
      <c r="H33" s="17"/>
      <c r="I33" s="17"/>
      <c r="J33" s="17"/>
      <c r="K33" s="30">
        <v>50000</v>
      </c>
      <c r="L33" s="32"/>
      <c r="M33" s="19"/>
      <c r="N33" s="19"/>
      <c r="O33" s="20"/>
      <c r="P33" s="28">
        <f t="shared" si="6"/>
        <v>50000</v>
      </c>
      <c r="Q33" s="63">
        <f t="shared" si="7"/>
        <v>50000</v>
      </c>
      <c r="R33" s="43">
        <f t="shared" si="3"/>
        <v>5.3979177640183654E-3</v>
      </c>
      <c r="S33" s="78">
        <v>41000</v>
      </c>
      <c r="T33" s="78">
        <v>9000</v>
      </c>
      <c r="U33" s="52" t="str">
        <f t="shared" si="4"/>
        <v>CEM</v>
      </c>
      <c r="V33" s="79"/>
    </row>
    <row r="34" spans="1:22" x14ac:dyDescent="0.25">
      <c r="A34" s="31" t="s">
        <v>104</v>
      </c>
      <c r="B34" s="15" t="s">
        <v>124</v>
      </c>
      <c r="C34" s="15" t="s">
        <v>42</v>
      </c>
      <c r="D34" s="15" t="s">
        <v>94</v>
      </c>
      <c r="E34" s="15" t="s">
        <v>151</v>
      </c>
      <c r="F34" s="15">
        <v>1</v>
      </c>
      <c r="G34" s="17"/>
      <c r="H34" s="17"/>
      <c r="I34" s="17"/>
      <c r="J34" s="17"/>
      <c r="K34" s="30">
        <v>50000</v>
      </c>
      <c r="L34" s="20"/>
      <c r="M34" s="19"/>
      <c r="N34" s="19"/>
      <c r="O34" s="20"/>
      <c r="P34" s="28">
        <f t="shared" si="6"/>
        <v>50000</v>
      </c>
      <c r="Q34" s="63">
        <f t="shared" si="7"/>
        <v>50000</v>
      </c>
      <c r="R34" s="43">
        <f t="shared" si="3"/>
        <v>5.3979177640183654E-3</v>
      </c>
      <c r="S34" s="78">
        <v>41000</v>
      </c>
      <c r="T34" s="78">
        <v>9000</v>
      </c>
      <c r="U34" s="52" t="str">
        <f t="shared" si="4"/>
        <v>CRT</v>
      </c>
      <c r="V34" s="79"/>
    </row>
    <row r="35" spans="1:22" x14ac:dyDescent="0.25">
      <c r="A35" s="31" t="s">
        <v>108</v>
      </c>
      <c r="B35" s="15" t="s">
        <v>125</v>
      </c>
      <c r="C35" s="15" t="s">
        <v>9</v>
      </c>
      <c r="D35" s="15" t="s">
        <v>94</v>
      </c>
      <c r="E35" s="15" t="s">
        <v>155</v>
      </c>
      <c r="F35" s="15">
        <v>1</v>
      </c>
      <c r="G35" s="17"/>
      <c r="H35" s="17"/>
      <c r="I35" s="17"/>
      <c r="J35" s="17"/>
      <c r="K35" s="30">
        <v>50000</v>
      </c>
      <c r="L35" s="20"/>
      <c r="M35" s="19"/>
      <c r="N35" s="19"/>
      <c r="O35" s="20"/>
      <c r="P35" s="28">
        <f t="shared" si="6"/>
        <v>50000</v>
      </c>
      <c r="Q35" s="63">
        <f t="shared" ref="Q35:Q38" si="10">ROUND(P35,0)</f>
        <v>50000</v>
      </c>
      <c r="R35" s="43">
        <f t="shared" si="3"/>
        <v>5.3979177640183654E-3</v>
      </c>
      <c r="S35" s="78">
        <v>41000</v>
      </c>
      <c r="T35" s="78">
        <v>9000</v>
      </c>
      <c r="U35" s="52" t="str">
        <f t="shared" si="4"/>
        <v>CRV</v>
      </c>
      <c r="V35" s="79"/>
    </row>
    <row r="36" spans="1:22" x14ac:dyDescent="0.25">
      <c r="A36" s="31" t="s">
        <v>113</v>
      </c>
      <c r="B36" s="15" t="s">
        <v>126</v>
      </c>
      <c r="C36" s="15" t="s">
        <v>18</v>
      </c>
      <c r="D36" s="15" t="s">
        <v>94</v>
      </c>
      <c r="E36" s="15" t="s">
        <v>152</v>
      </c>
      <c r="F36" s="15">
        <v>1</v>
      </c>
      <c r="G36" s="17"/>
      <c r="H36" s="17"/>
      <c r="I36" s="17"/>
      <c r="J36" s="17"/>
      <c r="K36" s="30">
        <v>50000</v>
      </c>
      <c r="L36" s="20"/>
      <c r="M36" s="19"/>
      <c r="N36" s="19"/>
      <c r="O36" s="20"/>
      <c r="P36" s="28">
        <f t="shared" si="6"/>
        <v>50000</v>
      </c>
      <c r="Q36" s="63">
        <f t="shared" si="10"/>
        <v>50000</v>
      </c>
      <c r="R36" s="43">
        <f t="shared" si="3"/>
        <v>5.3979177640183654E-3</v>
      </c>
      <c r="S36" s="78">
        <v>41000</v>
      </c>
      <c r="T36" s="78">
        <v>9000</v>
      </c>
      <c r="U36" s="52" t="str">
        <f t="shared" si="4"/>
        <v>CRB</v>
      </c>
      <c r="V36" s="79"/>
    </row>
    <row r="37" spans="1:22" x14ac:dyDescent="0.25">
      <c r="A37" s="31" t="s">
        <v>114</v>
      </c>
      <c r="B37" s="15" t="s">
        <v>127</v>
      </c>
      <c r="C37" s="15" t="s">
        <v>52</v>
      </c>
      <c r="D37" s="15" t="s">
        <v>94</v>
      </c>
      <c r="E37" s="15" t="s">
        <v>153</v>
      </c>
      <c r="F37" s="15">
        <v>1</v>
      </c>
      <c r="G37" s="17"/>
      <c r="H37" s="17"/>
      <c r="I37" s="17"/>
      <c r="J37" s="17"/>
      <c r="K37" s="30">
        <v>50000</v>
      </c>
      <c r="L37" s="20"/>
      <c r="M37" s="19"/>
      <c r="N37" s="19"/>
      <c r="O37" s="20"/>
      <c r="P37" s="28">
        <f t="shared" si="6"/>
        <v>50000</v>
      </c>
      <c r="Q37" s="63">
        <f t="shared" si="10"/>
        <v>50000</v>
      </c>
      <c r="R37" s="43">
        <f t="shared" si="3"/>
        <v>5.3979177640183654E-3</v>
      </c>
      <c r="S37" s="78">
        <v>41000</v>
      </c>
      <c r="T37" s="78">
        <v>9000</v>
      </c>
      <c r="U37" s="52" t="str">
        <f t="shared" si="4"/>
        <v>CRO</v>
      </c>
      <c r="V37" s="79"/>
    </row>
    <row r="38" spans="1:22" x14ac:dyDescent="0.25">
      <c r="A38" s="31" t="s">
        <v>101</v>
      </c>
      <c r="B38" s="15" t="s">
        <v>128</v>
      </c>
      <c r="C38" s="15" t="s">
        <v>30</v>
      </c>
      <c r="D38" s="15" t="s">
        <v>94</v>
      </c>
      <c r="E38" s="15" t="s">
        <v>154</v>
      </c>
      <c r="F38" s="44">
        <v>1</v>
      </c>
      <c r="G38" s="45"/>
      <c r="H38" s="45"/>
      <c r="I38" s="45"/>
      <c r="J38" s="45"/>
      <c r="K38" s="46">
        <v>50000</v>
      </c>
      <c r="L38" s="47"/>
      <c r="M38" s="48"/>
      <c r="N38" s="48"/>
      <c r="O38" s="47"/>
      <c r="P38" s="28">
        <f t="shared" si="6"/>
        <v>50000</v>
      </c>
      <c r="Q38" s="64">
        <f t="shared" si="10"/>
        <v>50000</v>
      </c>
      <c r="R38" s="49">
        <f t="shared" si="3"/>
        <v>5.3979177640183654E-3</v>
      </c>
      <c r="S38" s="78">
        <v>41000</v>
      </c>
      <c r="T38" s="78">
        <v>9000</v>
      </c>
      <c r="U38" s="52" t="str">
        <f t="shared" si="4"/>
        <v>CRM</v>
      </c>
      <c r="V38" s="79"/>
    </row>
    <row r="39" spans="1:22" x14ac:dyDescent="0.25">
      <c r="A39" s="21"/>
      <c r="B39" s="12"/>
      <c r="C39" s="12"/>
      <c r="D39" s="12"/>
      <c r="E39" s="12"/>
      <c r="F39" s="50">
        <f>SUM(F11:F38)</f>
        <v>14</v>
      </c>
      <c r="G39" s="50">
        <f t="shared" ref="G39:N39" si="11">SUM(G11:G38)</f>
        <v>14</v>
      </c>
      <c r="H39" s="50">
        <f t="shared" si="11"/>
        <v>13</v>
      </c>
      <c r="I39" s="50">
        <f t="shared" si="11"/>
        <v>1</v>
      </c>
      <c r="J39" s="50">
        <f t="shared" si="11"/>
        <v>0.99999999999999956</v>
      </c>
      <c r="K39" s="50">
        <f t="shared" si="11"/>
        <v>700000</v>
      </c>
      <c r="L39" s="50">
        <f t="shared" si="11"/>
        <v>2140708</v>
      </c>
      <c r="M39" s="50">
        <f>SUM(M11:M38)</f>
        <v>2140708.0000000005</v>
      </c>
      <c r="N39" s="50">
        <f t="shared" si="11"/>
        <v>2568849.6</v>
      </c>
      <c r="O39" s="50">
        <f t="shared" ref="O39:T39" si="12">SUM(O11:O38)</f>
        <v>1712566.4</v>
      </c>
      <c r="P39" s="50">
        <f t="shared" si="12"/>
        <v>9262832</v>
      </c>
      <c r="Q39" s="65">
        <f t="shared" si="12"/>
        <v>9262831</v>
      </c>
      <c r="R39" s="51">
        <f t="shared" si="12"/>
        <v>0.99999999999999944</v>
      </c>
      <c r="S39" s="55">
        <f>SUM(S11:S38)</f>
        <v>7596165</v>
      </c>
      <c r="T39" s="55">
        <f t="shared" si="12"/>
        <v>1666666</v>
      </c>
      <c r="V39" s="79"/>
    </row>
    <row r="40" spans="1:22" x14ac:dyDescent="0.25">
      <c r="Q40" s="53">
        <f>+C43-Q39</f>
        <v>1</v>
      </c>
      <c r="S40" s="58">
        <f>+S39-C41</f>
        <v>-1</v>
      </c>
      <c r="T40" s="58">
        <f>+T39-C42</f>
        <v>0</v>
      </c>
      <c r="V40" s="79"/>
    </row>
    <row r="41" spans="1:22" x14ac:dyDescent="0.25">
      <c r="B41" s="68" t="s">
        <v>92</v>
      </c>
      <c r="C41" s="69">
        <v>7596166</v>
      </c>
      <c r="D41" s="77"/>
      <c r="G41" s="6"/>
      <c r="H41" s="6"/>
      <c r="I41" s="6"/>
      <c r="J41" s="6"/>
      <c r="K41" s="6"/>
      <c r="L41" s="4"/>
      <c r="M41" s="4"/>
      <c r="N41" s="4"/>
      <c r="O41" s="4"/>
      <c r="P41" s="4"/>
      <c r="Q41" s="4"/>
      <c r="R41" s="7"/>
      <c r="V41" s="79"/>
    </row>
    <row r="42" spans="1:22" x14ac:dyDescent="0.25">
      <c r="B42" s="68" t="s">
        <v>93</v>
      </c>
      <c r="C42" s="69">
        <v>1666666</v>
      </c>
      <c r="E42" s="1"/>
      <c r="F42" s="1"/>
      <c r="G42" s="1"/>
      <c r="V42" s="79"/>
    </row>
    <row r="43" spans="1:22" x14ac:dyDescent="0.25">
      <c r="B43" s="56" t="s">
        <v>134</v>
      </c>
      <c r="C43" s="57">
        <f>SUM(C41:C42)</f>
        <v>9262832</v>
      </c>
      <c r="D43" s="12"/>
      <c r="E43" s="1"/>
      <c r="F43" s="1"/>
      <c r="I43" s="52" t="s">
        <v>159</v>
      </c>
      <c r="J43" s="52" t="s">
        <v>160</v>
      </c>
      <c r="K43" s="52" t="s">
        <v>161</v>
      </c>
      <c r="L43" s="52" t="s">
        <v>162</v>
      </c>
      <c r="M43" s="52" t="s">
        <v>163</v>
      </c>
      <c r="N43" s="52" t="s">
        <v>164</v>
      </c>
      <c r="O43" s="52" t="s">
        <v>165</v>
      </c>
      <c r="P43" s="52" t="s">
        <v>166</v>
      </c>
      <c r="Q43" s="52" t="s">
        <v>167</v>
      </c>
      <c r="V43" s="79"/>
    </row>
    <row r="44" spans="1:22" x14ac:dyDescent="0.25">
      <c r="B44" s="66" t="s">
        <v>91</v>
      </c>
      <c r="C44" s="67">
        <f>K39</f>
        <v>700000</v>
      </c>
      <c r="D44" s="12"/>
      <c r="E44" s="1"/>
      <c r="F44" s="1"/>
      <c r="I44" s="80">
        <v>2</v>
      </c>
      <c r="J44" s="52">
        <v>213</v>
      </c>
      <c r="K44" s="81">
        <v>574000</v>
      </c>
      <c r="L44" s="82">
        <f>K44/K46</f>
        <v>0.82</v>
      </c>
      <c r="M44" s="81">
        <f>C41-K44</f>
        <v>7022166</v>
      </c>
      <c r="N44" s="83">
        <f>M44/M46</f>
        <v>0.82007518073459806</v>
      </c>
      <c r="O44" s="84">
        <f>S11+S12+S13+S14+S15+S16+S17+S18+S19+S20+S21+S22+S23+S24</f>
        <v>7022165</v>
      </c>
      <c r="P44" s="84">
        <f>O44+K44</f>
        <v>7596165</v>
      </c>
      <c r="Q44" s="84">
        <f>C41-P44</f>
        <v>1</v>
      </c>
      <c r="V44" s="79"/>
    </row>
    <row r="45" spans="1:22" x14ac:dyDescent="0.25">
      <c r="B45" s="70" t="s">
        <v>96</v>
      </c>
      <c r="C45" s="71">
        <f>C43-C44</f>
        <v>8562832</v>
      </c>
      <c r="D45" s="12"/>
      <c r="E45" s="1"/>
      <c r="F45" s="1"/>
      <c r="I45" s="80">
        <v>2</v>
      </c>
      <c r="J45" s="52">
        <v>404</v>
      </c>
      <c r="K45" s="81">
        <v>126000</v>
      </c>
      <c r="L45" s="82">
        <f>K45/K46</f>
        <v>0.18</v>
      </c>
      <c r="M45" s="81">
        <f>C42-K45</f>
        <v>1540666</v>
      </c>
      <c r="N45" s="83">
        <f>M45/M46</f>
        <v>0.17992481926540191</v>
      </c>
      <c r="O45" s="84">
        <f>T11+T12+T13+T14+T15+T16+T17+T18+T19+T20+T21+T22+T23+T24</f>
        <v>1540666</v>
      </c>
      <c r="P45" s="84">
        <f>O45+K45</f>
        <v>1666666</v>
      </c>
      <c r="Q45" s="84">
        <f>C42-P45</f>
        <v>0</v>
      </c>
      <c r="V45" s="79"/>
    </row>
    <row r="46" spans="1:22" x14ac:dyDescent="0.25">
      <c r="B46" s="18" t="s">
        <v>4</v>
      </c>
      <c r="C46" s="14">
        <f>C45*G9</f>
        <v>2140708</v>
      </c>
      <c r="I46" s="85"/>
      <c r="J46" s="85"/>
      <c r="K46" s="81">
        <f>SUM(K44:K45)</f>
        <v>700000</v>
      </c>
      <c r="L46" s="52"/>
      <c r="M46" s="81">
        <f>SUM(M44:M45)</f>
        <v>8562832</v>
      </c>
      <c r="N46" s="52"/>
      <c r="O46" s="84">
        <f>SUM(O44:O45)</f>
        <v>8562831</v>
      </c>
      <c r="P46" s="84">
        <f>SUM(P44:P45)</f>
        <v>9262831</v>
      </c>
      <c r="Q46" s="84">
        <v>1</v>
      </c>
      <c r="V46" s="79"/>
    </row>
    <row r="47" spans="1:22" x14ac:dyDescent="0.25">
      <c r="B47" s="18" t="s">
        <v>131</v>
      </c>
      <c r="C47" s="14">
        <f>C45*H9</f>
        <v>2140708</v>
      </c>
      <c r="E47" s="1"/>
      <c r="V47" s="79"/>
    </row>
    <row r="48" spans="1:22" x14ac:dyDescent="0.25">
      <c r="B48" s="18" t="s">
        <v>71</v>
      </c>
      <c r="C48" s="14">
        <f>C45*I9</f>
        <v>2568849.6</v>
      </c>
      <c r="E48" s="1"/>
      <c r="V48" s="79"/>
    </row>
    <row r="49" spans="2:22" x14ac:dyDescent="0.25">
      <c r="B49" s="18" t="s">
        <v>5</v>
      </c>
      <c r="C49" s="14">
        <f>C45*J9</f>
        <v>1712566.4000000001</v>
      </c>
      <c r="V49" s="79"/>
    </row>
    <row r="50" spans="2:22" x14ac:dyDescent="0.25">
      <c r="B50" s="72" t="s">
        <v>74</v>
      </c>
      <c r="C50" s="73">
        <f>SUM(C46:C49)</f>
        <v>8562832</v>
      </c>
    </row>
  </sheetData>
  <autoFilter ref="A10:S39" xr:uid="{00000000-0001-0000-0000-000000000000}"/>
  <sortState xmlns:xlrd2="http://schemas.microsoft.com/office/spreadsheetml/2017/richdata2" ref="A9:J20">
    <sortCondition ref="B9:B20"/>
  </sortState>
  <mergeCells count="6">
    <mergeCell ref="A7:S7"/>
    <mergeCell ref="A2:T2"/>
    <mergeCell ref="A3:S3"/>
    <mergeCell ref="A4:S4"/>
    <mergeCell ref="A5:S5"/>
    <mergeCell ref="A6:S6"/>
  </mergeCells>
  <printOptions horizontalCentered="1"/>
  <pageMargins left="0.51181102362204722" right="0.51181102362204722" top="0.55118110236220474" bottom="0.55118110236220474" header="0.31496062992125984" footer="0.31496062992125984"/>
  <pageSetup paperSize="190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A4" sqref="A4:K4"/>
    </sheetView>
  </sheetViews>
  <sheetFormatPr baseColWidth="10" defaultRowHeight="15" x14ac:dyDescent="0.25"/>
  <cols>
    <col min="1" max="1" width="33.85546875" bestFit="1" customWidth="1"/>
    <col min="2" max="3" width="10.85546875" customWidth="1"/>
    <col min="4" max="4" width="14.5703125" customWidth="1"/>
    <col min="5" max="5" width="13.42578125" customWidth="1"/>
    <col min="6" max="6" width="13" customWidth="1"/>
    <col min="7" max="7" width="12.42578125" customWidth="1"/>
    <col min="8" max="8" width="13.140625" customWidth="1"/>
    <col min="9" max="9" width="11.5703125" customWidth="1"/>
    <col min="10" max="10" width="12.42578125" customWidth="1"/>
    <col min="11" max="11" width="11.7109375" customWidth="1"/>
    <col min="13" max="13" width="11.85546875" bestFit="1" customWidth="1"/>
  </cols>
  <sheetData>
    <row r="1" spans="1:11" x14ac:dyDescent="0.25">
      <c r="A1" s="8" t="s">
        <v>80</v>
      </c>
      <c r="B1" t="s">
        <v>81</v>
      </c>
    </row>
    <row r="2" spans="1:11" x14ac:dyDescent="0.25">
      <c r="A2" s="8" t="s">
        <v>82</v>
      </c>
      <c r="B2" t="s">
        <v>83</v>
      </c>
    </row>
    <row r="4" spans="1:11" ht="48" x14ac:dyDescent="0.25">
      <c r="A4" s="59" t="s">
        <v>72</v>
      </c>
      <c r="B4" s="59" t="s">
        <v>98</v>
      </c>
      <c r="C4" s="60" t="s">
        <v>84</v>
      </c>
      <c r="D4" s="61" t="s">
        <v>85</v>
      </c>
      <c r="E4" s="61" t="s">
        <v>129</v>
      </c>
      <c r="F4" s="61" t="s">
        <v>97</v>
      </c>
      <c r="G4" s="61" t="s">
        <v>86</v>
      </c>
      <c r="H4" s="61" t="s">
        <v>130</v>
      </c>
      <c r="I4" s="61" t="s">
        <v>73</v>
      </c>
      <c r="J4" s="60" t="s">
        <v>89</v>
      </c>
      <c r="K4" s="60" t="s">
        <v>90</v>
      </c>
    </row>
    <row r="5" spans="1:11" x14ac:dyDescent="0.25">
      <c r="A5" s="9" t="s">
        <v>58</v>
      </c>
      <c r="B5" s="26" t="s">
        <v>40</v>
      </c>
      <c r="C5" s="24">
        <v>2428</v>
      </c>
      <c r="D5" s="24">
        <v>4179</v>
      </c>
      <c r="E5" s="24">
        <v>83</v>
      </c>
      <c r="F5" s="24">
        <v>31</v>
      </c>
      <c r="G5" s="24">
        <v>93</v>
      </c>
      <c r="H5" s="24">
        <f>C5+D5+E5+F5</f>
        <v>6721</v>
      </c>
      <c r="I5" s="24">
        <f>G5+H5</f>
        <v>6814</v>
      </c>
      <c r="J5" s="33">
        <f>H5/I5</f>
        <v>0.98635162899911943</v>
      </c>
      <c r="K5" s="33">
        <f>J5/SUM($J$5:$J$18)</f>
        <v>7.4932063048965963E-2</v>
      </c>
    </row>
    <row r="6" spans="1:11" x14ac:dyDescent="0.25">
      <c r="A6" s="9" t="s">
        <v>59</v>
      </c>
      <c r="B6" s="26" t="s">
        <v>10</v>
      </c>
      <c r="C6" s="24">
        <v>2717</v>
      </c>
      <c r="D6" s="24">
        <v>3607</v>
      </c>
      <c r="E6" s="24">
        <v>11</v>
      </c>
      <c r="F6" s="24">
        <v>37</v>
      </c>
      <c r="G6" s="24">
        <v>787</v>
      </c>
      <c r="H6" s="24">
        <f t="shared" ref="H6:H18" si="0">C6+D6+E6+F6</f>
        <v>6372</v>
      </c>
      <c r="I6" s="24">
        <f t="shared" ref="I6:I18" si="1">G6+H6</f>
        <v>7159</v>
      </c>
      <c r="J6" s="33">
        <f t="shared" ref="J6:J18" si="2">H6/I6</f>
        <v>0.89006844531359131</v>
      </c>
      <c r="K6" s="33">
        <f t="shared" ref="K6:K18" si="3">J6/SUM($J$5:$J$18)</f>
        <v>6.7617534053053902E-2</v>
      </c>
    </row>
    <row r="7" spans="1:11" x14ac:dyDescent="0.25">
      <c r="A7" s="9" t="s">
        <v>60</v>
      </c>
      <c r="B7" s="26" t="s">
        <v>32</v>
      </c>
      <c r="C7" s="24">
        <v>1653</v>
      </c>
      <c r="D7" s="24">
        <v>3509</v>
      </c>
      <c r="E7" s="24">
        <v>3</v>
      </c>
      <c r="F7" s="24">
        <v>1134</v>
      </c>
      <c r="G7" s="24">
        <v>250</v>
      </c>
      <c r="H7" s="24">
        <f t="shared" si="0"/>
        <v>6299</v>
      </c>
      <c r="I7" s="24">
        <f t="shared" si="1"/>
        <v>6549</v>
      </c>
      <c r="J7" s="33">
        <f t="shared" si="2"/>
        <v>0.96182623301267367</v>
      </c>
      <c r="K7" s="33">
        <f t="shared" si="3"/>
        <v>7.3068895326292849E-2</v>
      </c>
    </row>
    <row r="8" spans="1:11" x14ac:dyDescent="0.25">
      <c r="A8" s="9" t="s">
        <v>87</v>
      </c>
      <c r="B8" s="26" t="s">
        <v>54</v>
      </c>
      <c r="C8" s="24">
        <v>181</v>
      </c>
      <c r="D8" s="24">
        <v>450</v>
      </c>
      <c r="E8" s="24">
        <v>6</v>
      </c>
      <c r="F8" s="24">
        <v>1</v>
      </c>
      <c r="G8" s="24">
        <v>1</v>
      </c>
      <c r="H8" s="24">
        <f t="shared" si="0"/>
        <v>638</v>
      </c>
      <c r="I8" s="24">
        <f t="shared" si="1"/>
        <v>639</v>
      </c>
      <c r="J8" s="33">
        <f t="shared" si="2"/>
        <v>0.99843505477308292</v>
      </c>
      <c r="K8" s="33">
        <f t="shared" si="3"/>
        <v>7.5850027794318403E-2</v>
      </c>
    </row>
    <row r="9" spans="1:11" x14ac:dyDescent="0.25">
      <c r="A9" s="9" t="s">
        <v>61</v>
      </c>
      <c r="B9" s="26" t="s">
        <v>20</v>
      </c>
      <c r="C9" s="24">
        <v>3448</v>
      </c>
      <c r="D9" s="24">
        <v>6371</v>
      </c>
      <c r="E9" s="24">
        <v>54</v>
      </c>
      <c r="F9" s="24">
        <v>244</v>
      </c>
      <c r="G9" s="24">
        <v>670</v>
      </c>
      <c r="H9" s="24">
        <f t="shared" si="0"/>
        <v>10117</v>
      </c>
      <c r="I9" s="24">
        <f t="shared" si="1"/>
        <v>10787</v>
      </c>
      <c r="J9" s="33">
        <f t="shared" si="2"/>
        <v>0.93788819875776397</v>
      </c>
      <c r="K9" s="33">
        <f t="shared" si="3"/>
        <v>7.1250348837068364E-2</v>
      </c>
    </row>
    <row r="10" spans="1:11" x14ac:dyDescent="0.25">
      <c r="A10" s="9" t="s">
        <v>62</v>
      </c>
      <c r="B10" s="26" t="s">
        <v>13</v>
      </c>
      <c r="C10" s="24">
        <v>1443</v>
      </c>
      <c r="D10" s="24">
        <v>4732</v>
      </c>
      <c r="E10" s="24">
        <v>18</v>
      </c>
      <c r="F10" s="24">
        <v>476</v>
      </c>
      <c r="G10" s="24">
        <v>736</v>
      </c>
      <c r="H10" s="24">
        <f t="shared" si="0"/>
        <v>6669</v>
      </c>
      <c r="I10" s="24">
        <f t="shared" si="1"/>
        <v>7405</v>
      </c>
      <c r="J10" s="33">
        <f t="shared" si="2"/>
        <v>0.90060769750168801</v>
      </c>
      <c r="K10" s="33">
        <f t="shared" si="3"/>
        <v>6.8418189606539198E-2</v>
      </c>
    </row>
    <row r="11" spans="1:11" x14ac:dyDescent="0.25">
      <c r="A11" s="9" t="s">
        <v>63</v>
      </c>
      <c r="B11" s="26" t="s">
        <v>46</v>
      </c>
      <c r="C11" s="24">
        <v>4523</v>
      </c>
      <c r="D11" s="24">
        <v>3923</v>
      </c>
      <c r="E11" s="24">
        <v>55</v>
      </c>
      <c r="F11" s="24">
        <v>134</v>
      </c>
      <c r="G11" s="24">
        <v>154</v>
      </c>
      <c r="H11" s="24">
        <f t="shared" si="0"/>
        <v>8635</v>
      </c>
      <c r="I11" s="24">
        <f t="shared" si="1"/>
        <v>8789</v>
      </c>
      <c r="J11" s="33">
        <f t="shared" si="2"/>
        <v>0.98247809762202754</v>
      </c>
      <c r="K11" s="33">
        <f t="shared" si="3"/>
        <v>7.4637795073087099E-2</v>
      </c>
    </row>
    <row r="12" spans="1:11" x14ac:dyDescent="0.25">
      <c r="A12" s="9" t="s">
        <v>64</v>
      </c>
      <c r="B12" s="26" t="s">
        <v>24</v>
      </c>
      <c r="C12" s="24">
        <v>1510</v>
      </c>
      <c r="D12" s="24">
        <v>1847</v>
      </c>
      <c r="E12" s="24">
        <v>10</v>
      </c>
      <c r="F12" s="24">
        <v>1</v>
      </c>
      <c r="G12" s="24">
        <v>352</v>
      </c>
      <c r="H12" s="24">
        <f t="shared" si="0"/>
        <v>3368</v>
      </c>
      <c r="I12" s="24">
        <f t="shared" si="1"/>
        <v>3720</v>
      </c>
      <c r="J12" s="33">
        <f t="shared" si="2"/>
        <v>0.90537634408602152</v>
      </c>
      <c r="K12" s="33">
        <f t="shared" si="3"/>
        <v>6.8780458513498982E-2</v>
      </c>
    </row>
    <row r="13" spans="1:11" x14ac:dyDescent="0.25">
      <c r="A13" s="9" t="s">
        <v>88</v>
      </c>
      <c r="B13" s="26" t="s">
        <v>50</v>
      </c>
      <c r="C13" s="24">
        <v>2467</v>
      </c>
      <c r="D13" s="24">
        <v>2525</v>
      </c>
      <c r="E13" s="24">
        <v>395</v>
      </c>
      <c r="F13" s="24">
        <v>64</v>
      </c>
      <c r="G13" s="24">
        <v>505</v>
      </c>
      <c r="H13" s="24">
        <f t="shared" si="0"/>
        <v>5451</v>
      </c>
      <c r="I13" s="24">
        <f t="shared" si="1"/>
        <v>5956</v>
      </c>
      <c r="J13" s="33">
        <f t="shared" si="2"/>
        <v>0.91521155137676291</v>
      </c>
      <c r="K13" s="33">
        <f t="shared" si="3"/>
        <v>6.9527628540031319E-2</v>
      </c>
    </row>
    <row r="14" spans="1:11" x14ac:dyDescent="0.25">
      <c r="A14" s="9" t="s">
        <v>65</v>
      </c>
      <c r="B14" s="26" t="s">
        <v>44</v>
      </c>
      <c r="C14" s="24">
        <v>2009</v>
      </c>
      <c r="D14" s="24">
        <v>4010</v>
      </c>
      <c r="E14" s="24">
        <v>171</v>
      </c>
      <c r="F14" s="24">
        <v>162</v>
      </c>
      <c r="G14" s="24">
        <v>229</v>
      </c>
      <c r="H14" s="24">
        <f t="shared" si="0"/>
        <v>6352</v>
      </c>
      <c r="I14" s="24">
        <f t="shared" si="1"/>
        <v>6581</v>
      </c>
      <c r="J14" s="33">
        <f t="shared" si="2"/>
        <v>0.96520285670870687</v>
      </c>
      <c r="K14" s="33">
        <f t="shared" si="3"/>
        <v>7.3325413764793873E-2</v>
      </c>
    </row>
    <row r="15" spans="1:11" x14ac:dyDescent="0.25">
      <c r="A15" s="9" t="s">
        <v>66</v>
      </c>
      <c r="B15" s="26" t="s">
        <v>28</v>
      </c>
      <c r="C15" s="24">
        <v>3729</v>
      </c>
      <c r="D15" s="24">
        <v>5585</v>
      </c>
      <c r="E15" s="24">
        <v>200</v>
      </c>
      <c r="F15" s="24">
        <v>36</v>
      </c>
      <c r="G15" s="24">
        <v>866</v>
      </c>
      <c r="H15" s="24">
        <f t="shared" si="0"/>
        <v>9550</v>
      </c>
      <c r="I15" s="24">
        <f t="shared" si="1"/>
        <v>10416</v>
      </c>
      <c r="J15" s="33">
        <f t="shared" si="2"/>
        <v>0.91685867895545314</v>
      </c>
      <c r="K15" s="33">
        <f t="shared" si="3"/>
        <v>6.9652759035026643E-2</v>
      </c>
    </row>
    <row r="16" spans="1:11" x14ac:dyDescent="0.25">
      <c r="A16" s="9" t="s">
        <v>67</v>
      </c>
      <c r="B16" s="26" t="s">
        <v>36</v>
      </c>
      <c r="C16" s="24">
        <v>1912</v>
      </c>
      <c r="D16" s="24">
        <v>6132</v>
      </c>
      <c r="E16" s="24">
        <v>13</v>
      </c>
      <c r="F16" s="24">
        <v>1348</v>
      </c>
      <c r="G16" s="24">
        <v>340</v>
      </c>
      <c r="H16" s="24">
        <f t="shared" si="0"/>
        <v>9405</v>
      </c>
      <c r="I16" s="24">
        <f t="shared" si="1"/>
        <v>9745</v>
      </c>
      <c r="J16" s="33">
        <f t="shared" si="2"/>
        <v>0.96511031298101591</v>
      </c>
      <c r="K16" s="33">
        <f t="shared" si="3"/>
        <v>7.3318383318212499E-2</v>
      </c>
    </row>
    <row r="17" spans="1:11" x14ac:dyDescent="0.25">
      <c r="A17" s="9" t="s">
        <v>68</v>
      </c>
      <c r="B17" s="26" t="s">
        <v>7</v>
      </c>
      <c r="C17" s="24">
        <v>2764</v>
      </c>
      <c r="D17" s="24">
        <v>9627</v>
      </c>
      <c r="E17" s="24">
        <v>240</v>
      </c>
      <c r="F17" s="24">
        <v>198</v>
      </c>
      <c r="G17" s="24">
        <v>1965</v>
      </c>
      <c r="H17" s="24">
        <f t="shared" si="0"/>
        <v>12829</v>
      </c>
      <c r="I17" s="24">
        <f t="shared" si="1"/>
        <v>14794</v>
      </c>
      <c r="J17" s="33">
        <f t="shared" si="2"/>
        <v>0.86717588211437069</v>
      </c>
      <c r="K17" s="33">
        <f t="shared" si="3"/>
        <v>6.5878410865578566E-2</v>
      </c>
    </row>
    <row r="18" spans="1:11" x14ac:dyDescent="0.25">
      <c r="A18" s="9" t="s">
        <v>69</v>
      </c>
      <c r="B18" s="9" t="s">
        <v>17</v>
      </c>
      <c r="C18" s="24">
        <v>3259</v>
      </c>
      <c r="D18" s="24">
        <v>6344</v>
      </c>
      <c r="E18" s="24">
        <v>551</v>
      </c>
      <c r="F18" s="24">
        <v>178</v>
      </c>
      <c r="G18" s="24">
        <v>312</v>
      </c>
      <c r="H18" s="24">
        <f t="shared" si="0"/>
        <v>10332</v>
      </c>
      <c r="I18" s="24">
        <f t="shared" si="1"/>
        <v>10644</v>
      </c>
      <c r="J18" s="33">
        <f t="shared" si="2"/>
        <v>0.97068771138669674</v>
      </c>
      <c r="K18" s="33">
        <f t="shared" si="3"/>
        <v>7.3742092223532354E-2</v>
      </c>
    </row>
    <row r="19" spans="1:11" x14ac:dyDescent="0.25">
      <c r="A19" s="22"/>
      <c r="B19" s="23" t="s">
        <v>99</v>
      </c>
      <c r="C19" s="25">
        <v>34043</v>
      </c>
      <c r="D19" s="25">
        <v>62841</v>
      </c>
      <c r="E19" s="25">
        <v>1810</v>
      </c>
      <c r="F19" s="25">
        <v>4044</v>
      </c>
      <c r="G19" s="25">
        <v>7260</v>
      </c>
      <c r="H19" s="25">
        <f t="shared" ref="H19:I19" si="4">SUM(H5:H18)</f>
        <v>102738</v>
      </c>
      <c r="I19" s="25">
        <f t="shared" si="4"/>
        <v>109998</v>
      </c>
      <c r="J19" s="23">
        <f>SUM(J5:J18)</f>
        <v>13.163278693588975</v>
      </c>
      <c r="K19" s="27">
        <f>SUM(K5:K18)</f>
        <v>1.0000000000000002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7"/>
  <sheetViews>
    <sheetView workbookViewId="0">
      <selection activeCell="G2" sqref="A2:G2"/>
    </sheetView>
  </sheetViews>
  <sheetFormatPr baseColWidth="10" defaultRowHeight="15" x14ac:dyDescent="0.25"/>
  <cols>
    <col min="2" max="3" width="16.7109375" bestFit="1" customWidth="1"/>
    <col min="4" max="4" width="15.140625" bestFit="1" customWidth="1"/>
    <col min="5" max="5" width="12.7109375" bestFit="1" customWidth="1"/>
    <col min="6" max="6" width="13.42578125" bestFit="1" customWidth="1"/>
    <col min="8" max="8" width="12.5703125" bestFit="1" customWidth="1"/>
    <col min="9" max="9" width="10.85546875" customWidth="1"/>
    <col min="11" max="11" width="12.5703125" customWidth="1"/>
  </cols>
  <sheetData>
    <row r="2" spans="1:11" x14ac:dyDescent="0.25">
      <c r="A2" s="62" t="s">
        <v>98</v>
      </c>
      <c r="B2" s="62" t="s">
        <v>0</v>
      </c>
      <c r="C2" s="62" t="s">
        <v>1</v>
      </c>
      <c r="D2" s="62" t="s">
        <v>2</v>
      </c>
      <c r="E2" s="62" t="s">
        <v>3</v>
      </c>
      <c r="F2" s="62" t="s">
        <v>5</v>
      </c>
      <c r="G2" s="62" t="s">
        <v>75</v>
      </c>
    </row>
    <row r="3" spans="1:11" x14ac:dyDescent="0.25">
      <c r="A3" s="9" t="s">
        <v>40</v>
      </c>
      <c r="B3" s="9" t="s">
        <v>41</v>
      </c>
      <c r="C3" s="9" t="s">
        <v>42</v>
      </c>
      <c r="D3" s="9" t="s">
        <v>6</v>
      </c>
      <c r="E3" s="9" t="s">
        <v>43</v>
      </c>
      <c r="F3" s="10">
        <v>1780.99</v>
      </c>
      <c r="G3" s="9">
        <f>F3/$F$17</f>
        <v>0.12823505524002626</v>
      </c>
      <c r="I3" s="37"/>
      <c r="K3" s="38"/>
    </row>
    <row r="4" spans="1:11" x14ac:dyDescent="0.25">
      <c r="A4" s="9" t="s">
        <v>10</v>
      </c>
      <c r="B4" s="9" t="s">
        <v>11</v>
      </c>
      <c r="C4" s="9" t="s">
        <v>12</v>
      </c>
      <c r="D4" s="9" t="s">
        <v>6</v>
      </c>
      <c r="E4" s="9" t="s">
        <v>12</v>
      </c>
      <c r="F4" s="10">
        <v>1368.17</v>
      </c>
      <c r="G4" s="9">
        <f t="shared" ref="G4:G16" si="0">F4/$F$17</f>
        <v>9.8511140167966554E-2</v>
      </c>
      <c r="I4" s="37"/>
      <c r="K4" s="38"/>
    </row>
    <row r="5" spans="1:11" x14ac:dyDescent="0.25">
      <c r="A5" s="9" t="s">
        <v>32</v>
      </c>
      <c r="B5" s="9" t="s">
        <v>33</v>
      </c>
      <c r="C5" s="9" t="s">
        <v>34</v>
      </c>
      <c r="D5" s="9" t="s">
        <v>6</v>
      </c>
      <c r="E5" s="9" t="s">
        <v>35</v>
      </c>
      <c r="F5" s="10">
        <v>803.72</v>
      </c>
      <c r="G5" s="9">
        <f t="shared" si="0"/>
        <v>5.7869543679365927E-2</v>
      </c>
      <c r="I5" s="37"/>
      <c r="K5" s="38"/>
    </row>
    <row r="6" spans="1:11" x14ac:dyDescent="0.25">
      <c r="A6" s="9" t="s">
        <v>20</v>
      </c>
      <c r="B6" s="9" t="s">
        <v>21</v>
      </c>
      <c r="C6" s="9" t="s">
        <v>22</v>
      </c>
      <c r="D6" s="9" t="s">
        <v>6</v>
      </c>
      <c r="E6" s="9" t="s">
        <v>23</v>
      </c>
      <c r="F6" s="10">
        <v>689.95</v>
      </c>
      <c r="G6" s="9">
        <f t="shared" si="0"/>
        <v>4.9677862516272486E-2</v>
      </c>
      <c r="I6" s="37"/>
      <c r="K6" s="38"/>
    </row>
    <row r="7" spans="1:11" x14ac:dyDescent="0.25">
      <c r="A7" s="9" t="s">
        <v>13</v>
      </c>
      <c r="B7" s="9" t="s">
        <v>14</v>
      </c>
      <c r="C7" s="9" t="s">
        <v>15</v>
      </c>
      <c r="D7" s="9" t="s">
        <v>6</v>
      </c>
      <c r="E7" s="9" t="s">
        <v>16</v>
      </c>
      <c r="F7" s="10">
        <v>470.33</v>
      </c>
      <c r="G7" s="9">
        <f t="shared" si="0"/>
        <v>3.3864756978445446E-2</v>
      </c>
      <c r="I7" s="37"/>
      <c r="K7" s="38"/>
    </row>
    <row r="8" spans="1:11" x14ac:dyDescent="0.25">
      <c r="A8" s="9" t="s">
        <v>46</v>
      </c>
      <c r="B8" s="9" t="s">
        <v>47</v>
      </c>
      <c r="C8" s="9" t="s">
        <v>48</v>
      </c>
      <c r="D8" s="9" t="s">
        <v>6</v>
      </c>
      <c r="E8" s="9" t="s">
        <v>49</v>
      </c>
      <c r="F8" s="10">
        <v>931.87</v>
      </c>
      <c r="G8" s="9">
        <f t="shared" si="0"/>
        <v>6.7096615324355152E-2</v>
      </c>
      <c r="I8" s="37"/>
      <c r="K8" s="38"/>
    </row>
    <row r="9" spans="1:11" x14ac:dyDescent="0.25">
      <c r="A9" s="9" t="s">
        <v>24</v>
      </c>
      <c r="B9" s="9" t="s">
        <v>25</v>
      </c>
      <c r="C9" s="9" t="s">
        <v>26</v>
      </c>
      <c r="D9" s="9" t="s">
        <v>6</v>
      </c>
      <c r="E9" s="9" t="s">
        <v>27</v>
      </c>
      <c r="F9" s="10">
        <v>3003.69</v>
      </c>
      <c r="G9" s="9">
        <f t="shared" si="0"/>
        <v>0.21627204704906514</v>
      </c>
      <c r="I9" s="37"/>
      <c r="K9" s="38"/>
    </row>
    <row r="10" spans="1:11" x14ac:dyDescent="0.25">
      <c r="A10" s="9" t="s">
        <v>44</v>
      </c>
      <c r="B10" s="9" t="s">
        <v>45</v>
      </c>
      <c r="C10" s="9" t="s">
        <v>9</v>
      </c>
      <c r="D10" s="9" t="s">
        <v>6</v>
      </c>
      <c r="E10" s="9" t="s">
        <v>9</v>
      </c>
      <c r="F10" s="10">
        <v>115.95</v>
      </c>
      <c r="G10" s="9">
        <f t="shared" si="0"/>
        <v>8.3486457841318844E-3</v>
      </c>
      <c r="I10" s="37"/>
      <c r="K10" s="38"/>
    </row>
    <row r="11" spans="1:11" x14ac:dyDescent="0.25">
      <c r="A11" s="9" t="s">
        <v>28</v>
      </c>
      <c r="B11" s="9" t="s">
        <v>29</v>
      </c>
      <c r="C11" s="9" t="s">
        <v>30</v>
      </c>
      <c r="D11" s="9" t="s">
        <v>6</v>
      </c>
      <c r="E11" s="9" t="s">
        <v>31</v>
      </c>
      <c r="F11" s="10">
        <v>256.86</v>
      </c>
      <c r="G11" s="9">
        <f t="shared" si="0"/>
        <v>1.8494464477034206E-2</v>
      </c>
      <c r="I11" s="37"/>
      <c r="K11" s="38"/>
    </row>
    <row r="12" spans="1:11" x14ac:dyDescent="0.25">
      <c r="A12" s="9" t="s">
        <v>36</v>
      </c>
      <c r="B12" s="9" t="s">
        <v>37</v>
      </c>
      <c r="C12" s="9" t="s">
        <v>38</v>
      </c>
      <c r="D12" s="9" t="s">
        <v>6</v>
      </c>
      <c r="E12" s="9" t="s">
        <v>39</v>
      </c>
      <c r="F12" s="10">
        <v>2059.04</v>
      </c>
      <c r="G12" s="9">
        <f t="shared" si="0"/>
        <v>0.14825524463440204</v>
      </c>
      <c r="I12" s="37"/>
      <c r="K12" s="38"/>
    </row>
    <row r="13" spans="1:11" x14ac:dyDescent="0.25">
      <c r="A13" s="9" t="s">
        <v>7</v>
      </c>
      <c r="B13" s="9" t="s">
        <v>8</v>
      </c>
      <c r="C13" s="9" t="s">
        <v>9</v>
      </c>
      <c r="D13" s="9" t="s">
        <v>6</v>
      </c>
      <c r="E13" s="9" t="s">
        <v>9</v>
      </c>
      <c r="F13" s="10">
        <v>115.95</v>
      </c>
      <c r="G13" s="9">
        <f t="shared" si="0"/>
        <v>8.3486457841318844E-3</v>
      </c>
      <c r="I13" s="37"/>
      <c r="K13" s="38"/>
    </row>
    <row r="14" spans="1:11" x14ac:dyDescent="0.25">
      <c r="A14" s="9" t="s">
        <v>17</v>
      </c>
      <c r="B14" s="9" t="s">
        <v>70</v>
      </c>
      <c r="C14" s="9" t="s">
        <v>18</v>
      </c>
      <c r="D14" s="9" t="s">
        <v>6</v>
      </c>
      <c r="E14" s="9" t="s">
        <v>19</v>
      </c>
      <c r="F14" s="10">
        <v>499.75</v>
      </c>
      <c r="G14" s="9">
        <f t="shared" si="0"/>
        <v>3.5983059341267006E-2</v>
      </c>
      <c r="I14" s="37"/>
      <c r="K14" s="38"/>
    </row>
    <row r="15" spans="1:11" x14ac:dyDescent="0.25">
      <c r="A15" s="9" t="s">
        <v>50</v>
      </c>
      <c r="B15" s="9" t="s">
        <v>51</v>
      </c>
      <c r="C15" s="9" t="s">
        <v>52</v>
      </c>
      <c r="D15" s="9" t="s">
        <v>6</v>
      </c>
      <c r="E15" s="9" t="s">
        <v>53</v>
      </c>
      <c r="F15" s="10">
        <v>83.73</v>
      </c>
      <c r="G15" s="9">
        <f t="shared" si="0"/>
        <v>6.0287374860315893E-3</v>
      </c>
      <c r="I15" s="37"/>
      <c r="K15" s="38"/>
    </row>
    <row r="16" spans="1:11" x14ac:dyDescent="0.25">
      <c r="A16" s="9" t="s">
        <v>54</v>
      </c>
      <c r="B16" s="9" t="s">
        <v>55</v>
      </c>
      <c r="C16" s="9" t="s">
        <v>56</v>
      </c>
      <c r="D16" s="9" t="s">
        <v>6</v>
      </c>
      <c r="E16" s="9" t="s">
        <v>57</v>
      </c>
      <c r="F16" s="10">
        <v>1708.48</v>
      </c>
      <c r="G16" s="9">
        <f t="shared" si="0"/>
        <v>0.12301418153750447</v>
      </c>
      <c r="I16" s="37"/>
      <c r="K16" s="38"/>
    </row>
    <row r="17" spans="6:8" x14ac:dyDescent="0.25">
      <c r="F17" s="11">
        <f>SUM(F3:F16)</f>
        <v>13888.48</v>
      </c>
      <c r="G17" s="6">
        <f>SUM(G3:G16)</f>
        <v>1</v>
      </c>
      <c r="H17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Distribucion ESR Estatales 2024</vt:lpstr>
      <vt:lpstr>Subvencionados U.Estatales 2023</vt:lpstr>
      <vt:lpstr>KM 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Rosa Roman Parra</cp:lastModifiedBy>
  <cp:lastPrinted>2024-02-05T18:47:32Z</cp:lastPrinted>
  <dcterms:created xsi:type="dcterms:W3CDTF">2017-03-28T16:09:36Z</dcterms:created>
  <dcterms:modified xsi:type="dcterms:W3CDTF">2024-02-05T21:24:16Z</dcterms:modified>
</cp:coreProperties>
</file>