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Ministerio de Educación\Desktop\2024\"/>
    </mc:Choice>
  </mc:AlternateContent>
  <xr:revisionPtr revIDLastSave="0" documentId="13_ncr:1_{EE56C1C4-ADEC-48BB-BEE3-31FD5676289E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Distribución ESR G9 2024" sheetId="1" r:id="rId1"/>
    <sheet name="Subvencionados G-9 2023" sheetId="2" r:id="rId2"/>
    <sheet name="KM RM" sheetId="3" r:id="rId3"/>
  </sheets>
  <definedNames>
    <definedName name="_xlnm._FilterDatabase" localSheetId="0" hidden="1">'Distribución ESR G9 2024'!$A$10:$I$18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1" l="1"/>
  <c r="R13" i="1"/>
  <c r="R14" i="1"/>
  <c r="R15" i="1"/>
  <c r="R16" i="1"/>
  <c r="R17" i="1"/>
  <c r="R18" i="1"/>
  <c r="R11" i="1"/>
  <c r="Q12" i="1"/>
  <c r="Q13" i="1"/>
  <c r="Q14" i="1"/>
  <c r="Q15" i="1"/>
  <c r="Q16" i="1"/>
  <c r="Q17" i="1"/>
  <c r="Q18" i="1"/>
  <c r="Q11" i="1"/>
  <c r="G23" i="1"/>
  <c r="G22" i="1"/>
  <c r="O12" i="1" l="1"/>
  <c r="O13" i="1"/>
  <c r="O14" i="1"/>
  <c r="O15" i="1"/>
  <c r="O16" i="1"/>
  <c r="O17" i="1"/>
  <c r="O18" i="1"/>
  <c r="O11" i="1"/>
  <c r="R19" i="1"/>
  <c r="R20" i="1" s="1"/>
  <c r="Q19" i="1"/>
  <c r="Q20" i="1" s="1"/>
  <c r="S12" i="1"/>
  <c r="S13" i="1"/>
  <c r="S14" i="1"/>
  <c r="S15" i="1"/>
  <c r="S16" i="1"/>
  <c r="S17" i="1"/>
  <c r="S18" i="1"/>
  <c r="S19" i="1"/>
  <c r="S11" i="1"/>
  <c r="G19" i="1" l="1"/>
  <c r="C23" i="1"/>
  <c r="G4" i="3"/>
  <c r="G5" i="3"/>
  <c r="G6" i="3"/>
  <c r="G7" i="3"/>
  <c r="G8" i="3"/>
  <c r="G9" i="3"/>
  <c r="G10" i="3"/>
  <c r="G3" i="3"/>
  <c r="G11" i="3"/>
  <c r="F19" i="1"/>
  <c r="I19" i="1"/>
  <c r="C27" i="1" l="1"/>
  <c r="M12" i="1" s="1"/>
  <c r="H9" i="2"/>
  <c r="H11" i="2"/>
  <c r="H8" i="2"/>
  <c r="H12" i="2"/>
  <c r="I6" i="2"/>
  <c r="I5" i="2"/>
  <c r="I7" i="2"/>
  <c r="I10" i="2"/>
  <c r="H6" i="2"/>
  <c r="I12" i="2"/>
  <c r="J12" i="2" s="1"/>
  <c r="I11" i="2"/>
  <c r="J11" i="2" s="1"/>
  <c r="I9" i="2"/>
  <c r="J9" i="2" s="1"/>
  <c r="I8" i="2"/>
  <c r="H10" i="2"/>
  <c r="H7" i="2"/>
  <c r="H5" i="2"/>
  <c r="M11" i="1"/>
  <c r="M15" i="1"/>
  <c r="M18" i="1"/>
  <c r="M14" i="1"/>
  <c r="C24" i="1"/>
  <c r="J18" i="1" s="1"/>
  <c r="M17" i="1"/>
  <c r="M13" i="1"/>
  <c r="M16" i="1"/>
  <c r="C25" i="1"/>
  <c r="K14" i="1" s="1"/>
  <c r="C26" i="1"/>
  <c r="J8" i="2" l="1"/>
  <c r="J15" i="1"/>
  <c r="J11" i="1"/>
  <c r="K13" i="1"/>
  <c r="J16" i="1"/>
  <c r="C28" i="1"/>
  <c r="K17" i="1"/>
  <c r="J17" i="1"/>
  <c r="J6" i="2"/>
  <c r="J5" i="2"/>
  <c r="J7" i="2"/>
  <c r="J10" i="2"/>
  <c r="I13" i="2"/>
  <c r="H13" i="2"/>
  <c r="K11" i="1"/>
  <c r="K18" i="1"/>
  <c r="J13" i="1"/>
  <c r="J14" i="1"/>
  <c r="J12" i="1"/>
  <c r="K15" i="1"/>
  <c r="K16" i="1"/>
  <c r="K12" i="1"/>
  <c r="J13" i="2" l="1"/>
  <c r="K6" i="2" s="1"/>
  <c r="H12" i="1" s="1"/>
  <c r="L12" i="1" s="1"/>
  <c r="J19" i="1"/>
  <c r="K7" i="2"/>
  <c r="H13" i="1" s="1"/>
  <c r="L13" i="1" s="1"/>
  <c r="N13" i="1" s="1"/>
  <c r="K12" i="2"/>
  <c r="H18" i="1" s="1"/>
  <c r="L18" i="1" s="1"/>
  <c r="N18" i="1" s="1"/>
  <c r="K10" i="2"/>
  <c r="H16" i="1" s="1"/>
  <c r="L16" i="1" s="1"/>
  <c r="K9" i="2"/>
  <c r="H15" i="1" s="1"/>
  <c r="L15" i="1" s="1"/>
  <c r="N15" i="1" s="1"/>
  <c r="K8" i="2"/>
  <c r="H14" i="1" s="1"/>
  <c r="L14" i="1" s="1"/>
  <c r="N14" i="1" s="1"/>
  <c r="K11" i="2"/>
  <c r="H17" i="1" s="1"/>
  <c r="L17" i="1" s="1"/>
  <c r="N17" i="1" s="1"/>
  <c r="K5" i="2"/>
  <c r="H11" i="1" s="1"/>
  <c r="L11" i="1" s="1"/>
  <c r="N11" i="1" s="1"/>
  <c r="K19" i="1"/>
  <c r="M19" i="1"/>
  <c r="N12" i="1"/>
  <c r="K13" i="2" l="1"/>
  <c r="L19" i="1"/>
  <c r="H19" i="1"/>
  <c r="N16" i="1"/>
  <c r="N19" i="1" l="1"/>
  <c r="O19" i="1" l="1"/>
  <c r="P11" i="1" s="1"/>
  <c r="O20" i="1" l="1"/>
  <c r="P15" i="1"/>
  <c r="P18" i="1"/>
  <c r="P14" i="1"/>
  <c r="P12" i="1"/>
  <c r="P17" i="1"/>
  <c r="P13" i="1"/>
  <c r="P16" i="1"/>
  <c r="P19" i="1" l="1"/>
</calcChain>
</file>

<file path=xl/sharedStrings.xml><?xml version="1.0" encoding="utf-8"?>
<sst xmlns="http://schemas.openxmlformats.org/spreadsheetml/2006/main" count="155" uniqueCount="83">
  <si>
    <t>Instituciones</t>
  </si>
  <si>
    <t>Región</t>
  </si>
  <si>
    <t>Tipo IES</t>
  </si>
  <si>
    <t>Ciudad</t>
  </si>
  <si>
    <t>Universidad Regional</t>
  </si>
  <si>
    <t>Km RM</t>
  </si>
  <si>
    <t>CRUCH-PRIVADA</t>
  </si>
  <si>
    <t>UCO</t>
  </si>
  <si>
    <t>U. de Concepción</t>
  </si>
  <si>
    <t>Bío-Bío</t>
  </si>
  <si>
    <t>Concepción</t>
  </si>
  <si>
    <t>UCV</t>
  </si>
  <si>
    <t>P.U. Católica de Valparaíso</t>
  </si>
  <si>
    <t>Valparaíso</t>
  </si>
  <si>
    <t>FSM</t>
  </si>
  <si>
    <t>U. Téc. Federico Sta.Maria</t>
  </si>
  <si>
    <t>AUS</t>
  </si>
  <si>
    <t>U. Austral</t>
  </si>
  <si>
    <t>Los Ríos</t>
  </si>
  <si>
    <t>Valdivia</t>
  </si>
  <si>
    <t>UCN</t>
  </si>
  <si>
    <t>U. Católica del Norte</t>
  </si>
  <si>
    <t>Antofagasta</t>
  </si>
  <si>
    <t>UCM</t>
  </si>
  <si>
    <t>Maule</t>
  </si>
  <si>
    <t>Talca</t>
  </si>
  <si>
    <t>UCT</t>
  </si>
  <si>
    <t>U. Católica de Temuco</t>
  </si>
  <si>
    <t>Araucanía</t>
  </si>
  <si>
    <t>Temuco</t>
  </si>
  <si>
    <t>USC</t>
  </si>
  <si>
    <t>U. C.de la Sant.Concepción</t>
  </si>
  <si>
    <t>PONTIFICIA UNIVERSIDAD CATOLICA DE VALPARAISO</t>
  </si>
  <si>
    <t>UNIVERSIDAD AUSTRAL DE CHILE</t>
  </si>
  <si>
    <t>UNIVERSIDAD CATOLICA DE LA SANTISIMA CONCEPCION</t>
  </si>
  <si>
    <t>UNIVERSIDAD CATOLICA DE TEMUCO</t>
  </si>
  <si>
    <t>UNIVERSIDAD CATOLICA DEL MAULE</t>
  </si>
  <si>
    <t>UNIVERSIDAD CATOLICA DEL NORTE</t>
  </si>
  <si>
    <t>UNIVERSIDAD DE CONCEPCION</t>
  </si>
  <si>
    <t>UNIVERSIDAD TECNICA FEDERICO SANTA MARIA</t>
  </si>
  <si>
    <t>Suma de TOTAL TES</t>
  </si>
  <si>
    <t>U. Católica del Maule</t>
  </si>
  <si>
    <t>% Matrícula Subvencionada</t>
  </si>
  <si>
    <t>Total</t>
  </si>
  <si>
    <t>% KM RM</t>
  </si>
  <si>
    <t>Código</t>
  </si>
  <si>
    <t>% distribución</t>
  </si>
  <si>
    <t>KM RM</t>
  </si>
  <si>
    <t>% Distribución</t>
  </si>
  <si>
    <t>Universidades Privadas CRUCH</t>
  </si>
  <si>
    <t>Suma de TES MUNICIPAL</t>
  </si>
  <si>
    <t>Suma de TES PARTICULAR SUBVENCIONADO</t>
  </si>
  <si>
    <t>Suma de TES PARTICULAR PAGADO</t>
  </si>
  <si>
    <t>Suma de TES CORP_ DE ADM_ DELEGADA</t>
  </si>
  <si>
    <t>% Matrícula Subvencionada por IES</t>
  </si>
  <si>
    <t>% Ajustado</t>
  </si>
  <si>
    <t>Transferencias Corrientes</t>
  </si>
  <si>
    <t>Transferencias de Capital</t>
  </si>
  <si>
    <t>Suma de TES SERVICIO LOCAL EDUCACION</t>
  </si>
  <si>
    <t>Suma de TOTAL TES Subvencionada</t>
  </si>
  <si>
    <t>Código DFI</t>
  </si>
  <si>
    <t>NIVEL GLOBAL</t>
  </si>
  <si>
    <t>Pregrado</t>
  </si>
  <si>
    <t>TIPO DE PLAN DE LA CARRERA</t>
  </si>
  <si>
    <t>Plan Regular</t>
  </si>
  <si>
    <t>Totales</t>
  </si>
  <si>
    <t>Total con decimales M$</t>
  </si>
  <si>
    <t>Vinculación con el Medio</t>
  </si>
  <si>
    <t>% Matrícula Subvencionada 2023</t>
  </si>
  <si>
    <t>Matrícula Subvencionada 2023</t>
  </si>
  <si>
    <t>Ley de Presupuestos 2024</t>
  </si>
  <si>
    <t>Educación Superior Regional (ESR)</t>
  </si>
  <si>
    <t xml:space="preserve">Universidades CRUCH G9 </t>
  </si>
  <si>
    <t>Miles de pesos</t>
  </si>
  <si>
    <t>Año 2024</t>
  </si>
  <si>
    <t xml:space="preserve"> Febrero 2024</t>
  </si>
  <si>
    <t>Monto 
ESR  
2024
Transferencias Corrientes 
M$</t>
  </si>
  <si>
    <t>Monto 
ESR
2024
Transferencias de Capital
M$</t>
  </si>
  <si>
    <t>Unidad de Anáslisis e Información, DIVIA-SUBESUP</t>
  </si>
  <si>
    <t>Total
ESR
2024
(sin decimales)
M$</t>
  </si>
  <si>
    <t>Programa</t>
  </si>
  <si>
    <t>Asign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</si>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</sst>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  <numFmt numFmtId="166" formatCode="0.000%"/>
    <numFmt numFmtId="167" formatCode="_-* #,##0.0_-;\-* #,##0.0_-;_-* &quot;-&quot;??_-;_-@_-"/>
    <numFmt numFmtId="168" formatCode="0#"/>
    <numFmt numFmtId="169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9"/>
      <color theme="4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/>
    <xf numFmtId="9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/>
    <xf numFmtId="165" fontId="4" fillId="0" borderId="1" xfId="2" applyNumberFormat="1" applyFont="1" applyBorder="1"/>
    <xf numFmtId="41" fontId="4" fillId="0" borderId="1" xfId="3" applyFont="1" applyBorder="1"/>
    <xf numFmtId="0" fontId="3" fillId="0" borderId="1" xfId="0" applyFont="1" applyBorder="1"/>
    <xf numFmtId="41" fontId="3" fillId="0" borderId="1" xfId="3" applyFont="1" applyBorder="1"/>
    <xf numFmtId="9" fontId="3" fillId="0" borderId="1" xfId="1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66" fontId="4" fillId="0" borderId="1" xfId="1" applyNumberFormat="1" applyFont="1" applyBorder="1"/>
    <xf numFmtId="164" fontId="4" fillId="0" borderId="1" xfId="2" applyFont="1" applyBorder="1"/>
    <xf numFmtId="165" fontId="3" fillId="0" borderId="1" xfId="2" applyNumberFormat="1" applyFont="1" applyBorder="1"/>
    <xf numFmtId="164" fontId="3" fillId="0" borderId="1" xfId="2" applyFont="1" applyBorder="1"/>
    <xf numFmtId="10" fontId="4" fillId="2" borderId="1" xfId="1" applyNumberFormat="1" applyFont="1" applyFill="1" applyBorder="1"/>
    <xf numFmtId="164" fontId="3" fillId="2" borderId="1" xfId="2" applyFont="1" applyFill="1" applyBorder="1"/>
    <xf numFmtId="9" fontId="3" fillId="2" borderId="1" xfId="1" applyFont="1" applyFill="1" applyBorder="1"/>
    <xf numFmtId="0" fontId="0" fillId="0" borderId="1" xfId="0" applyBorder="1"/>
    <xf numFmtId="0" fontId="3" fillId="2" borderId="1" xfId="0" applyFont="1" applyFill="1" applyBorder="1"/>
    <xf numFmtId="165" fontId="3" fillId="2" borderId="1" xfId="2" applyNumberFormat="1" applyFont="1" applyFill="1" applyBorder="1"/>
    <xf numFmtId="0" fontId="3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/>
    <xf numFmtId="43" fontId="8" fillId="0" borderId="0" xfId="0" applyNumberFormat="1" applyFont="1"/>
    <xf numFmtId="165" fontId="4" fillId="3" borderId="1" xfId="2" applyNumberFormat="1" applyFont="1" applyFill="1" applyBorder="1"/>
    <xf numFmtId="164" fontId="3" fillId="3" borderId="1" xfId="2" applyFont="1" applyFill="1" applyBorder="1"/>
    <xf numFmtId="0" fontId="8" fillId="0" borderId="0" xfId="0" applyFont="1"/>
    <xf numFmtId="43" fontId="9" fillId="0" borderId="0" xfId="0" applyNumberFormat="1" applyFont="1"/>
    <xf numFmtId="165" fontId="3" fillId="4" borderId="1" xfId="2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/>
    <xf numFmtId="167" fontId="4" fillId="2" borderId="1" xfId="2" applyNumberFormat="1" applyFont="1" applyFill="1" applyBorder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8" fontId="0" fillId="0" borderId="1" xfId="0" applyNumberFormat="1" applyBorder="1"/>
    <xf numFmtId="169" fontId="0" fillId="0" borderId="1" xfId="0" applyNumberFormat="1" applyBorder="1"/>
  </cellXfs>
  <cellStyles count="4">
    <cellStyle name="Millares" xfId="2" builtinId="3"/>
    <cellStyle name="Millares [0]" xfId="3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64824</xdr:colOff>
      <xdr:row>0</xdr:row>
      <xdr:rowOff>52917</xdr:rowOff>
    </xdr:from>
    <xdr:to>
      <xdr:col>1</xdr:col>
      <xdr:colOff>793751</xdr:colOff>
      <xdr:row>0</xdr:row>
      <xdr:rowOff>1205441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05DF9A-5A99-4649-BDE9-15E4E559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24" y="52917"/>
          <a:ext cx="1289844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topLeftCell="A2" zoomScale="90" zoomScaleNormal="90" workbookViewId="0">
      <selection activeCell="O25" sqref="O25"/>
    </sheetView>
  </sheetViews>
  <sheetFormatPr baseColWidth="10" defaultRowHeight="15" x14ac:dyDescent="0.25"/>
  <cols>
    <col min="1" max="1" width="8.42578125" customWidth="1"/>
    <col min="2" max="2" width="24.7109375" bestFit="1" customWidth="1"/>
    <col min="3" max="3" width="12.42578125" bestFit="1" customWidth="1"/>
    <col min="4" max="4" width="15.7109375" bestFit="1" customWidth="1"/>
    <col min="6" max="7" width="9.42578125" customWidth="1"/>
    <col min="8" max="8" width="13" customWidth="1"/>
    <col min="10" max="10" width="11.5703125" bestFit="1" customWidth="1"/>
    <col min="11" max="11" width="11.5703125" customWidth="1"/>
    <col min="12" max="12" width="12.28515625" customWidth="1"/>
    <col min="13" max="13" width="12.5703125" customWidth="1"/>
    <col min="14" max="14" width="13.42578125" bestFit="1" customWidth="1"/>
    <col min="15" max="15" width="13.42578125" customWidth="1"/>
    <col min="16" max="16" width="8.5703125" customWidth="1"/>
    <col min="17" max="18" width="12.140625" customWidth="1"/>
    <col min="19" max="19" width="5.85546875" customWidth="1"/>
  </cols>
  <sheetData>
    <row r="1" spans="1:19" ht="100.5" customHeight="1" x14ac:dyDescent="0.25"/>
    <row r="2" spans="1:19" ht="19.5" x14ac:dyDescent="0.3">
      <c r="A2" s="41" t="s">
        <v>71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9" ht="19.5" x14ac:dyDescent="0.3">
      <c r="A3" s="41" t="s">
        <v>72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9" ht="19.5" x14ac:dyDescent="0.3">
      <c r="A4" s="41" t="s">
        <v>74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9" ht="15.75" x14ac:dyDescent="0.25">
      <c r="A5" s="42" t="s">
        <v>73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9" x14ac:dyDescent="0.25">
      <c r="A6" s="40" t="s">
        <v>78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9" x14ac:dyDescent="0.25">
      <c r="A7" s="40" t="s">
        <v>75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9" spans="1:19" x14ac:dyDescent="0.25">
      <c r="A9" s="3"/>
      <c r="B9" s="5"/>
      <c r="C9" s="3"/>
      <c r="D9" s="3"/>
      <c r="E9" s="3"/>
      <c r="F9" s="1">
        <v>0.25</v>
      </c>
      <c r="G9" s="1">
        <v>0.25</v>
      </c>
      <c r="H9" s="1">
        <v>0.3</v>
      </c>
      <c r="I9" s="1">
        <v>0.2</v>
      </c>
      <c r="J9" s="1">
        <v>0.25</v>
      </c>
      <c r="K9" s="1">
        <v>0.25</v>
      </c>
      <c r="L9" s="1">
        <v>0.3</v>
      </c>
      <c r="M9" s="1">
        <v>0.2</v>
      </c>
      <c r="N9" s="3"/>
      <c r="O9" s="3"/>
      <c r="P9" s="3"/>
    </row>
    <row r="10" spans="1:19" ht="76.5" x14ac:dyDescent="0.25">
      <c r="A10" s="2" t="s">
        <v>45</v>
      </c>
      <c r="B10" s="2" t="s">
        <v>0</v>
      </c>
      <c r="C10" s="2" t="s">
        <v>1</v>
      </c>
      <c r="D10" s="6" t="s">
        <v>2</v>
      </c>
      <c r="E10" s="2" t="s">
        <v>3</v>
      </c>
      <c r="F10" s="2" t="s">
        <v>4</v>
      </c>
      <c r="G10" s="2" t="s">
        <v>67</v>
      </c>
      <c r="H10" s="2" t="s">
        <v>68</v>
      </c>
      <c r="I10" s="2" t="s">
        <v>44</v>
      </c>
      <c r="J10" s="2" t="s">
        <v>4</v>
      </c>
      <c r="K10" s="2" t="s">
        <v>67</v>
      </c>
      <c r="L10" s="2" t="s">
        <v>69</v>
      </c>
      <c r="M10" s="2" t="s">
        <v>47</v>
      </c>
      <c r="N10" s="2" t="s">
        <v>66</v>
      </c>
      <c r="O10" s="15" t="s">
        <v>79</v>
      </c>
      <c r="P10" s="15" t="s">
        <v>48</v>
      </c>
      <c r="Q10" s="16" t="s">
        <v>76</v>
      </c>
      <c r="R10" s="16" t="s">
        <v>77</v>
      </c>
      <c r="S10" s="2" t="s">
        <v>45</v>
      </c>
    </row>
    <row r="11" spans="1:19" x14ac:dyDescent="0.25">
      <c r="A11" s="17" t="s">
        <v>11</v>
      </c>
      <c r="B11" s="7" t="s">
        <v>12</v>
      </c>
      <c r="C11" s="7" t="s">
        <v>13</v>
      </c>
      <c r="D11" s="7" t="s">
        <v>6</v>
      </c>
      <c r="E11" s="7" t="s">
        <v>13</v>
      </c>
      <c r="F11" s="7">
        <v>1</v>
      </c>
      <c r="G11" s="7">
        <v>1</v>
      </c>
      <c r="H11" s="18">
        <f>VLOOKUP(A11,'Subvencionados G-9 2023'!$B$5:$K$12,10,0)</f>
        <v>0.11354734928437461</v>
      </c>
      <c r="I11" s="18">
        <v>2.638837682465555E-2</v>
      </c>
      <c r="J11" s="10">
        <f t="shared" ref="J11:J18" si="0">$C$24*(F11/$F$19)</f>
        <v>80354.875</v>
      </c>
      <c r="K11" s="10">
        <f>$C$25*(G11/$G$19)</f>
        <v>80354.875</v>
      </c>
      <c r="L11" s="10">
        <f>$C$26*H11</f>
        <v>87591.197359941696</v>
      </c>
      <c r="M11" s="10">
        <f>$C$27*I11</f>
        <v>13570.782215667799</v>
      </c>
      <c r="N11" s="19">
        <f t="shared" ref="N11:N18" si="1">SUM(J11:M11)</f>
        <v>261871.7295756095</v>
      </c>
      <c r="O11" s="39">
        <f>TRUNC(N11,0)</f>
        <v>261871</v>
      </c>
      <c r="P11" s="22">
        <f>+O11/$O$19</f>
        <v>0.10184171523707558</v>
      </c>
      <c r="Q11" s="31">
        <f>ROUND(O11*$G$22,0)</f>
        <v>188266</v>
      </c>
      <c r="R11" s="31">
        <f>O11-Q11</f>
        <v>73605</v>
      </c>
      <c r="S11" s="25" t="str">
        <f>+A11</f>
        <v>UCV</v>
      </c>
    </row>
    <row r="12" spans="1:19" x14ac:dyDescent="0.25">
      <c r="A12" s="17" t="s">
        <v>16</v>
      </c>
      <c r="B12" s="7" t="s">
        <v>17</v>
      </c>
      <c r="C12" s="7" t="s">
        <v>18</v>
      </c>
      <c r="D12" s="7" t="s">
        <v>6</v>
      </c>
      <c r="E12" s="7" t="s">
        <v>19</v>
      </c>
      <c r="F12" s="7">
        <v>1</v>
      </c>
      <c r="G12" s="7">
        <v>1</v>
      </c>
      <c r="H12" s="18">
        <f>VLOOKUP(A12,'Subvencionados G-9 2023'!$B$5:$K$12,10,0)</f>
        <v>0.12773380737697484</v>
      </c>
      <c r="I12" s="18">
        <v>0.19290028630080244</v>
      </c>
      <c r="J12" s="10">
        <f t="shared" si="0"/>
        <v>80354.875</v>
      </c>
      <c r="K12" s="10">
        <f t="shared" ref="K12:K18" si="2">$C$25*(G12/$G$19)</f>
        <v>80354.875</v>
      </c>
      <c r="L12" s="10">
        <f t="shared" ref="L12:L18" si="3">$C$26*H12</f>
        <v>98534.72760048855</v>
      </c>
      <c r="M12" s="10">
        <f t="shared" ref="M12:M18" si="4">$C$27*I12</f>
        <v>99203.061716257231</v>
      </c>
      <c r="N12" s="19">
        <f t="shared" si="1"/>
        <v>358447.53931674577</v>
      </c>
      <c r="O12" s="39">
        <f t="shared" ref="O12:O18" si="5">TRUNC(N12,0)</f>
        <v>358447</v>
      </c>
      <c r="P12" s="22">
        <f t="shared" ref="P12:P18" si="6">+O12/$O$19</f>
        <v>0.1394001523711447</v>
      </c>
      <c r="Q12" s="31">
        <f t="shared" ref="Q12:Q18" si="7">ROUND(O12*$G$22,0)</f>
        <v>257697</v>
      </c>
      <c r="R12" s="31">
        <f t="shared" ref="R12:R18" si="8">O12-Q12</f>
        <v>100750</v>
      </c>
      <c r="S12" s="25" t="str">
        <f t="shared" ref="S12:S19" si="9">+A12</f>
        <v>AUS</v>
      </c>
    </row>
    <row r="13" spans="1:19" x14ac:dyDescent="0.25">
      <c r="A13" s="17" t="s">
        <v>30</v>
      </c>
      <c r="B13" s="7" t="s">
        <v>31</v>
      </c>
      <c r="C13" s="7" t="s">
        <v>9</v>
      </c>
      <c r="D13" s="7" t="s">
        <v>6</v>
      </c>
      <c r="E13" s="7" t="s">
        <v>10</v>
      </c>
      <c r="F13" s="7">
        <v>1</v>
      </c>
      <c r="G13" s="7">
        <v>1</v>
      </c>
      <c r="H13" s="18">
        <f>VLOOKUP(A13,'Subvencionados G-9 2023'!$B$5:$K$12,10,0)</f>
        <v>0.13512016487421835</v>
      </c>
      <c r="I13" s="18">
        <v>0.1137351558268358</v>
      </c>
      <c r="J13" s="10">
        <f t="shared" si="0"/>
        <v>80354.875</v>
      </c>
      <c r="K13" s="10">
        <f t="shared" si="2"/>
        <v>80354.875</v>
      </c>
      <c r="L13" s="10">
        <f t="shared" si="3"/>
        <v>104232.61400109317</v>
      </c>
      <c r="M13" s="10">
        <f t="shared" si="4"/>
        <v>58490.715069253842</v>
      </c>
      <c r="N13" s="19">
        <f t="shared" si="1"/>
        <v>323433.07907034701</v>
      </c>
      <c r="O13" s="39">
        <f t="shared" si="5"/>
        <v>323433</v>
      </c>
      <c r="P13" s="22">
        <f t="shared" si="6"/>
        <v>0.1257831966283898</v>
      </c>
      <c r="Q13" s="31">
        <f t="shared" si="7"/>
        <v>232524</v>
      </c>
      <c r="R13" s="31">
        <f t="shared" si="8"/>
        <v>90909</v>
      </c>
      <c r="S13" s="25" t="str">
        <f t="shared" si="9"/>
        <v>USC</v>
      </c>
    </row>
    <row r="14" spans="1:19" x14ac:dyDescent="0.25">
      <c r="A14" s="17" t="s">
        <v>26</v>
      </c>
      <c r="B14" s="7" t="s">
        <v>27</v>
      </c>
      <c r="C14" s="7" t="s">
        <v>28</v>
      </c>
      <c r="D14" s="7" t="s">
        <v>6</v>
      </c>
      <c r="E14" s="7" t="s">
        <v>29</v>
      </c>
      <c r="F14" s="7">
        <v>1</v>
      </c>
      <c r="G14" s="7">
        <v>1</v>
      </c>
      <c r="H14" s="18">
        <f>VLOOKUP(A14,'Subvencionados G-9 2023'!$B$5:$K$12,10,0)</f>
        <v>0.13789246831216281</v>
      </c>
      <c r="I14" s="18">
        <v>0.15702165235162654</v>
      </c>
      <c r="J14" s="10">
        <f t="shared" si="0"/>
        <v>80354.875</v>
      </c>
      <c r="K14" s="10">
        <f t="shared" si="2"/>
        <v>80354.875</v>
      </c>
      <c r="L14" s="10">
        <f t="shared" si="3"/>
        <v>106371.18772478691</v>
      </c>
      <c r="M14" s="10">
        <f t="shared" si="4"/>
        <v>80751.713580853801</v>
      </c>
      <c r="N14" s="19">
        <f t="shared" si="1"/>
        <v>347832.6513056407</v>
      </c>
      <c r="O14" s="39">
        <f t="shared" si="5"/>
        <v>347832</v>
      </c>
      <c r="P14" s="22">
        <f t="shared" si="6"/>
        <v>0.13527197549305756</v>
      </c>
      <c r="Q14" s="31">
        <f t="shared" si="7"/>
        <v>250065</v>
      </c>
      <c r="R14" s="31">
        <f t="shared" si="8"/>
        <v>97767</v>
      </c>
      <c r="S14" s="25" t="str">
        <f t="shared" si="9"/>
        <v>UCT</v>
      </c>
    </row>
    <row r="15" spans="1:19" x14ac:dyDescent="0.25">
      <c r="A15" s="17" t="s">
        <v>23</v>
      </c>
      <c r="B15" s="7" t="s">
        <v>41</v>
      </c>
      <c r="C15" s="7" t="s">
        <v>24</v>
      </c>
      <c r="D15" s="7" t="s">
        <v>6</v>
      </c>
      <c r="E15" s="7" t="s">
        <v>25</v>
      </c>
      <c r="F15" s="7">
        <v>1</v>
      </c>
      <c r="G15" s="7">
        <v>1</v>
      </c>
      <c r="H15" s="18">
        <f>VLOOKUP(A15,'Subvencionados G-9 2023'!$B$5:$K$12,10,0)</f>
        <v>0.13391980435515061</v>
      </c>
      <c r="I15" s="18">
        <v>5.8457252877800986E-2</v>
      </c>
      <c r="J15" s="10">
        <f t="shared" si="0"/>
        <v>80354.875</v>
      </c>
      <c r="K15" s="10">
        <f t="shared" si="2"/>
        <v>80354.875</v>
      </c>
      <c r="L15" s="10">
        <f t="shared" si="3"/>
        <v>103306.64773423279</v>
      </c>
      <c r="M15" s="10">
        <f t="shared" si="4"/>
        <v>30062.881586170166</v>
      </c>
      <c r="N15" s="19">
        <f t="shared" si="1"/>
        <v>294079.27932040294</v>
      </c>
      <c r="O15" s="39">
        <f t="shared" si="5"/>
        <v>294079</v>
      </c>
      <c r="P15" s="22">
        <f t="shared" si="6"/>
        <v>0.11436741668685707</v>
      </c>
      <c r="Q15" s="31">
        <f t="shared" si="7"/>
        <v>211421</v>
      </c>
      <c r="R15" s="31">
        <f t="shared" si="8"/>
        <v>82658</v>
      </c>
      <c r="S15" s="25" t="str">
        <f t="shared" si="9"/>
        <v>UCM</v>
      </c>
    </row>
    <row r="16" spans="1:19" x14ac:dyDescent="0.25">
      <c r="A16" s="17" t="s">
        <v>20</v>
      </c>
      <c r="B16" s="7" t="s">
        <v>21</v>
      </c>
      <c r="C16" s="7" t="s">
        <v>22</v>
      </c>
      <c r="D16" s="7" t="s">
        <v>6</v>
      </c>
      <c r="E16" s="7" t="s">
        <v>22</v>
      </c>
      <c r="F16" s="7">
        <v>1</v>
      </c>
      <c r="G16" s="7">
        <v>1</v>
      </c>
      <c r="H16" s="18">
        <f>VLOOKUP(A16,'Subvencionados G-9 2023'!$B$5:$K$12,10,0)</f>
        <v>0.11866153323553852</v>
      </c>
      <c r="I16" s="18">
        <v>0.31137374316678729</v>
      </c>
      <c r="J16" s="10">
        <f t="shared" si="0"/>
        <v>80354.875</v>
      </c>
      <c r="K16" s="10">
        <f t="shared" si="2"/>
        <v>80354.875</v>
      </c>
      <c r="L16" s="10">
        <f t="shared" si="3"/>
        <v>91536.31363632041</v>
      </c>
      <c r="M16" s="10">
        <f t="shared" si="4"/>
        <v>160130.54854687551</v>
      </c>
      <c r="N16" s="19">
        <f t="shared" si="1"/>
        <v>412376.61218319589</v>
      </c>
      <c r="O16" s="39">
        <f t="shared" si="5"/>
        <v>412376</v>
      </c>
      <c r="P16" s="22">
        <f t="shared" si="6"/>
        <v>0.16037315763335488</v>
      </c>
      <c r="Q16" s="31">
        <f t="shared" si="7"/>
        <v>296468</v>
      </c>
      <c r="R16" s="31">
        <f t="shared" si="8"/>
        <v>115908</v>
      </c>
      <c r="S16" s="25" t="str">
        <f t="shared" si="9"/>
        <v>UCN</v>
      </c>
    </row>
    <row r="17" spans="1:19" x14ac:dyDescent="0.25">
      <c r="A17" s="17" t="s">
        <v>7</v>
      </c>
      <c r="B17" s="7" t="s">
        <v>8</v>
      </c>
      <c r="C17" s="7" t="s">
        <v>9</v>
      </c>
      <c r="D17" s="7" t="s">
        <v>6</v>
      </c>
      <c r="E17" s="7" t="s">
        <v>10</v>
      </c>
      <c r="F17" s="7">
        <v>1</v>
      </c>
      <c r="G17" s="7">
        <v>1</v>
      </c>
      <c r="H17" s="18">
        <f>VLOOKUP(A17,'Subvencionados G-9 2023'!$B$5:$K$12,10,0)</f>
        <v>0.12438132289915596</v>
      </c>
      <c r="I17" s="18">
        <v>0.1137351558268358</v>
      </c>
      <c r="J17" s="10">
        <f t="shared" si="0"/>
        <v>80354.875</v>
      </c>
      <c r="K17" s="10">
        <f t="shared" si="2"/>
        <v>80354.875</v>
      </c>
      <c r="L17" s="10">
        <f t="shared" si="3"/>
        <v>95948.598277404613</v>
      </c>
      <c r="M17" s="10">
        <f t="shared" si="4"/>
        <v>58490.715069253842</v>
      </c>
      <c r="N17" s="19">
        <f t="shared" si="1"/>
        <v>315149.06334665848</v>
      </c>
      <c r="O17" s="39">
        <f t="shared" si="5"/>
        <v>315149</v>
      </c>
      <c r="P17" s="22">
        <f t="shared" si="6"/>
        <v>0.12256154639211342</v>
      </c>
      <c r="Q17" s="31">
        <f t="shared" si="7"/>
        <v>226569</v>
      </c>
      <c r="R17" s="31">
        <f t="shared" si="8"/>
        <v>88580</v>
      </c>
      <c r="S17" s="25" t="str">
        <f t="shared" si="9"/>
        <v>UCO</v>
      </c>
    </row>
    <row r="18" spans="1:19" x14ac:dyDescent="0.25">
      <c r="A18" s="17" t="s">
        <v>14</v>
      </c>
      <c r="B18" s="7" t="s">
        <v>15</v>
      </c>
      <c r="C18" s="7" t="s">
        <v>13</v>
      </c>
      <c r="D18" s="7" t="s">
        <v>6</v>
      </c>
      <c r="E18" s="7" t="s">
        <v>13</v>
      </c>
      <c r="F18" s="7">
        <v>1</v>
      </c>
      <c r="G18" s="7">
        <v>1</v>
      </c>
      <c r="H18" s="18">
        <f>VLOOKUP(A18,'Subvencionados G-9 2023'!$B$5:$K$12,10,0)</f>
        <v>0.1087435496624243</v>
      </c>
      <c r="I18" s="18">
        <v>2.638837682465555E-2</v>
      </c>
      <c r="J18" s="10">
        <f t="shared" si="0"/>
        <v>80354.875</v>
      </c>
      <c r="K18" s="10">
        <f t="shared" si="2"/>
        <v>80354.875</v>
      </c>
      <c r="L18" s="10">
        <f t="shared" si="3"/>
        <v>83885.513665731807</v>
      </c>
      <c r="M18" s="10">
        <f t="shared" si="4"/>
        <v>13570.782215667799</v>
      </c>
      <c r="N18" s="19">
        <f t="shared" si="1"/>
        <v>258166.04588139962</v>
      </c>
      <c r="O18" s="39">
        <f t="shared" si="5"/>
        <v>258166</v>
      </c>
      <c r="P18" s="22">
        <f t="shared" si="6"/>
        <v>0.10040083955800701</v>
      </c>
      <c r="Q18" s="31">
        <f t="shared" si="7"/>
        <v>185602</v>
      </c>
      <c r="R18" s="31">
        <f t="shared" si="8"/>
        <v>72564</v>
      </c>
      <c r="S18" s="25" t="str">
        <f t="shared" si="9"/>
        <v>FSM</v>
      </c>
    </row>
    <row r="19" spans="1:19" x14ac:dyDescent="0.25">
      <c r="A19" s="3"/>
      <c r="B19" s="3"/>
      <c r="C19" s="3"/>
      <c r="D19" s="3"/>
      <c r="E19" s="3"/>
      <c r="F19" s="12">
        <f t="shared" ref="F19:I19" si="10">SUM(F11:F18)</f>
        <v>8</v>
      </c>
      <c r="G19" s="12">
        <f t="shared" si="10"/>
        <v>8</v>
      </c>
      <c r="H19" s="12">
        <f t="shared" si="10"/>
        <v>1</v>
      </c>
      <c r="I19" s="12">
        <f t="shared" si="10"/>
        <v>1</v>
      </c>
      <c r="J19" s="20">
        <f t="shared" ref="J19:P19" si="11">SUM(J11:J18)</f>
        <v>642839</v>
      </c>
      <c r="K19" s="20">
        <f t="shared" si="11"/>
        <v>642839</v>
      </c>
      <c r="L19" s="20">
        <f t="shared" si="11"/>
        <v>771406.8</v>
      </c>
      <c r="M19" s="20">
        <f t="shared" si="11"/>
        <v>514271.19999999995</v>
      </c>
      <c r="N19" s="21">
        <f t="shared" si="11"/>
        <v>2571355.9999999995</v>
      </c>
      <c r="O19" s="23">
        <f t="shared" si="11"/>
        <v>2571353</v>
      </c>
      <c r="P19" s="24">
        <f t="shared" si="11"/>
        <v>1</v>
      </c>
      <c r="Q19" s="32">
        <f>SUM(Q11:Q18)</f>
        <v>1848612</v>
      </c>
      <c r="R19" s="32">
        <f>SUM(R11:R18)</f>
        <v>722741</v>
      </c>
      <c r="S19" s="25">
        <f t="shared" si="9"/>
        <v>0</v>
      </c>
    </row>
    <row r="20" spans="1:19" x14ac:dyDescent="0.25">
      <c r="O20" s="30">
        <f>+C23-O19</f>
        <v>3</v>
      </c>
      <c r="P20" s="33"/>
      <c r="Q20" s="34">
        <f>+C21-Q19</f>
        <v>1</v>
      </c>
      <c r="R20" s="34">
        <f>+C22-R19</f>
        <v>2</v>
      </c>
    </row>
    <row r="21" spans="1:19" x14ac:dyDescent="0.25">
      <c r="B21" s="38" t="s">
        <v>56</v>
      </c>
      <c r="C21" s="31">
        <v>1848613</v>
      </c>
      <c r="E21" s="25" t="s">
        <v>80</v>
      </c>
      <c r="F21" s="25" t="s">
        <v>81</v>
      </c>
      <c r="G21" s="25" t="s">
        <v>82</v>
      </c>
    </row>
    <row r="22" spans="1:19" x14ac:dyDescent="0.25">
      <c r="B22" s="38" t="s">
        <v>57</v>
      </c>
      <c r="C22" s="31">
        <v>722743</v>
      </c>
      <c r="E22" s="43">
        <v>3</v>
      </c>
      <c r="F22" s="25">
        <v>213</v>
      </c>
      <c r="G22" s="44">
        <f>C21/C23</f>
        <v>0.71892534522640972</v>
      </c>
    </row>
    <row r="23" spans="1:19" x14ac:dyDescent="0.25">
      <c r="B23" s="26" t="s">
        <v>70</v>
      </c>
      <c r="C23" s="27">
        <f>SUM(C21:C22)</f>
        <v>2571356</v>
      </c>
      <c r="E23" s="43">
        <v>3</v>
      </c>
      <c r="F23" s="25">
        <v>404</v>
      </c>
      <c r="G23" s="44">
        <f>C22/C23</f>
        <v>0.28107465477359028</v>
      </c>
    </row>
    <row r="24" spans="1:19" x14ac:dyDescent="0.25">
      <c r="B24" s="8" t="s">
        <v>4</v>
      </c>
      <c r="C24" s="9">
        <f>C23*F9</f>
        <v>642839</v>
      </c>
    </row>
    <row r="25" spans="1:19" x14ac:dyDescent="0.25">
      <c r="B25" s="8" t="s">
        <v>67</v>
      </c>
      <c r="C25" s="9">
        <f>C23*G9</f>
        <v>642839</v>
      </c>
    </row>
    <row r="26" spans="1:19" x14ac:dyDescent="0.25">
      <c r="B26" s="8" t="s">
        <v>42</v>
      </c>
      <c r="C26" s="9">
        <f>C23*H9</f>
        <v>771406.79999999993</v>
      </c>
    </row>
    <row r="27" spans="1:19" x14ac:dyDescent="0.25">
      <c r="B27" s="8" t="s">
        <v>5</v>
      </c>
      <c r="C27" s="9">
        <f>C23*I9</f>
        <v>514271.2</v>
      </c>
    </row>
    <row r="28" spans="1:19" x14ac:dyDescent="0.25">
      <c r="B28" s="28" t="s">
        <v>43</v>
      </c>
      <c r="C28" s="29">
        <f>SUM(C24:C27)</f>
        <v>2571356</v>
      </c>
    </row>
  </sheetData>
  <mergeCells count="6">
    <mergeCell ref="A7:R7"/>
    <mergeCell ref="A2:R2"/>
    <mergeCell ref="A3:R3"/>
    <mergeCell ref="A4:R4"/>
    <mergeCell ref="A5:R5"/>
    <mergeCell ref="A6:R6"/>
  </mergeCells>
  <printOptions horizontalCentered="1"/>
  <pageMargins left="0.51181102362204722" right="0.51181102362204722" top="0.55118110236220474" bottom="0.55118110236220474" header="0.31496062992125984" footer="0.31496062992125984"/>
  <pageSetup paperSize="14" scale="66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zoomScale="90" zoomScaleNormal="90" workbookViewId="0">
      <selection activeCell="M5" sqref="M5"/>
    </sheetView>
  </sheetViews>
  <sheetFormatPr baseColWidth="10" defaultRowHeight="15" x14ac:dyDescent="0.25"/>
  <cols>
    <col min="1" max="1" width="51.140625" bestFit="1" customWidth="1"/>
    <col min="2" max="2" width="12.85546875" customWidth="1"/>
    <col min="3" max="3" width="10.42578125" customWidth="1"/>
    <col min="4" max="11" width="12.7109375" customWidth="1"/>
    <col min="14" max="14" width="11.85546875" bestFit="1" customWidth="1"/>
  </cols>
  <sheetData>
    <row r="1" spans="1:11" x14ac:dyDescent="0.25">
      <c r="A1" t="s">
        <v>61</v>
      </c>
      <c r="B1" t="s">
        <v>62</v>
      </c>
    </row>
    <row r="2" spans="1:11" x14ac:dyDescent="0.25">
      <c r="A2" t="s">
        <v>63</v>
      </c>
      <c r="B2" t="s">
        <v>64</v>
      </c>
    </row>
    <row r="4" spans="1:11" ht="51" x14ac:dyDescent="0.25">
      <c r="A4" s="35" t="s">
        <v>49</v>
      </c>
      <c r="B4" s="35" t="s">
        <v>60</v>
      </c>
      <c r="C4" s="36" t="s">
        <v>50</v>
      </c>
      <c r="D4" s="35" t="s">
        <v>51</v>
      </c>
      <c r="E4" s="35" t="s">
        <v>53</v>
      </c>
      <c r="F4" s="35" t="s">
        <v>58</v>
      </c>
      <c r="G4" s="35" t="s">
        <v>52</v>
      </c>
      <c r="H4" s="35" t="s">
        <v>59</v>
      </c>
      <c r="I4" s="35" t="s">
        <v>40</v>
      </c>
      <c r="J4" s="36" t="s">
        <v>54</v>
      </c>
      <c r="K4" s="36" t="s">
        <v>55</v>
      </c>
    </row>
    <row r="5" spans="1:11" x14ac:dyDescent="0.25">
      <c r="A5" s="7" t="s">
        <v>32</v>
      </c>
      <c r="B5" s="7" t="s">
        <v>11</v>
      </c>
      <c r="C5" s="11">
        <v>2505</v>
      </c>
      <c r="D5" s="11">
        <v>10386</v>
      </c>
      <c r="E5" s="11">
        <v>262</v>
      </c>
      <c r="F5" s="11">
        <v>179</v>
      </c>
      <c r="G5" s="11">
        <v>3185</v>
      </c>
      <c r="H5" s="11">
        <f t="shared" ref="H5:H12" si="0">C5+D5+E5+F5</f>
        <v>13332</v>
      </c>
      <c r="I5" s="11">
        <f t="shared" ref="I5:I12" si="1">SUM(C5:G5)</f>
        <v>16517</v>
      </c>
      <c r="J5" s="7">
        <f>H5/I5</f>
        <v>0.80716837198038383</v>
      </c>
      <c r="K5" s="7">
        <f>J5/$J$13</f>
        <v>0.11354734928437461</v>
      </c>
    </row>
    <row r="6" spans="1:11" x14ac:dyDescent="0.25">
      <c r="A6" s="7" t="s">
        <v>33</v>
      </c>
      <c r="B6" s="7" t="s">
        <v>16</v>
      </c>
      <c r="C6" s="11">
        <v>6352</v>
      </c>
      <c r="D6" s="11">
        <v>9260</v>
      </c>
      <c r="E6" s="11">
        <v>91</v>
      </c>
      <c r="F6" s="11">
        <v>101</v>
      </c>
      <c r="G6" s="11">
        <v>1601</v>
      </c>
      <c r="H6" s="11">
        <f t="shared" si="0"/>
        <v>15804</v>
      </c>
      <c r="I6" s="11">
        <f t="shared" si="1"/>
        <v>17405</v>
      </c>
      <c r="J6" s="7">
        <f t="shared" ref="J6:J12" si="2">H6/I6</f>
        <v>0.90801493823613899</v>
      </c>
      <c r="K6" s="7">
        <f t="shared" ref="K6:K12" si="3">J6/$J$13</f>
        <v>0.12773380737697484</v>
      </c>
    </row>
    <row r="7" spans="1:11" x14ac:dyDescent="0.25">
      <c r="A7" s="7" t="s">
        <v>34</v>
      </c>
      <c r="B7" s="7" t="s">
        <v>30</v>
      </c>
      <c r="C7" s="11">
        <v>4403</v>
      </c>
      <c r="D7" s="11">
        <v>6285</v>
      </c>
      <c r="E7" s="11">
        <v>581</v>
      </c>
      <c r="F7" s="11">
        <v>361</v>
      </c>
      <c r="G7" s="11">
        <v>478</v>
      </c>
      <c r="H7" s="11">
        <f t="shared" si="0"/>
        <v>11630</v>
      </c>
      <c r="I7" s="11">
        <f t="shared" si="1"/>
        <v>12108</v>
      </c>
      <c r="J7" s="7">
        <f t="shared" si="2"/>
        <v>0.96052196894615127</v>
      </c>
      <c r="K7" s="7">
        <f t="shared" si="3"/>
        <v>0.13512016487421835</v>
      </c>
    </row>
    <row r="8" spans="1:11" x14ac:dyDescent="0.25">
      <c r="A8" s="7" t="s">
        <v>35</v>
      </c>
      <c r="B8" s="7" t="s">
        <v>26</v>
      </c>
      <c r="C8" s="11">
        <v>4153</v>
      </c>
      <c r="D8" s="11">
        <v>6066</v>
      </c>
      <c r="E8" s="11">
        <v>229</v>
      </c>
      <c r="F8" s="11">
        <v>410</v>
      </c>
      <c r="G8" s="11">
        <v>219</v>
      </c>
      <c r="H8" s="11">
        <f t="shared" si="0"/>
        <v>10858</v>
      </c>
      <c r="I8" s="11">
        <f t="shared" si="1"/>
        <v>11077</v>
      </c>
      <c r="J8" s="7">
        <f t="shared" si="2"/>
        <v>0.98022930396316688</v>
      </c>
      <c r="K8" s="7">
        <f t="shared" si="3"/>
        <v>0.13789246831216281</v>
      </c>
    </row>
    <row r="9" spans="1:11" x14ac:dyDescent="0.25">
      <c r="A9" s="7" t="s">
        <v>36</v>
      </c>
      <c r="B9" s="7" t="s">
        <v>23</v>
      </c>
      <c r="C9" s="11">
        <v>4549</v>
      </c>
      <c r="D9" s="11">
        <v>6268</v>
      </c>
      <c r="E9" s="11">
        <v>247</v>
      </c>
      <c r="F9" s="11">
        <v>40</v>
      </c>
      <c r="G9" s="11">
        <v>560</v>
      </c>
      <c r="H9" s="11">
        <f t="shared" si="0"/>
        <v>11104</v>
      </c>
      <c r="I9" s="11">
        <f t="shared" si="1"/>
        <v>11664</v>
      </c>
      <c r="J9" s="7">
        <f t="shared" si="2"/>
        <v>0.9519890260631001</v>
      </c>
      <c r="K9" s="7">
        <f t="shared" si="3"/>
        <v>0.13391980435515061</v>
      </c>
    </row>
    <row r="10" spans="1:11" x14ac:dyDescent="0.25">
      <c r="A10" s="7" t="s">
        <v>37</v>
      </c>
      <c r="B10" s="7" t="s">
        <v>20</v>
      </c>
      <c r="C10" s="11">
        <v>2506</v>
      </c>
      <c r="D10" s="11">
        <v>6061</v>
      </c>
      <c r="E10" s="11">
        <v>15</v>
      </c>
      <c r="F10" s="11">
        <v>372</v>
      </c>
      <c r="G10" s="11">
        <v>1661</v>
      </c>
      <c r="H10" s="11">
        <f t="shared" si="0"/>
        <v>8954</v>
      </c>
      <c r="I10" s="11">
        <f t="shared" si="1"/>
        <v>10615</v>
      </c>
      <c r="J10" s="7">
        <f t="shared" si="2"/>
        <v>0.84352331606217612</v>
      </c>
      <c r="K10" s="7">
        <f t="shared" si="3"/>
        <v>0.11866153323553852</v>
      </c>
    </row>
    <row r="11" spans="1:11" x14ac:dyDescent="0.25">
      <c r="A11" s="7" t="s">
        <v>38</v>
      </c>
      <c r="B11" s="7" t="s">
        <v>7</v>
      </c>
      <c r="C11" s="11">
        <v>7010</v>
      </c>
      <c r="D11" s="11">
        <v>14976</v>
      </c>
      <c r="E11" s="11">
        <v>484</v>
      </c>
      <c r="F11" s="11">
        <v>433</v>
      </c>
      <c r="G11" s="11">
        <v>3000</v>
      </c>
      <c r="H11" s="11">
        <f t="shared" si="0"/>
        <v>22903</v>
      </c>
      <c r="I11" s="11">
        <f t="shared" si="1"/>
        <v>25903</v>
      </c>
      <c r="J11" s="7">
        <f t="shared" si="2"/>
        <v>0.88418329923174921</v>
      </c>
      <c r="K11" s="7">
        <f t="shared" si="3"/>
        <v>0.12438132289915596</v>
      </c>
    </row>
    <row r="12" spans="1:11" x14ac:dyDescent="0.25">
      <c r="A12" s="7" t="s">
        <v>39</v>
      </c>
      <c r="B12" s="7" t="s">
        <v>14</v>
      </c>
      <c r="C12" s="11">
        <v>3270</v>
      </c>
      <c r="D12" s="11">
        <v>10331</v>
      </c>
      <c r="E12" s="11">
        <v>706</v>
      </c>
      <c r="F12" s="11">
        <v>225</v>
      </c>
      <c r="G12" s="11">
        <v>4267</v>
      </c>
      <c r="H12" s="11">
        <f t="shared" si="0"/>
        <v>14532</v>
      </c>
      <c r="I12" s="11">
        <f t="shared" si="1"/>
        <v>18799</v>
      </c>
      <c r="J12" s="7">
        <f t="shared" si="2"/>
        <v>0.77301984148092984</v>
      </c>
      <c r="K12" s="7">
        <f t="shared" si="3"/>
        <v>0.1087435496624243</v>
      </c>
    </row>
    <row r="13" spans="1:11" x14ac:dyDescent="0.25">
      <c r="A13" s="4"/>
      <c r="B13" s="12" t="s">
        <v>65</v>
      </c>
      <c r="C13" s="13">
        <v>34748</v>
      </c>
      <c r="D13" s="13">
        <v>69633</v>
      </c>
      <c r="E13" s="13">
        <v>2615</v>
      </c>
      <c r="F13" s="13">
        <v>2121</v>
      </c>
      <c r="G13" s="13">
        <v>14971</v>
      </c>
      <c r="H13" s="13">
        <f>SUM(H5:H12)</f>
        <v>109117</v>
      </c>
      <c r="I13" s="13">
        <f t="shared" ref="I13" si="4">SUM(I5:I12)</f>
        <v>124088</v>
      </c>
      <c r="J13" s="12">
        <f>SUM(J5:J12)</f>
        <v>7.1086500659637961</v>
      </c>
      <c r="K13" s="14">
        <f>SUM(K5:K12)</f>
        <v>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1"/>
  <sheetViews>
    <sheetView workbookViewId="0">
      <selection activeCell="F3" sqref="F3"/>
    </sheetView>
  </sheetViews>
  <sheetFormatPr baseColWidth="10" defaultRowHeight="15" x14ac:dyDescent="0.25"/>
  <cols>
    <col min="1" max="1" width="7.7109375" customWidth="1"/>
    <col min="2" max="2" width="24.7109375" bestFit="1" customWidth="1"/>
    <col min="4" max="4" width="16.85546875" customWidth="1"/>
    <col min="7" max="7" width="13.140625" customWidth="1"/>
  </cols>
  <sheetData>
    <row r="2" spans="1:7" x14ac:dyDescent="0.25">
      <c r="A2" s="37" t="s">
        <v>45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5</v>
      </c>
      <c r="G2" s="37" t="s">
        <v>46</v>
      </c>
    </row>
    <row r="3" spans="1:7" x14ac:dyDescent="0.25">
      <c r="A3" s="7" t="s">
        <v>11</v>
      </c>
      <c r="B3" s="7" t="s">
        <v>12</v>
      </c>
      <c r="C3" s="7" t="s">
        <v>13</v>
      </c>
      <c r="D3" s="7" t="s">
        <v>6</v>
      </c>
      <c r="E3" s="7" t="s">
        <v>13</v>
      </c>
      <c r="F3" s="7">
        <v>115.95</v>
      </c>
      <c r="G3" s="7">
        <f>F3/$F$11</f>
        <v>2.638837682465555E-2</v>
      </c>
    </row>
    <row r="4" spans="1:7" x14ac:dyDescent="0.25">
      <c r="A4" s="7" t="s">
        <v>16</v>
      </c>
      <c r="B4" s="7" t="s">
        <v>17</v>
      </c>
      <c r="C4" s="7" t="s">
        <v>18</v>
      </c>
      <c r="D4" s="7" t="s">
        <v>6</v>
      </c>
      <c r="E4" s="7" t="s">
        <v>19</v>
      </c>
      <c r="F4" s="7">
        <v>847.6</v>
      </c>
      <c r="G4" s="7">
        <f t="shared" ref="G4:G10" si="0">F4/$F$11</f>
        <v>0.19290028630080244</v>
      </c>
    </row>
    <row r="5" spans="1:7" x14ac:dyDescent="0.25">
      <c r="A5" s="7" t="s">
        <v>30</v>
      </c>
      <c r="B5" s="7" t="s">
        <v>31</v>
      </c>
      <c r="C5" s="7" t="s">
        <v>9</v>
      </c>
      <c r="D5" s="7" t="s">
        <v>6</v>
      </c>
      <c r="E5" s="7" t="s">
        <v>10</v>
      </c>
      <c r="F5" s="7">
        <v>499.75</v>
      </c>
      <c r="G5" s="7">
        <f t="shared" si="0"/>
        <v>0.1137351558268358</v>
      </c>
    </row>
    <row r="6" spans="1:7" x14ac:dyDescent="0.25">
      <c r="A6" s="7" t="s">
        <v>26</v>
      </c>
      <c r="B6" s="7" t="s">
        <v>27</v>
      </c>
      <c r="C6" s="7" t="s">
        <v>28</v>
      </c>
      <c r="D6" s="7" t="s">
        <v>6</v>
      </c>
      <c r="E6" s="7" t="s">
        <v>29</v>
      </c>
      <c r="F6" s="7">
        <v>689.95</v>
      </c>
      <c r="G6" s="7">
        <f t="shared" si="0"/>
        <v>0.15702165235162654</v>
      </c>
    </row>
    <row r="7" spans="1:7" x14ac:dyDescent="0.25">
      <c r="A7" s="7" t="s">
        <v>23</v>
      </c>
      <c r="B7" s="7" t="s">
        <v>41</v>
      </c>
      <c r="C7" s="7" t="s">
        <v>24</v>
      </c>
      <c r="D7" s="7" t="s">
        <v>6</v>
      </c>
      <c r="E7" s="7" t="s">
        <v>25</v>
      </c>
      <c r="F7" s="7">
        <v>256.86</v>
      </c>
      <c r="G7" s="7">
        <f t="shared" si="0"/>
        <v>5.8457252877800986E-2</v>
      </c>
    </row>
    <row r="8" spans="1:7" x14ac:dyDescent="0.25">
      <c r="A8" s="7" t="s">
        <v>20</v>
      </c>
      <c r="B8" s="7" t="s">
        <v>21</v>
      </c>
      <c r="C8" s="7" t="s">
        <v>22</v>
      </c>
      <c r="D8" s="7" t="s">
        <v>6</v>
      </c>
      <c r="E8" s="7" t="s">
        <v>22</v>
      </c>
      <c r="F8" s="7">
        <v>1368.17</v>
      </c>
      <c r="G8" s="7">
        <f t="shared" si="0"/>
        <v>0.31137374316678729</v>
      </c>
    </row>
    <row r="9" spans="1:7" x14ac:dyDescent="0.25">
      <c r="A9" s="7" t="s">
        <v>7</v>
      </c>
      <c r="B9" s="7" t="s">
        <v>8</v>
      </c>
      <c r="C9" s="7" t="s">
        <v>9</v>
      </c>
      <c r="D9" s="7" t="s">
        <v>6</v>
      </c>
      <c r="E9" s="7" t="s">
        <v>10</v>
      </c>
      <c r="F9" s="7">
        <v>499.75</v>
      </c>
      <c r="G9" s="7">
        <f t="shared" si="0"/>
        <v>0.1137351558268358</v>
      </c>
    </row>
    <row r="10" spans="1:7" x14ac:dyDescent="0.25">
      <c r="A10" s="7" t="s">
        <v>14</v>
      </c>
      <c r="B10" s="7" t="s">
        <v>15</v>
      </c>
      <c r="C10" s="7" t="s">
        <v>13</v>
      </c>
      <c r="D10" s="7" t="s">
        <v>6</v>
      </c>
      <c r="E10" s="7" t="s">
        <v>13</v>
      </c>
      <c r="F10" s="7">
        <v>115.95</v>
      </c>
      <c r="G10" s="7">
        <f t="shared" si="0"/>
        <v>2.638837682465555E-2</v>
      </c>
    </row>
    <row r="11" spans="1:7" x14ac:dyDescent="0.25">
      <c r="A11" s="3"/>
      <c r="B11" s="3"/>
      <c r="C11" s="3"/>
      <c r="D11" s="3"/>
      <c r="E11" s="3"/>
      <c r="F11" s="3">
        <v>4393.9800000000005</v>
      </c>
      <c r="G11" s="3">
        <f>SUM(G3:G10)</f>
        <v>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Distribución ESR G9 2024</vt:lpstr>
      <vt:lpstr>Subvencionados G-9 2023</vt:lpstr>
      <vt:lpstr>KM 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Rosa Roman Parra</cp:lastModifiedBy>
  <cp:lastPrinted>2024-02-05T18:44:02Z</cp:lastPrinted>
  <dcterms:created xsi:type="dcterms:W3CDTF">2017-03-28T16:10:45Z</dcterms:created>
  <dcterms:modified xsi:type="dcterms:W3CDTF">2024-02-05T21:35:03Z</dcterms:modified>
</cp:coreProperties>
</file>