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CD Basal/FI 2024/"/>
    </mc:Choice>
  </mc:AlternateContent>
  <xr:revisionPtr revIDLastSave="69" documentId="8_{73C5E01A-A36D-4E4B-BC9D-F835E8825DE3}" xr6:coauthVersionLast="47" xr6:coauthVersionMax="47" xr10:uidLastSave="{E577B949-34F3-481D-B595-1D62DCD30A6E}"/>
  <bookViews>
    <workbookView xWindow="-120" yWindow="-120" windowWidth="20730" windowHeight="11160" tabRatio="768" xr2:uid="{58240367-98E5-40ED-9E6A-5348AFFDA918}"/>
  </bookViews>
  <sheets>
    <sheet name="FI 2024 " sheetId="15" r:id="rId1"/>
    <sheet name="I.Acreditación Institucional" sheetId="2" r:id="rId2"/>
    <sheet name="II.Doctorados Acreditados" sheetId="3" r:id="rId3"/>
    <sheet name="III. Planta Académica" sheetId="14" r:id="rId4"/>
    <sheet name="IV. Publicaciones por acad." sheetId="9" r:id="rId5"/>
    <sheet name="V.Citas" sheetId="6" r:id="rId6"/>
    <sheet name="VI. Proyectos" sheetId="7" r:id="rId7"/>
    <sheet name="VII. Publicaciones" sheetId="1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1" i="15" l="1"/>
  <c r="Q31" i="15" l="1"/>
  <c r="P30" i="15"/>
  <c r="O31" i="15"/>
  <c r="C13" i="15" l="1"/>
  <c r="D11" i="15"/>
  <c r="D13" i="15" s="1"/>
  <c r="G17" i="15" l="1"/>
  <c r="E17" i="15"/>
  <c r="H17" i="15"/>
  <c r="J17" i="15"/>
  <c r="F17" i="15"/>
  <c r="I17" i="15"/>
  <c r="D17" i="15"/>
  <c r="F14" i="6" l="1"/>
  <c r="E15" i="6"/>
  <c r="D15" i="6"/>
  <c r="E15" i="9" l="1"/>
  <c r="F14" i="9"/>
  <c r="D15" i="9" l="1"/>
  <c r="F4" i="9"/>
  <c r="Q6" i="14"/>
  <c r="Q7" i="14"/>
  <c r="Q8" i="14"/>
  <c r="Q9" i="14"/>
  <c r="Q10" i="14"/>
  <c r="Q11" i="14"/>
  <c r="Q12" i="14"/>
  <c r="Q13" i="14"/>
  <c r="Q14" i="14"/>
  <c r="Q15" i="14"/>
  <c r="Q5" i="14"/>
  <c r="Q16" i="14" s="1"/>
  <c r="P6" i="14"/>
  <c r="P7" i="14"/>
  <c r="P8" i="14"/>
  <c r="P9" i="14"/>
  <c r="P10" i="14"/>
  <c r="P11" i="14"/>
  <c r="P12" i="14"/>
  <c r="P13" i="14"/>
  <c r="P14" i="14"/>
  <c r="P15" i="14"/>
  <c r="P5" i="14"/>
  <c r="M6" i="14"/>
  <c r="M7" i="14"/>
  <c r="M8" i="14"/>
  <c r="M9" i="14"/>
  <c r="M10" i="14"/>
  <c r="M11" i="14"/>
  <c r="T12" i="14"/>
  <c r="T13" i="14"/>
  <c r="T14" i="14"/>
  <c r="T15" i="14"/>
  <c r="M5" i="14"/>
  <c r="S6" i="14"/>
  <c r="S7" i="14"/>
  <c r="S8" i="14"/>
  <c r="S9" i="14"/>
  <c r="S10" i="14"/>
  <c r="S11" i="14"/>
  <c r="S12" i="14"/>
  <c r="S13" i="14"/>
  <c r="S14" i="14"/>
  <c r="S15" i="14"/>
  <c r="S5" i="14"/>
  <c r="T11" i="14" l="1"/>
  <c r="M14" i="14"/>
  <c r="T10" i="14"/>
  <c r="M13" i="14"/>
  <c r="T9" i="14"/>
  <c r="M12" i="14"/>
  <c r="T8" i="14"/>
  <c r="T7" i="14"/>
  <c r="T6" i="14"/>
  <c r="T5" i="14"/>
  <c r="U5" i="14" s="1"/>
  <c r="M15" i="14"/>
  <c r="I14" i="2" l="1"/>
  <c r="H14" i="2"/>
  <c r="G14" i="2"/>
  <c r="J15" i="16"/>
  <c r="H15" i="16"/>
  <c r="G16" i="16"/>
  <c r="E16" i="16"/>
  <c r="F16" i="16"/>
  <c r="D16" i="16"/>
  <c r="D16" i="7"/>
  <c r="E15" i="7" s="1"/>
  <c r="D16" i="14"/>
  <c r="E16" i="14"/>
  <c r="F16" i="14"/>
  <c r="G16" i="14"/>
  <c r="H16" i="14"/>
  <c r="I16" i="14"/>
  <c r="J16" i="14"/>
  <c r="K16" i="14"/>
  <c r="N30" i="15"/>
  <c r="J12" i="3" l="1"/>
  <c r="J5" i="3"/>
  <c r="J7" i="3"/>
  <c r="J9" i="3"/>
  <c r="J14" i="3"/>
  <c r="I4" i="3"/>
  <c r="J4" i="3"/>
  <c r="J11" i="3"/>
  <c r="J6" i="3"/>
  <c r="J13" i="3"/>
  <c r="J8" i="3"/>
  <c r="J10" i="3"/>
  <c r="K15" i="16"/>
  <c r="L15" i="16" s="1"/>
  <c r="D15" i="2"/>
  <c r="U15" i="14"/>
  <c r="I14" i="3"/>
  <c r="I12" i="3"/>
  <c r="I7" i="3"/>
  <c r="E15" i="3"/>
  <c r="D15" i="3"/>
  <c r="F15" i="2"/>
  <c r="E15" i="2"/>
  <c r="J14" i="2"/>
  <c r="R15" i="14"/>
  <c r="P21" i="15"/>
  <c r="P22" i="15"/>
  <c r="P23" i="15"/>
  <c r="P24" i="15"/>
  <c r="P25" i="15"/>
  <c r="P28" i="15"/>
  <c r="P26" i="15"/>
  <c r="P27" i="15"/>
  <c r="P29" i="15"/>
  <c r="P20" i="15"/>
  <c r="P31" i="15" l="1"/>
  <c r="W15" i="14"/>
  <c r="X15" i="14" s="1"/>
  <c r="I13" i="3"/>
  <c r="I6" i="3"/>
  <c r="I8" i="3"/>
  <c r="I5" i="3"/>
  <c r="I10" i="3"/>
  <c r="I11" i="3"/>
  <c r="F15" i="3"/>
  <c r="I9" i="3" l="1"/>
  <c r="I15" i="3" s="1"/>
  <c r="G15" i="3"/>
  <c r="H15" i="3"/>
  <c r="E14" i="7" l="1"/>
  <c r="F6" i="6"/>
  <c r="F12" i="6" l="1"/>
  <c r="F13" i="6"/>
  <c r="F10" i="6"/>
  <c r="F9" i="6"/>
  <c r="F7" i="6"/>
  <c r="F5" i="6"/>
  <c r="F11" i="6"/>
  <c r="F8" i="6"/>
  <c r="F4" i="6"/>
  <c r="J14" i="16"/>
  <c r="H14" i="16"/>
  <c r="F15" i="6" l="1"/>
  <c r="G14" i="6" s="1"/>
  <c r="K14" i="16"/>
  <c r="L14" i="16" s="1"/>
  <c r="R12" i="14" l="1"/>
  <c r="R10" i="14" l="1"/>
  <c r="R7" i="14"/>
  <c r="R14" i="14"/>
  <c r="R8" i="14"/>
  <c r="R11" i="14"/>
  <c r="R13" i="14"/>
  <c r="R9" i="14"/>
  <c r="F13" i="9" l="1"/>
  <c r="S16" i="14" l="1"/>
  <c r="U14" i="14" l="1"/>
  <c r="F11" i="9"/>
  <c r="N27" i="15"/>
  <c r="W14" i="14" l="1"/>
  <c r="X14" i="14" s="1"/>
  <c r="U12" i="14"/>
  <c r="W12" i="14" l="1"/>
  <c r="X12" i="14" s="1"/>
  <c r="H13" i="2"/>
  <c r="G13" i="2"/>
  <c r="I13" i="2"/>
  <c r="J13" i="2" l="1"/>
  <c r="J6" i="16" l="1"/>
  <c r="J7" i="16"/>
  <c r="J8" i="16"/>
  <c r="J9" i="16"/>
  <c r="J10" i="16"/>
  <c r="J13" i="16"/>
  <c r="J11" i="16"/>
  <c r="J12" i="16"/>
  <c r="G8" i="2" l="1"/>
  <c r="G11" i="2"/>
  <c r="G5" i="2"/>
  <c r="G9" i="2"/>
  <c r="G4" i="2"/>
  <c r="G6" i="2"/>
  <c r="G12" i="2"/>
  <c r="G7" i="2"/>
  <c r="G10" i="2"/>
  <c r="G15" i="2" l="1"/>
  <c r="N28" i="15" l="1"/>
  <c r="H13" i="16" l="1"/>
  <c r="K13" i="16" l="1"/>
  <c r="L13" i="16" s="1"/>
  <c r="F12" i="9" l="1"/>
  <c r="U13" i="14" l="1"/>
  <c r="W13" i="14" l="1"/>
  <c r="X13" i="14" s="1"/>
  <c r="H12" i="2"/>
  <c r="I12" i="2"/>
  <c r="J12" i="2" l="1"/>
  <c r="K16" i="15" l="1"/>
  <c r="K17" i="15" s="1"/>
  <c r="H12" i="16" l="1"/>
  <c r="H11" i="16"/>
  <c r="H10" i="16"/>
  <c r="H9" i="16"/>
  <c r="H8" i="16"/>
  <c r="H7" i="16"/>
  <c r="AA16" i="14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N29" i="15"/>
  <c r="N26" i="15"/>
  <c r="N25" i="15"/>
  <c r="N24" i="15"/>
  <c r="N23" i="15"/>
  <c r="N22" i="15"/>
  <c r="N21" i="15"/>
  <c r="N20" i="15"/>
  <c r="I15" i="2" l="1"/>
  <c r="H15" i="2"/>
  <c r="J10" i="2"/>
  <c r="F8" i="9"/>
  <c r="J5" i="2"/>
  <c r="J9" i="2"/>
  <c r="J6" i="2"/>
  <c r="J4" i="2"/>
  <c r="J8" i="2"/>
  <c r="J7" i="2"/>
  <c r="J11" i="2"/>
  <c r="F10" i="9"/>
  <c r="H30" i="15"/>
  <c r="K7" i="16"/>
  <c r="L7" i="16" s="1"/>
  <c r="P16" i="14"/>
  <c r="F6" i="9"/>
  <c r="F7" i="9"/>
  <c r="F9" i="9"/>
  <c r="K8" i="16"/>
  <c r="L8" i="16" s="1"/>
  <c r="H5" i="16"/>
  <c r="J5" i="16"/>
  <c r="J16" i="16" s="1"/>
  <c r="H6" i="16"/>
  <c r="K9" i="16"/>
  <c r="L9" i="16" s="1"/>
  <c r="K10" i="16"/>
  <c r="L10" i="16" s="1"/>
  <c r="K11" i="16"/>
  <c r="L11" i="16" s="1"/>
  <c r="K12" i="16"/>
  <c r="L12" i="16" s="1"/>
  <c r="I30" i="15" l="1"/>
  <c r="I29" i="15"/>
  <c r="H16" i="16"/>
  <c r="I15" i="16" s="1"/>
  <c r="P15" i="16" s="1"/>
  <c r="F5" i="9"/>
  <c r="F15" i="9" s="1"/>
  <c r="M16" i="14"/>
  <c r="J15" i="3"/>
  <c r="K14" i="3" s="1"/>
  <c r="E30" i="15" s="1"/>
  <c r="J15" i="2"/>
  <c r="G11" i="6"/>
  <c r="H27" i="15" s="1"/>
  <c r="G10" i="6"/>
  <c r="H26" i="15" s="1"/>
  <c r="G12" i="6"/>
  <c r="H28" i="15" s="1"/>
  <c r="G8" i="6"/>
  <c r="H23" i="15" s="1"/>
  <c r="G9" i="6"/>
  <c r="H24" i="15" s="1"/>
  <c r="G6" i="6"/>
  <c r="H25" i="15" s="1"/>
  <c r="G7" i="6"/>
  <c r="H22" i="15" s="1"/>
  <c r="G13" i="6"/>
  <c r="H29" i="15" s="1"/>
  <c r="G5" i="6"/>
  <c r="H21" i="15" s="1"/>
  <c r="K5" i="16"/>
  <c r="E6" i="7"/>
  <c r="I21" i="15" s="1"/>
  <c r="E11" i="7"/>
  <c r="I28" i="15" s="1"/>
  <c r="R6" i="14"/>
  <c r="E9" i="7"/>
  <c r="I23" i="15" s="1"/>
  <c r="E5" i="7"/>
  <c r="E13" i="7"/>
  <c r="I27" i="15" s="1"/>
  <c r="E8" i="7"/>
  <c r="I22" i="15" s="1"/>
  <c r="E12" i="7"/>
  <c r="I26" i="15" s="1"/>
  <c r="E10" i="7"/>
  <c r="I24" i="15" s="1"/>
  <c r="E7" i="7"/>
  <c r="I25" i="15" s="1"/>
  <c r="K6" i="16"/>
  <c r="L6" i="16" s="1"/>
  <c r="R5" i="14"/>
  <c r="R16" i="14" l="1"/>
  <c r="K16" i="16"/>
  <c r="E16" i="7"/>
  <c r="I20" i="15"/>
  <c r="I31" i="15" s="1"/>
  <c r="G5" i="9"/>
  <c r="G14" i="9"/>
  <c r="G30" i="15" s="1"/>
  <c r="G13" i="9"/>
  <c r="G11" i="9"/>
  <c r="G12" i="9"/>
  <c r="G7" i="9"/>
  <c r="G8" i="9"/>
  <c r="G10" i="9"/>
  <c r="G9" i="9"/>
  <c r="G6" i="9"/>
  <c r="K11" i="3"/>
  <c r="E27" i="15" s="1"/>
  <c r="K4" i="3"/>
  <c r="E20" i="15" s="1"/>
  <c r="K12" i="2"/>
  <c r="D28" i="15" s="1"/>
  <c r="K13" i="2"/>
  <c r="D29" i="15" s="1"/>
  <c r="K5" i="2"/>
  <c r="D21" i="15" s="1"/>
  <c r="K10" i="2"/>
  <c r="D26" i="15" s="1"/>
  <c r="K6" i="2"/>
  <c r="D25" i="15" s="1"/>
  <c r="K7" i="2"/>
  <c r="D22" i="15" s="1"/>
  <c r="K11" i="2"/>
  <c r="D27" i="15" s="1"/>
  <c r="K14" i="2"/>
  <c r="D30" i="15" s="1"/>
  <c r="K8" i="2"/>
  <c r="D23" i="15" s="1"/>
  <c r="K9" i="2"/>
  <c r="D24" i="15" s="1"/>
  <c r="K4" i="2"/>
  <c r="I14" i="16"/>
  <c r="P14" i="16" s="1"/>
  <c r="I6" i="16"/>
  <c r="P6" i="16" s="1"/>
  <c r="I13" i="16"/>
  <c r="P13" i="16" s="1"/>
  <c r="G4" i="6"/>
  <c r="G15" i="6" s="1"/>
  <c r="K12" i="3"/>
  <c r="E28" i="15" s="1"/>
  <c r="L5" i="16"/>
  <c r="I12" i="16"/>
  <c r="I7" i="16"/>
  <c r="I8" i="16"/>
  <c r="I11" i="16"/>
  <c r="I10" i="16"/>
  <c r="I9" i="16"/>
  <c r="I5" i="16"/>
  <c r="K10" i="3"/>
  <c r="E26" i="15" s="1"/>
  <c r="K13" i="3"/>
  <c r="E29" i="15" s="1"/>
  <c r="K6" i="3"/>
  <c r="E25" i="15" s="1"/>
  <c r="K7" i="3"/>
  <c r="E22" i="15" s="1"/>
  <c r="K9" i="3"/>
  <c r="E24" i="15" s="1"/>
  <c r="K5" i="3"/>
  <c r="E21" i="15" s="1"/>
  <c r="K8" i="3"/>
  <c r="E23" i="15" s="1"/>
  <c r="I16" i="16" l="1"/>
  <c r="L16" i="16"/>
  <c r="M15" i="16" s="1"/>
  <c r="Q15" i="16" s="1"/>
  <c r="J30" i="15" s="1"/>
  <c r="H20" i="15"/>
  <c r="H31" i="15" s="1"/>
  <c r="E31" i="15"/>
  <c r="K15" i="2"/>
  <c r="D20" i="15"/>
  <c r="D31" i="15" s="1"/>
  <c r="K15" i="3"/>
  <c r="G4" i="9"/>
  <c r="P9" i="16"/>
  <c r="P12" i="16"/>
  <c r="P11" i="16"/>
  <c r="P7" i="16"/>
  <c r="P10" i="16"/>
  <c r="P8" i="16"/>
  <c r="P5" i="16"/>
  <c r="P16" i="16" l="1"/>
  <c r="R15" i="16"/>
  <c r="M14" i="16"/>
  <c r="Q14" i="16" s="1"/>
  <c r="J29" i="15" s="1"/>
  <c r="G20" i="15"/>
  <c r="G15" i="9"/>
  <c r="M13" i="16"/>
  <c r="Q13" i="16" s="1"/>
  <c r="J28" i="15" s="1"/>
  <c r="G29" i="15"/>
  <c r="G28" i="15"/>
  <c r="G23" i="15"/>
  <c r="G21" i="15"/>
  <c r="G24" i="15"/>
  <c r="G27" i="15"/>
  <c r="G25" i="15"/>
  <c r="G26" i="15"/>
  <c r="G22" i="15"/>
  <c r="M5" i="16"/>
  <c r="M7" i="16"/>
  <c r="M12" i="16"/>
  <c r="M11" i="16"/>
  <c r="M8" i="16"/>
  <c r="M9" i="16"/>
  <c r="M10" i="16"/>
  <c r="M6" i="16"/>
  <c r="R14" i="16" l="1"/>
  <c r="M16" i="16"/>
  <c r="R13" i="16"/>
  <c r="Q5" i="16"/>
  <c r="Q9" i="16"/>
  <c r="J23" i="15" s="1"/>
  <c r="Q7" i="16"/>
  <c r="J25" i="15" s="1"/>
  <c r="Q8" i="16"/>
  <c r="J22" i="15" s="1"/>
  <c r="Q6" i="16"/>
  <c r="J21" i="15" s="1"/>
  <c r="Q11" i="16"/>
  <c r="J26" i="15" s="1"/>
  <c r="Q10" i="16"/>
  <c r="J24" i="15" s="1"/>
  <c r="Q12" i="16"/>
  <c r="J27" i="15" s="1"/>
  <c r="R5" i="16" l="1"/>
  <c r="J20" i="15"/>
  <c r="J31" i="15" s="1"/>
  <c r="R11" i="16"/>
  <c r="Q16" i="16"/>
  <c r="R6" i="16"/>
  <c r="G31" i="15"/>
  <c r="R7" i="16"/>
  <c r="R12" i="16"/>
  <c r="R8" i="16"/>
  <c r="R10" i="16"/>
  <c r="R9" i="16"/>
  <c r="R16" i="16" l="1"/>
  <c r="U9" i="14"/>
  <c r="U8" i="14"/>
  <c r="U11" i="14"/>
  <c r="U7" i="14"/>
  <c r="T16" i="14"/>
  <c r="U10" i="14"/>
  <c r="U6" i="14"/>
  <c r="W11" i="14" l="1"/>
  <c r="X11" i="14" s="1"/>
  <c r="W6" i="14"/>
  <c r="X6" i="14" s="1"/>
  <c r="W7" i="14"/>
  <c r="X7" i="14" s="1"/>
  <c r="W8" i="14"/>
  <c r="X8" i="14" s="1"/>
  <c r="W9" i="14"/>
  <c r="X9" i="14" s="1"/>
  <c r="W10" i="14"/>
  <c r="X10" i="14" s="1"/>
  <c r="U16" i="14"/>
  <c r="V15" i="14" s="1"/>
  <c r="AB15" i="14" l="1"/>
  <c r="V14" i="14"/>
  <c r="W5" i="14"/>
  <c r="X5" i="14" s="1"/>
  <c r="X16" i="14" s="1"/>
  <c r="Y15" i="14" s="1"/>
  <c r="AC15" i="14" l="1"/>
  <c r="AD15" i="14" s="1"/>
  <c r="F30" i="15" s="1"/>
  <c r="K30" i="15" s="1"/>
  <c r="L30" i="15" s="1"/>
  <c r="AB14" i="14"/>
  <c r="V13" i="14"/>
  <c r="V12" i="14"/>
  <c r="V6" i="14"/>
  <c r="V8" i="14"/>
  <c r="V9" i="14"/>
  <c r="V7" i="14"/>
  <c r="V10" i="14"/>
  <c r="V11" i="14"/>
  <c r="V5" i="14"/>
  <c r="R30" i="15" l="1"/>
  <c r="S30" i="15" s="1"/>
  <c r="AB11" i="14"/>
  <c r="AB5" i="14"/>
  <c r="AB9" i="14"/>
  <c r="AB10" i="14"/>
  <c r="AB7" i="14"/>
  <c r="AB8" i="14"/>
  <c r="AB6" i="14"/>
  <c r="AB12" i="14"/>
  <c r="AB13" i="14"/>
  <c r="V16" i="14"/>
  <c r="Y12" i="14"/>
  <c r="Y14" i="14"/>
  <c r="Y13" i="14"/>
  <c r="Y6" i="14"/>
  <c r="Y8" i="14"/>
  <c r="Y9" i="14"/>
  <c r="Y7" i="14"/>
  <c r="Y10" i="14"/>
  <c r="Y11" i="14"/>
  <c r="Y5" i="14"/>
  <c r="AB16" i="14" l="1"/>
  <c r="AC5" i="14"/>
  <c r="AD5" i="14" s="1"/>
  <c r="AC6" i="14"/>
  <c r="AD6" i="14" s="1"/>
  <c r="F21" i="15" s="1"/>
  <c r="K21" i="15" s="1"/>
  <c r="L21" i="15" s="1"/>
  <c r="AC13" i="14"/>
  <c r="AD13" i="14" s="1"/>
  <c r="F28" i="15" s="1"/>
  <c r="K28" i="15" s="1"/>
  <c r="L28" i="15" s="1"/>
  <c r="AC14" i="14"/>
  <c r="AD14" i="14" s="1"/>
  <c r="F29" i="15" s="1"/>
  <c r="K29" i="15" s="1"/>
  <c r="L29" i="15" s="1"/>
  <c r="AC11" i="14"/>
  <c r="AD11" i="14" s="1"/>
  <c r="F26" i="15" s="1"/>
  <c r="K26" i="15" s="1"/>
  <c r="L26" i="15" s="1"/>
  <c r="AC10" i="14"/>
  <c r="AD10" i="14" s="1"/>
  <c r="F24" i="15" s="1"/>
  <c r="K24" i="15" s="1"/>
  <c r="L24" i="15" s="1"/>
  <c r="AC7" i="14"/>
  <c r="AD7" i="14" s="1"/>
  <c r="F25" i="15" s="1"/>
  <c r="K25" i="15" s="1"/>
  <c r="L25" i="15" s="1"/>
  <c r="AC8" i="14"/>
  <c r="AD8" i="14" s="1"/>
  <c r="F22" i="15" s="1"/>
  <c r="K22" i="15" s="1"/>
  <c r="L22" i="15" s="1"/>
  <c r="AC12" i="14"/>
  <c r="AD12" i="14" s="1"/>
  <c r="F27" i="15" s="1"/>
  <c r="K27" i="15" s="1"/>
  <c r="AC9" i="14"/>
  <c r="AD9" i="14" s="1"/>
  <c r="F23" i="15" s="1"/>
  <c r="K23" i="15" s="1"/>
  <c r="L23" i="15" s="1"/>
  <c r="Y16" i="14"/>
  <c r="R28" i="15" l="1"/>
  <c r="S28" i="15" s="1"/>
  <c r="R24" i="15"/>
  <c r="S24" i="15" s="1"/>
  <c r="R21" i="15"/>
  <c r="S21" i="15" s="1"/>
  <c r="R23" i="15"/>
  <c r="S23" i="15" s="1"/>
  <c r="R26" i="15"/>
  <c r="S26" i="15" s="1"/>
  <c r="R25" i="15"/>
  <c r="S25" i="15" s="1"/>
  <c r="R22" i="15"/>
  <c r="S22" i="15" s="1"/>
  <c r="R29" i="15"/>
  <c r="S29" i="15" s="1"/>
  <c r="AC16" i="14"/>
  <c r="F20" i="15"/>
  <c r="F31" i="15" s="1"/>
  <c r="AD16" i="14"/>
  <c r="L27" i="15"/>
  <c r="R27" i="15" l="1"/>
  <c r="S27" i="15" s="1"/>
  <c r="K20" i="15"/>
  <c r="L20" i="15" l="1"/>
  <c r="K31" i="15"/>
  <c r="L31" i="15" l="1"/>
  <c r="R20" i="15"/>
  <c r="S20" i="15" s="1"/>
  <c r="S31" i="15" s="1"/>
  <c r="M29" i="15" l="1"/>
  <c r="M20" i="15"/>
  <c r="M26" i="15"/>
  <c r="M28" i="15"/>
  <c r="M27" i="15"/>
  <c r="L32" i="15"/>
  <c r="M22" i="15"/>
  <c r="M21" i="15"/>
  <c r="M25" i="15"/>
  <c r="M23" i="15"/>
  <c r="M24" i="15"/>
  <c r="M30" i="15"/>
  <c r="R31" i="15"/>
  <c r="M31" i="15" l="1"/>
</calcChain>
</file>

<file path=xl/sharedStrings.xml><?xml version="1.0" encoding="utf-8"?>
<sst xmlns="http://schemas.openxmlformats.org/spreadsheetml/2006/main" count="448" uniqueCount="146">
  <si>
    <t>Codigo</t>
  </si>
  <si>
    <t>Nombre IES</t>
  </si>
  <si>
    <t>UDP</t>
  </si>
  <si>
    <t>U. DIEGO PORTALES</t>
  </si>
  <si>
    <t>UAH</t>
  </si>
  <si>
    <t>U. ALBERTO HURTADO</t>
  </si>
  <si>
    <t>UCS</t>
  </si>
  <si>
    <t>U. CATÓLICA CARDENAL RAUL SILVA HENRIQUEZ</t>
  </si>
  <si>
    <t>UAU</t>
  </si>
  <si>
    <t>U. AUTONOMA DE CHILE</t>
  </si>
  <si>
    <t>UFT</t>
  </si>
  <si>
    <t>U. FINIS TERRAE</t>
  </si>
  <si>
    <t>AHC</t>
  </si>
  <si>
    <t>U. ACADEMIA DE HUMANISMO CRISTIANO</t>
  </si>
  <si>
    <t>TOTAL</t>
  </si>
  <si>
    <t>Monto por Indicador</t>
  </si>
  <si>
    <t>Doctorados Acreditados</t>
  </si>
  <si>
    <t>Planta Académica</t>
  </si>
  <si>
    <t>Publicaciones</t>
  </si>
  <si>
    <t>Proyectos</t>
  </si>
  <si>
    <t>N°</t>
  </si>
  <si>
    <t>Citas por publicación</t>
  </si>
  <si>
    <t>Total M$</t>
  </si>
  <si>
    <t>Total Final Redondeado M$</t>
  </si>
  <si>
    <t>IES</t>
  </si>
  <si>
    <t>N° áreas acreditadas</t>
  </si>
  <si>
    <t>Cod_IES</t>
  </si>
  <si>
    <t>5 áreas</t>
  </si>
  <si>
    <t>Investigación</t>
  </si>
  <si>
    <t>Puntaje Años Acreditación Institucional</t>
  </si>
  <si>
    <t>% Planta Académica Total
Parte I</t>
  </si>
  <si>
    <t>% Planta Académica Total
Parte II</t>
  </si>
  <si>
    <t>% Publicaciones
Parte II</t>
  </si>
  <si>
    <t>Parte II</t>
  </si>
  <si>
    <t>Parte I</t>
  </si>
  <si>
    <t>% Planta academica</t>
  </si>
  <si>
    <t>% Publicaciones</t>
  </si>
  <si>
    <t xml:space="preserve">% Años Doctorados Acreditados
</t>
  </si>
  <si>
    <t>a)</t>
  </si>
  <si>
    <t>b)</t>
  </si>
  <si>
    <t>c)</t>
  </si>
  <si>
    <t>d)</t>
  </si>
  <si>
    <t>e)</t>
  </si>
  <si>
    <t>f)</t>
  </si>
  <si>
    <t>g)</t>
  </si>
  <si>
    <t>I.</t>
  </si>
  <si>
    <t>II.</t>
  </si>
  <si>
    <t>num</t>
  </si>
  <si>
    <t>den</t>
  </si>
  <si>
    <t>num/den</t>
  </si>
  <si>
    <t xml:space="preserve">num </t>
  </si>
  <si>
    <t>1p</t>
  </si>
  <si>
    <t>2p</t>
  </si>
  <si>
    <t>h)</t>
  </si>
  <si>
    <t>i)</t>
  </si>
  <si>
    <t>j)</t>
  </si>
  <si>
    <t>k)</t>
  </si>
  <si>
    <t>III.</t>
  </si>
  <si>
    <t>IV.</t>
  </si>
  <si>
    <t>V.</t>
  </si>
  <si>
    <t>VI.</t>
  </si>
  <si>
    <t>VII.</t>
  </si>
  <si>
    <t>N° Doctorados Acreditados 2 años</t>
  </si>
  <si>
    <t>N° Doctorados Acreditados 3 años</t>
  </si>
  <si>
    <t>N° Doctorados Acreditados 4 años</t>
  </si>
  <si>
    <t>N° Doctorados Acreditados 5 años</t>
  </si>
  <si>
    <t>Total N° Doctorados Acreditados</t>
  </si>
  <si>
    <t>e) (suma  b c d )</t>
  </si>
  <si>
    <t>% Acreditación Institucional</t>
  </si>
  <si>
    <t>suma</t>
  </si>
  <si>
    <t xml:space="preserve"> Publicaciones por académico</t>
  </si>
  <si>
    <t>Acreditación Institucional</t>
  </si>
  <si>
    <t>M$</t>
  </si>
  <si>
    <t>Corriente</t>
  </si>
  <si>
    <t>Capital</t>
  </si>
  <si>
    <t>N° Doctorados Acreditados 6 años</t>
  </si>
  <si>
    <t>U. BERNARDO O'HIGGINS</t>
  </si>
  <si>
    <t>UBO</t>
  </si>
  <si>
    <t>U. MAYOR</t>
  </si>
  <si>
    <t>UMA</t>
  </si>
  <si>
    <t>Nº total de Académicos JC* 2020</t>
  </si>
  <si>
    <t>Nº de Académicos JC* 2020 con grado de Doctor</t>
  </si>
  <si>
    <t>Publicaciones Scopus 2019</t>
  </si>
  <si>
    <t>Puntaje Ponderado Acreditación</t>
  </si>
  <si>
    <t>UST</t>
  </si>
  <si>
    <t>U. SANTO TOMÁS</t>
  </si>
  <si>
    <t>Acreditación en Investigación</t>
  </si>
  <si>
    <t>Años Acreditación</t>
  </si>
  <si>
    <t>Publicaciones Scopus 2020</t>
  </si>
  <si>
    <t>Nº de Académicos JC* 2021 con grado de Doctor</t>
  </si>
  <si>
    <t>Nº total de Académicos JC* 2021</t>
  </si>
  <si>
    <t>U.CENTRAL</t>
  </si>
  <si>
    <t>UCE</t>
  </si>
  <si>
    <t>Nº de Académicos JC* 2022 con grado de Doctor</t>
  </si>
  <si>
    <t>Nº total de Académicos JC* 2022</t>
  </si>
  <si>
    <t>Académicos JC con Doctor
 2020-2022</t>
  </si>
  <si>
    <t>Académicos JC
 2020-2022</t>
  </si>
  <si>
    <t>% Planta Académica
 2020-2022 por IES</t>
  </si>
  <si>
    <t>Publicaciones Scopus 2021</t>
  </si>
  <si>
    <t>Publicaciones Scopus  2019-2021</t>
  </si>
  <si>
    <t>Distribución de Recursos por Institución</t>
  </si>
  <si>
    <t>Monto Transferencias Corrientes
 M$</t>
  </si>
  <si>
    <t>Monto Transferencias de Capital
 M$</t>
  </si>
  <si>
    <t>Código DFI</t>
  </si>
  <si>
    <t>Miles de pesos</t>
  </si>
  <si>
    <t>Aporte para Fomento de Investigación (FI)</t>
  </si>
  <si>
    <t>Ley de presupuestos año 2024</t>
  </si>
  <si>
    <t>Montos FI 2024</t>
  </si>
  <si>
    <t>Total Presupuesto 2024</t>
  </si>
  <si>
    <t>U. DE LAS AMÉRICAS</t>
  </si>
  <si>
    <t>UAM</t>
  </si>
  <si>
    <t>Acreditación al 31-12-2023</t>
  </si>
  <si>
    <t>N° Años Doctorados Acreditados 
2023</t>
  </si>
  <si>
    <t>Nº de Académicos JC* 2023 con grado de Doctor</t>
  </si>
  <si>
    <t>Nº total de Académicos JC* 2023</t>
  </si>
  <si>
    <t>Académicos JC con Doctor
 2021-2023</t>
  </si>
  <si>
    <t>Académicos JC
 2021-2023</t>
  </si>
  <si>
    <t>% Planta Académica
 2021-2023 por IES</t>
  </si>
  <si>
    <t>variación
% 2023
v/s
% 2022
%</t>
  </si>
  <si>
    <t>variación CORREGIDA (pasando a 0 si es  negativos)
% 2023
v/s
% 2022
%</t>
  </si>
  <si>
    <t>Publicaciones Scopus 2018-2022</t>
  </si>
  <si>
    <t>Académicos JC 2018-2022</t>
  </si>
  <si>
    <t>Promedio Publicaciones Scopus por AJC 2018-2022</t>
  </si>
  <si>
    <t>% Publicaciones Scopus por AJC 2018-2022</t>
  </si>
  <si>
    <t>Citas SCOPUS 2018-2022</t>
  </si>
  <si>
    <t>Publicaciones SCOPUS 2018-2022</t>
  </si>
  <si>
    <t>Promedio SCOPUS citas por publicaciones 2018-2022</t>
  </si>
  <si>
    <t>% Citas Scopus 2018-2022</t>
  </si>
  <si>
    <t>Proyectos 2023</t>
  </si>
  <si>
    <t>% Proyectos 2023</t>
  </si>
  <si>
    <t>Publicaciones Scopus 2022</t>
  </si>
  <si>
    <t>Publicaciones Scopus  2020-2022</t>
  </si>
  <si>
    <t>% Publicaciones
2020-2022
Parte I</t>
  </si>
  <si>
    <t>variación CORREGIDA (pasando a 0 si es  negativos)
tasa 2022
v/s
tasa 2021
%</t>
  </si>
  <si>
    <t>Nº total de Académicos JC* 2020-2023</t>
  </si>
  <si>
    <t xml:space="preserve">Variación 
2020-2022
v/S
2019-2021
FRECUENCIAS
</t>
  </si>
  <si>
    <t>M$ 40%</t>
  </si>
  <si>
    <t>Unidad de Análisis, DIVIA - SUBESUP</t>
  </si>
  <si>
    <t>Cambio</t>
  </si>
  <si>
    <t>Total FI 2024</t>
  </si>
  <si>
    <t>Saldo</t>
  </si>
  <si>
    <t>Anticipo</t>
  </si>
  <si>
    <t>28 de octubre de 2024</t>
  </si>
  <si>
    <t>FI 2024 %</t>
  </si>
  <si>
    <t>Dec N° 104-2024
Monto a Distribuir
M$</t>
  </si>
  <si>
    <t>Dec N° 
Monto a Distribuir
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</si>
</sst>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0.0%"/>
    <numFmt numFmtId="169" formatCode="_-* #,##0\ _€_-;\-* #,##0\ _€_-;_-* &quot;-&quot;??\ _€_-;_-@_-"/>
    <numFmt numFmtId="170" formatCode="_-* #,##0.0000_-;\-* #,##0.0000_-;_-* &quot;-&quot;??_-;_-@_-"/>
    <numFmt numFmtId="171" formatCode="0.0000000000000%"/>
    <numFmt numFmtId="172" formatCode="#,##0.0;\-#,##0.0"/>
    <numFmt numFmtId="173" formatCode="0.000%"/>
    <numFmt numFmtId="174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26" fillId="0" borderId="0"/>
  </cellStyleXfs>
  <cellXfs count="199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3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9" fontId="0" fillId="0" borderId="0" xfId="0" applyNumberFormat="1"/>
    <xf numFmtId="0" fontId="2" fillId="0" borderId="2" xfId="0" applyFont="1" applyBorder="1"/>
    <xf numFmtId="0" fontId="7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5" fontId="9" fillId="0" borderId="1" xfId="1" applyNumberFormat="1" applyFont="1" applyBorder="1"/>
    <xf numFmtId="0" fontId="10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165" fontId="10" fillId="0" borderId="0" xfId="1" applyNumberFormat="1" applyFont="1"/>
    <xf numFmtId="165" fontId="8" fillId="0" borderId="1" xfId="1" applyNumberFormat="1" applyFont="1" applyBorder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8" fillId="0" borderId="1" xfId="2" applyFont="1" applyBorder="1"/>
    <xf numFmtId="0" fontId="12" fillId="0" borderId="0" xfId="0" applyFont="1" applyAlignment="1">
      <alignment horizontal="center"/>
    </xf>
    <xf numFmtId="9" fontId="8" fillId="0" borderId="1" xfId="0" applyNumberFormat="1" applyFont="1" applyBorder="1"/>
    <xf numFmtId="0" fontId="11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169" fontId="4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4" fillId="5" borderId="2" xfId="0" applyFont="1" applyFill="1" applyBorder="1"/>
    <xf numFmtId="165" fontId="9" fillId="0" borderId="8" xfId="1" applyNumberFormat="1" applyFont="1" applyBorder="1"/>
    <xf numFmtId="165" fontId="9" fillId="0" borderId="14" xfId="1" applyNumberFormat="1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/>
    <xf numFmtId="0" fontId="11" fillId="0" borderId="18" xfId="0" applyFont="1" applyBorder="1"/>
    <xf numFmtId="0" fontId="8" fillId="0" borderId="17" xfId="0" applyFont="1" applyBorder="1"/>
    <xf numFmtId="0" fontId="8" fillId="0" borderId="1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7" fillId="0" borderId="0" xfId="0" applyFont="1"/>
    <xf numFmtId="9" fontId="0" fillId="0" borderId="0" xfId="2" applyFont="1" applyFill="1"/>
    <xf numFmtId="0" fontId="18" fillId="0" borderId="0" xfId="0" applyFont="1"/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9" fontId="8" fillId="4" borderId="1" xfId="2" applyFont="1" applyFill="1" applyBorder="1"/>
    <xf numFmtId="9" fontId="8" fillId="4" borderId="1" xfId="0" applyNumberFormat="1" applyFont="1" applyFill="1" applyBorder="1"/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9" fillId="4" borderId="1" xfId="0" applyFont="1" applyFill="1" applyBorder="1" applyAlignment="1">
      <alignment horizontal="center" vertical="center" wrapText="1"/>
    </xf>
    <xf numFmtId="9" fontId="10" fillId="4" borderId="1" xfId="2" applyFont="1" applyFill="1" applyBorder="1"/>
    <xf numFmtId="9" fontId="10" fillId="4" borderId="1" xfId="0" applyNumberFormat="1" applyFont="1" applyFill="1" applyBorder="1"/>
    <xf numFmtId="9" fontId="8" fillId="4" borderId="1" xfId="2" applyFont="1" applyFill="1" applyBorder="1" applyAlignment="1">
      <alignment horizontal="center"/>
    </xf>
    <xf numFmtId="9" fontId="16" fillId="4" borderId="1" xfId="0" applyNumberFormat="1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20" fillId="0" borderId="0" xfId="0" applyFont="1"/>
    <xf numFmtId="9" fontId="2" fillId="0" borderId="0" xfId="0" applyNumberFormat="1" applyFont="1"/>
    <xf numFmtId="0" fontId="2" fillId="0" borderId="17" xfId="0" applyFont="1" applyBorder="1"/>
    <xf numFmtId="0" fontId="21" fillId="0" borderId="0" xfId="0" applyFont="1"/>
    <xf numFmtId="15" fontId="0" fillId="0" borderId="0" xfId="0" applyNumberFormat="1"/>
    <xf numFmtId="0" fontId="22" fillId="3" borderId="1" xfId="0" applyFont="1" applyFill="1" applyBorder="1" applyAlignment="1">
      <alignment horizontal="center" vertical="center" wrapText="1"/>
    </xf>
    <xf numFmtId="169" fontId="9" fillId="0" borderId="1" xfId="0" applyNumberFormat="1" applyFont="1" applyBorder="1"/>
    <xf numFmtId="0" fontId="9" fillId="5" borderId="4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3" fontId="8" fillId="0" borderId="6" xfId="0" applyNumberFormat="1" applyFont="1" applyBorder="1"/>
    <xf numFmtId="168" fontId="8" fillId="0" borderId="2" xfId="2" applyNumberFormat="1" applyFont="1" applyBorder="1"/>
    <xf numFmtId="9" fontId="9" fillId="0" borderId="23" xfId="2" applyFont="1" applyBorder="1"/>
    <xf numFmtId="0" fontId="14" fillId="0" borderId="0" xfId="0" applyFont="1"/>
    <xf numFmtId="0" fontId="23" fillId="0" borderId="0" xfId="0" applyFont="1" applyAlignment="1">
      <alignment horizontal="center"/>
    </xf>
    <xf numFmtId="0" fontId="9" fillId="0" borderId="28" xfId="0" applyFont="1" applyBorder="1"/>
    <xf numFmtId="0" fontId="4" fillId="4" borderId="27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67" fontId="10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4" borderId="27" xfId="0" applyFont="1" applyFill="1" applyBorder="1"/>
    <xf numFmtId="0" fontId="9" fillId="0" borderId="1" xfId="0" applyFont="1" applyBorder="1" applyAlignment="1">
      <alignment horizontal="center"/>
    </xf>
    <xf numFmtId="171" fontId="11" fillId="0" borderId="0" xfId="0" applyNumberFormat="1" applyFont="1"/>
    <xf numFmtId="9" fontId="8" fillId="0" borderId="0" xfId="0" applyNumberFormat="1" applyFont="1" applyAlignment="1">
      <alignment wrapText="1"/>
    </xf>
    <xf numFmtId="9" fontId="8" fillId="0" borderId="0" xfId="0" applyNumberFormat="1" applyFont="1" applyAlignment="1">
      <alignment horizontal="left" wrapText="1"/>
    </xf>
    <xf numFmtId="168" fontId="10" fillId="0" borderId="0" xfId="2" applyNumberFormat="1" applyFont="1" applyAlignment="1">
      <alignment horizontal="left"/>
    </xf>
    <xf numFmtId="0" fontId="5" fillId="0" borderId="29" xfId="0" applyFont="1" applyBorder="1"/>
    <xf numFmtId="0" fontId="5" fillId="0" borderId="3" xfId="0" applyFont="1" applyBorder="1"/>
    <xf numFmtId="0" fontId="24" fillId="0" borderId="0" xfId="0" applyFont="1"/>
    <xf numFmtId="0" fontId="27" fillId="0" borderId="0" xfId="0" applyFont="1"/>
    <xf numFmtId="168" fontId="8" fillId="0" borderId="1" xfId="0" applyNumberFormat="1" applyFont="1" applyBorder="1" applyAlignment="1">
      <alignment horizontal="center" wrapText="1"/>
    </xf>
    <xf numFmtId="9" fontId="5" fillId="0" borderId="1" xfId="0" applyNumberFormat="1" applyFont="1" applyBorder="1" applyAlignment="1">
      <alignment horizontal="center"/>
    </xf>
    <xf numFmtId="2" fontId="8" fillId="0" borderId="1" xfId="2" applyNumberFormat="1" applyFont="1" applyBorder="1"/>
    <xf numFmtId="10" fontId="8" fillId="4" borderId="1" xfId="2" applyNumberFormat="1" applyFont="1" applyFill="1" applyBorder="1"/>
    <xf numFmtId="10" fontId="9" fillId="4" borderId="1" xfId="2" applyNumberFormat="1" applyFont="1" applyFill="1" applyBorder="1"/>
    <xf numFmtId="167" fontId="8" fillId="0" borderId="1" xfId="0" applyNumberFormat="1" applyFont="1" applyBorder="1"/>
    <xf numFmtId="9" fontId="9" fillId="4" borderId="1" xfId="2" applyFont="1" applyFill="1" applyBorder="1"/>
    <xf numFmtId="0" fontId="9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5" fontId="8" fillId="0" borderId="16" xfId="1" applyNumberFormat="1" applyFont="1" applyBorder="1"/>
    <xf numFmtId="165" fontId="8" fillId="0" borderId="3" xfId="1" applyNumberFormat="1" applyFont="1" applyBorder="1"/>
    <xf numFmtId="165" fontId="9" fillId="0" borderId="16" xfId="0" applyNumberFormat="1" applyFont="1" applyBorder="1"/>
    <xf numFmtId="170" fontId="8" fillId="4" borderId="1" xfId="2" applyNumberFormat="1" applyFont="1" applyFill="1" applyBorder="1"/>
    <xf numFmtId="168" fontId="8" fillId="4" borderId="1" xfId="0" applyNumberFormat="1" applyFont="1" applyFill="1" applyBorder="1"/>
    <xf numFmtId="166" fontId="8" fillId="0" borderId="3" xfId="1" applyNumberFormat="1" applyFont="1" applyBorder="1"/>
    <xf numFmtId="165" fontId="9" fillId="0" borderId="1" xfId="0" applyNumberFormat="1" applyFont="1" applyBorder="1"/>
    <xf numFmtId="170" fontId="8" fillId="0" borderId="1" xfId="2" applyNumberFormat="1" applyFont="1" applyBorder="1"/>
    <xf numFmtId="168" fontId="8" fillId="0" borderId="1" xfId="0" applyNumberFormat="1" applyFont="1" applyBorder="1"/>
    <xf numFmtId="168" fontId="8" fillId="4" borderId="1" xfId="2" applyNumberFormat="1" applyFont="1" applyFill="1" applyBorder="1"/>
    <xf numFmtId="168" fontId="8" fillId="4" borderId="0" xfId="0" applyNumberFormat="1" applyFont="1" applyFill="1"/>
    <xf numFmtId="0" fontId="9" fillId="2" borderId="24" xfId="0" applyFont="1" applyFill="1" applyBorder="1" applyAlignment="1">
      <alignment horizontal="center" vertical="center" wrapText="1"/>
    </xf>
    <xf numFmtId="168" fontId="8" fillId="2" borderId="25" xfId="2" applyNumberFormat="1" applyFont="1" applyFill="1" applyBorder="1"/>
    <xf numFmtId="9" fontId="9" fillId="2" borderId="26" xfId="2" applyFont="1" applyFill="1" applyBorder="1"/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9" fontId="10" fillId="0" borderId="3" xfId="2" applyFont="1" applyBorder="1"/>
    <xf numFmtId="9" fontId="10" fillId="0" borderId="1" xfId="2" applyFont="1" applyBorder="1"/>
    <xf numFmtId="9" fontId="10" fillId="0" borderId="3" xfId="0" applyNumberFormat="1" applyFont="1" applyBorder="1"/>
    <xf numFmtId="0" fontId="16" fillId="0" borderId="0" xfId="0" applyFont="1" applyAlignment="1">
      <alignment horizontal="center"/>
    </xf>
    <xf numFmtId="168" fontId="10" fillId="2" borderId="1" xfId="2" applyNumberFormat="1" applyFont="1" applyFill="1" applyBorder="1"/>
    <xf numFmtId="0" fontId="10" fillId="4" borderId="1" xfId="0" applyFont="1" applyFill="1" applyBorder="1" applyAlignment="1">
      <alignment horizontal="right"/>
    </xf>
    <xf numFmtId="168" fontId="10" fillId="2" borderId="1" xfId="0" applyNumberFormat="1" applyFont="1" applyFill="1" applyBorder="1"/>
    <xf numFmtId="9" fontId="10" fillId="0" borderId="1" xfId="0" applyNumberFormat="1" applyFont="1" applyBorder="1"/>
    <xf numFmtId="1" fontId="16" fillId="0" borderId="1" xfId="0" applyNumberFormat="1" applyFont="1" applyBorder="1"/>
    <xf numFmtId="14" fontId="18" fillId="0" borderId="0" xfId="0" applyNumberFormat="1" applyFont="1"/>
    <xf numFmtId="0" fontId="2" fillId="4" borderId="27" xfId="0" applyFont="1" applyFill="1" applyBorder="1"/>
    <xf numFmtId="165" fontId="8" fillId="0" borderId="1" xfId="0" applyNumberFormat="1" applyFont="1" applyBorder="1"/>
    <xf numFmtId="1" fontId="16" fillId="0" borderId="1" xfId="0" applyNumberFormat="1" applyFont="1" applyBorder="1" applyAlignment="1">
      <alignment horizontal="center"/>
    </xf>
    <xf numFmtId="168" fontId="8" fillId="0" borderId="0" xfId="0" applyNumberFormat="1" applyFont="1" applyAlignment="1">
      <alignment vertical="top" wrapText="1"/>
    </xf>
    <xf numFmtId="168" fontId="8" fillId="0" borderId="1" xfId="0" applyNumberFormat="1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165" fontId="9" fillId="6" borderId="1" xfId="1" applyNumberFormat="1" applyFont="1" applyFill="1" applyBorder="1"/>
    <xf numFmtId="0" fontId="9" fillId="7" borderId="1" xfId="0" applyFont="1" applyFill="1" applyBorder="1" applyAlignment="1">
      <alignment horizontal="center" vertical="center" wrapText="1"/>
    </xf>
    <xf numFmtId="166" fontId="9" fillId="7" borderId="1" xfId="0" applyNumberFormat="1" applyFont="1" applyFill="1" applyBorder="1"/>
    <xf numFmtId="166" fontId="9" fillId="7" borderId="1" xfId="1" applyNumberFormat="1" applyFont="1" applyFill="1" applyBorder="1"/>
    <xf numFmtId="9" fontId="9" fillId="7" borderId="1" xfId="2" applyFont="1" applyFill="1" applyBorder="1"/>
    <xf numFmtId="166" fontId="9" fillId="6" borderId="1" xfId="0" applyNumberFormat="1" applyFont="1" applyFill="1" applyBorder="1"/>
    <xf numFmtId="0" fontId="8" fillId="0" borderId="1" xfId="0" applyFont="1" applyBorder="1" applyAlignment="1">
      <alignment horizontal="center"/>
    </xf>
    <xf numFmtId="165" fontId="8" fillId="0" borderId="1" xfId="1" applyNumberFormat="1" applyFont="1" applyFill="1" applyBorder="1"/>
    <xf numFmtId="0" fontId="8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9" fillId="0" borderId="0" xfId="0" applyFont="1"/>
    <xf numFmtId="0" fontId="8" fillId="4" borderId="27" xfId="0" applyFont="1" applyFill="1" applyBorder="1"/>
    <xf numFmtId="2" fontId="9" fillId="0" borderId="1" xfId="0" applyNumberFormat="1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8" fillId="0" borderId="27" xfId="0" applyFont="1" applyBorder="1"/>
    <xf numFmtId="0" fontId="2" fillId="0" borderId="34" xfId="0" applyFont="1" applyBorder="1"/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0" fillId="0" borderId="1" xfId="0" applyBorder="1"/>
    <xf numFmtId="3" fontId="8" fillId="0" borderId="1" xfId="0" applyNumberFormat="1" applyFont="1" applyBorder="1"/>
    <xf numFmtId="41" fontId="9" fillId="6" borderId="1" xfId="5" applyFont="1" applyFill="1" applyBorder="1" applyAlignment="1"/>
    <xf numFmtId="41" fontId="8" fillId="0" borderId="1" xfId="5" applyFont="1" applyBorder="1"/>
    <xf numFmtId="167" fontId="0" fillId="0" borderId="0" xfId="0" applyNumberFormat="1"/>
    <xf numFmtId="10" fontId="10" fillId="0" borderId="3" xfId="2" applyNumberFormat="1" applyFont="1" applyBorder="1"/>
    <xf numFmtId="173" fontId="16" fillId="0" borderId="1" xfId="0" applyNumberFormat="1" applyFont="1" applyBorder="1"/>
    <xf numFmtId="168" fontId="0" fillId="0" borderId="0" xfId="0" applyNumberFormat="1"/>
    <xf numFmtId="174" fontId="21" fillId="0" borderId="0" xfId="0" applyNumberFormat="1" applyFont="1"/>
    <xf numFmtId="0" fontId="12" fillId="0" borderId="0" xfId="0" applyFont="1" applyAlignment="1">
      <alignment wrapText="1"/>
    </xf>
    <xf numFmtId="0" fontId="9" fillId="0" borderId="37" xfId="0" applyFont="1" applyBorder="1" applyAlignment="1">
      <alignment horizontal="center" vertical="center" wrapText="1"/>
    </xf>
    <xf numFmtId="165" fontId="18" fillId="0" borderId="3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9" fillId="0" borderId="29" xfId="0" applyNumberFormat="1" applyFont="1" applyBorder="1"/>
    <xf numFmtId="0" fontId="8" fillId="0" borderId="24" xfId="0" applyFont="1" applyBorder="1" applyAlignment="1">
      <alignment horizontal="center" vertical="center" wrapText="1"/>
    </xf>
    <xf numFmtId="165" fontId="8" fillId="0" borderId="25" xfId="1" applyNumberFormat="1" applyFont="1" applyBorder="1"/>
    <xf numFmtId="165" fontId="9" fillId="0" borderId="25" xfId="0" applyNumberFormat="1" applyFont="1" applyBorder="1"/>
    <xf numFmtId="172" fontId="9" fillId="0" borderId="27" xfId="0" applyNumberFormat="1" applyFont="1" applyBorder="1"/>
    <xf numFmtId="166" fontId="9" fillId="0" borderId="27" xfId="0" applyNumberFormat="1" applyFont="1" applyBorder="1"/>
    <xf numFmtId="0" fontId="9" fillId="8" borderId="1" xfId="0" applyFont="1" applyFill="1" applyBorder="1" applyAlignment="1">
      <alignment horizontal="center" vertical="center" wrapText="1"/>
    </xf>
    <xf numFmtId="166" fontId="9" fillId="8" borderId="27" xfId="0" applyNumberFormat="1" applyFont="1" applyFill="1" applyBorder="1"/>
    <xf numFmtId="0" fontId="25" fillId="8" borderId="1" xfId="0" applyFont="1" applyFill="1" applyBorder="1" applyAlignment="1">
      <alignment horizontal="center" vertical="center" wrapText="1"/>
    </xf>
    <xf numFmtId="172" fontId="9" fillId="8" borderId="27" xfId="0" applyNumberFormat="1" applyFont="1" applyFill="1" applyBorder="1"/>
    <xf numFmtId="0" fontId="9" fillId="8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8" fontId="9" fillId="7" borderId="1" xfId="2" applyNumberFormat="1" applyFont="1" applyFill="1" applyBorder="1"/>
  </cellXfs>
  <cellStyles count="7">
    <cellStyle name="Millares" xfId="1" builtinId="3"/>
    <cellStyle name="Millares [0]" xfId="5" builtinId="6"/>
    <cellStyle name="Normal" xfId="0" builtinId="0"/>
    <cellStyle name="Normal 2" xfId="3" xr:uid="{992A81EA-7E29-4FDE-B6DC-D666B04B75B4}"/>
    <cellStyle name="Normal 2 3" xfId="6" xr:uid="{0CC7D755-F874-4330-83E7-CC5154DC507D}"/>
    <cellStyle name="Normal 4" xfId="4" xr:uid="{0D7C20CC-1107-4CB5-A2A2-413B8D4866A7}"/>
    <cellStyle name="Porcentaje" xfId="2" builtinId="5"/>
  </cellStyles>
  <dxfs count="0"/>
  <tableStyles count="0" defaultTableStyle="TableStyleMedium2" defaultPivotStyle="PivotStyleLight16"/>
  <colors>
    <mruColors>
      <color rgb="FF0000CC"/>
      <color rgb="FFFFE7A3"/>
      <color rgb="FF66FFCC"/>
      <color rgb="FFFFDF8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42334</xdr:rowOff>
    </xdr:from>
    <xdr:to>
      <xdr:col>1</xdr:col>
      <xdr:colOff>1182158</xdr:colOff>
      <xdr:row>1</xdr:row>
      <xdr:rowOff>20109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0ECFD5-44A2-4AA5-B5B9-3B0068DEF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42334"/>
          <a:ext cx="12668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9811C-5016-4ED2-BAA3-0B620A4853EC}">
  <sheetPr>
    <tabColor theme="8" tint="-0.249977111117893"/>
  </sheetPr>
  <dimension ref="A1:T33"/>
  <sheetViews>
    <sheetView tabSelected="1" zoomScale="90" zoomScaleNormal="90" workbookViewId="0">
      <selection activeCell="G14" sqref="G14"/>
    </sheetView>
  </sheetViews>
  <sheetFormatPr baseColWidth="10" defaultColWidth="11.42578125" defaultRowHeight="12.75" x14ac:dyDescent="0.2"/>
  <cols>
    <col min="1" max="1" width="3.140625" style="13" customWidth="1"/>
    <col min="2" max="2" width="34.85546875" style="13" customWidth="1"/>
    <col min="3" max="3" width="10" style="13" customWidth="1"/>
    <col min="4" max="10" width="9.7109375" style="13" customWidth="1"/>
    <col min="11" max="11" width="11.85546875" style="13" customWidth="1"/>
    <col min="12" max="12" width="11.28515625" style="13" customWidth="1"/>
    <col min="13" max="13" width="6.5703125" style="13" customWidth="1"/>
    <col min="14" max="14" width="5.85546875" style="13" customWidth="1"/>
    <col min="15" max="15" width="11.7109375" style="13" customWidth="1"/>
    <col min="16" max="16" width="11.5703125" style="13" customWidth="1"/>
    <col min="17" max="17" width="8.5703125" style="13" customWidth="1"/>
    <col min="18" max="18" width="10.85546875" style="13" customWidth="1"/>
    <col min="19" max="19" width="11" style="13" customWidth="1"/>
    <col min="20" max="20" width="8.5703125" style="13" customWidth="1"/>
    <col min="21" max="16384" width="11.42578125" style="13"/>
  </cols>
  <sheetData>
    <row r="1" spans="2:12" ht="92.25" customHeight="1" x14ac:dyDescent="0.2"/>
    <row r="2" spans="2:12" ht="8.25" customHeight="1" x14ac:dyDescent="0.2"/>
    <row r="3" spans="2:12" ht="17.25" x14ac:dyDescent="0.3">
      <c r="B3" s="100" t="s">
        <v>105</v>
      </c>
    </row>
    <row r="4" spans="2:12" ht="17.25" x14ac:dyDescent="0.3">
      <c r="B4" s="100" t="s">
        <v>100</v>
      </c>
    </row>
    <row r="5" spans="2:12" ht="17.25" x14ac:dyDescent="0.3">
      <c r="B5" s="100" t="s">
        <v>106</v>
      </c>
    </row>
    <row r="6" spans="2:12" x14ac:dyDescent="0.2">
      <c r="B6" s="155" t="s">
        <v>104</v>
      </c>
    </row>
    <row r="7" spans="2:12" x14ac:dyDescent="0.2">
      <c r="B7" s="55" t="s">
        <v>137</v>
      </c>
    </row>
    <row r="8" spans="2:12" x14ac:dyDescent="0.2">
      <c r="B8" s="137" t="s">
        <v>142</v>
      </c>
    </row>
    <row r="10" spans="2:12" ht="15" x14ac:dyDescent="0.25">
      <c r="B10" s="143" t="s">
        <v>107</v>
      </c>
      <c r="C10" s="143" t="s">
        <v>72</v>
      </c>
      <c r="D10" s="143" t="s">
        <v>136</v>
      </c>
      <c r="F10"/>
    </row>
    <row r="11" spans="2:12" x14ac:dyDescent="0.2">
      <c r="B11" s="10" t="s">
        <v>73</v>
      </c>
      <c r="C11" s="169">
        <v>9091244</v>
      </c>
      <c r="D11" s="171">
        <f>C11*0.4</f>
        <v>3636497.6</v>
      </c>
    </row>
    <row r="12" spans="2:12" x14ac:dyDescent="0.2">
      <c r="B12" s="10" t="s">
        <v>74</v>
      </c>
      <c r="C12" s="169">
        <v>0</v>
      </c>
      <c r="D12" s="10">
        <v>0</v>
      </c>
    </row>
    <row r="13" spans="2:12" ht="15" x14ac:dyDescent="0.25">
      <c r="B13" s="144" t="s">
        <v>108</v>
      </c>
      <c r="C13" s="170">
        <f>SUM(C11:C12)</f>
        <v>9091244</v>
      </c>
      <c r="D13" s="170">
        <f>SUM(D11:D12)</f>
        <v>3636497.6</v>
      </c>
      <c r="F13"/>
    </row>
    <row r="14" spans="2:12" ht="18" customHeight="1" x14ac:dyDescent="0.25">
      <c r="B14" s="15"/>
      <c r="C14" s="69"/>
      <c r="D14" s="141"/>
      <c r="I14" s="94"/>
      <c r="J14" s="95"/>
    </row>
    <row r="15" spans="2:12" ht="18" customHeigh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2:12" ht="18" customHeight="1" x14ac:dyDescent="0.25">
      <c r="B16" s="15"/>
      <c r="C16" s="96"/>
      <c r="D16" s="101">
        <v>0.25</v>
      </c>
      <c r="E16" s="101">
        <v>0.25</v>
      </c>
      <c r="F16" s="101">
        <v>0.1</v>
      </c>
      <c r="G16" s="101">
        <v>0.1</v>
      </c>
      <c r="H16" s="101">
        <v>0.1</v>
      </c>
      <c r="I16" s="101">
        <v>0.1</v>
      </c>
      <c r="J16" s="101">
        <v>0.1</v>
      </c>
      <c r="K16" s="142">
        <f>SUM(D16:J16)</f>
        <v>0.99999999999999989</v>
      </c>
    </row>
    <row r="17" spans="1:20" ht="30" customHeight="1" x14ac:dyDescent="0.2">
      <c r="A17" s="70"/>
      <c r="B17" s="70"/>
      <c r="C17" s="178" t="s">
        <v>15</v>
      </c>
      <c r="D17" s="179">
        <f t="shared" ref="D17:K17" si="0">$C$13*D16</f>
        <v>2272811</v>
      </c>
      <c r="E17" s="179">
        <f t="shared" si="0"/>
        <v>2272811</v>
      </c>
      <c r="F17" s="179">
        <f t="shared" si="0"/>
        <v>909124.4</v>
      </c>
      <c r="G17" s="179">
        <f t="shared" si="0"/>
        <v>909124.4</v>
      </c>
      <c r="H17" s="179">
        <f t="shared" si="0"/>
        <v>909124.4</v>
      </c>
      <c r="I17" s="179">
        <f t="shared" si="0"/>
        <v>909124.4</v>
      </c>
      <c r="J17" s="179">
        <f t="shared" si="0"/>
        <v>909124.4</v>
      </c>
      <c r="K17" s="179">
        <f t="shared" si="0"/>
        <v>9091243.9999999981</v>
      </c>
    </row>
    <row r="18" spans="1:20" ht="18" customHeight="1" x14ac:dyDescent="0.2">
      <c r="A18" s="193" t="s">
        <v>20</v>
      </c>
      <c r="B18" s="194" t="s">
        <v>1</v>
      </c>
      <c r="C18" s="193" t="s">
        <v>0</v>
      </c>
      <c r="D18" s="195" t="s">
        <v>71</v>
      </c>
      <c r="E18" s="195" t="s">
        <v>16</v>
      </c>
      <c r="F18" s="195" t="s">
        <v>17</v>
      </c>
      <c r="G18" s="195" t="s">
        <v>70</v>
      </c>
      <c r="H18" s="195" t="s">
        <v>21</v>
      </c>
      <c r="I18" s="195" t="s">
        <v>19</v>
      </c>
      <c r="J18" s="195" t="s">
        <v>18</v>
      </c>
      <c r="K18" s="195" t="s">
        <v>22</v>
      </c>
      <c r="L18" s="192" t="s">
        <v>139</v>
      </c>
      <c r="M18" s="192"/>
      <c r="N18" s="192"/>
      <c r="O18" s="191" t="s">
        <v>141</v>
      </c>
      <c r="P18" s="191"/>
      <c r="Q18" s="191"/>
      <c r="R18" s="191" t="s">
        <v>140</v>
      </c>
      <c r="S18" s="191"/>
      <c r="T18" s="191"/>
    </row>
    <row r="19" spans="1:20" ht="63.75" x14ac:dyDescent="0.2">
      <c r="A19" s="193"/>
      <c r="B19" s="194"/>
      <c r="C19" s="193"/>
      <c r="D19" s="195"/>
      <c r="E19" s="195"/>
      <c r="F19" s="195"/>
      <c r="G19" s="195"/>
      <c r="H19" s="195"/>
      <c r="I19" s="195"/>
      <c r="J19" s="195"/>
      <c r="K19" s="195"/>
      <c r="L19" s="146" t="s">
        <v>23</v>
      </c>
      <c r="M19" s="146" t="s">
        <v>143</v>
      </c>
      <c r="N19" s="146" t="s">
        <v>103</v>
      </c>
      <c r="O19" s="187" t="s">
        <v>144</v>
      </c>
      <c r="P19" s="14" t="s">
        <v>101</v>
      </c>
      <c r="Q19" s="14" t="s">
        <v>102</v>
      </c>
      <c r="R19" s="189" t="s">
        <v>145</v>
      </c>
      <c r="S19" s="14" t="s">
        <v>101</v>
      </c>
      <c r="T19" s="14" t="s">
        <v>102</v>
      </c>
    </row>
    <row r="20" spans="1:20" x14ac:dyDescent="0.2">
      <c r="A20" s="10">
        <v>1</v>
      </c>
      <c r="B20" s="18" t="s">
        <v>3</v>
      </c>
      <c r="C20" s="10" t="s">
        <v>2</v>
      </c>
      <c r="D20" s="16">
        <f>VLOOKUP(C20,'I.Acreditación Institucional'!$C$4:$K$14,9,0)*$D$17</f>
        <v>576683.38805970142</v>
      </c>
      <c r="E20" s="16">
        <f>VLOOKUP(C20,'II.Doctorados Acreditados'!$C$4:$K$14,9,0)*$E$17</f>
        <v>799230.24175824178</v>
      </c>
      <c r="F20" s="171">
        <f>VLOOKUP(C20,'III. Planta Académica'!$AA$5:$AD$15,4,0)*$F$17</f>
        <v>112777.77034409856</v>
      </c>
      <c r="G20" s="171">
        <f>VLOOKUP(C20,'IV. Publicaciones por acad.'!$C$4:$G$14,5,0)*$G$17</f>
        <v>159199.04575462898</v>
      </c>
      <c r="H20" s="139">
        <f>VLOOKUP(C20,V.Citas!$C$4:$G$16,5,0)*$H$17</f>
        <v>125679.06740198944</v>
      </c>
      <c r="I20" s="16">
        <f>VLOOKUP(C20,'VI. Proyectos'!$C$5:$E$15,3,0)*$I$17</f>
        <v>185413.52894736841</v>
      </c>
      <c r="J20" s="16">
        <f>(VLOOKUP(C20,'VII. Publicaciones'!$O$5:$R$17,2,0)*$J$17)+(VLOOKUP(C20,'VII. Publicaciones'!$O$5:$R$17,3,0)*$J$17)</f>
        <v>132171.49598224374</v>
      </c>
      <c r="K20" s="150">
        <f>SUM(D20:J20)</f>
        <v>2091154.5382482721</v>
      </c>
      <c r="L20" s="147">
        <f t="shared" ref="L20:L30" si="1">ROUND(K20,0)</f>
        <v>2091155</v>
      </c>
      <c r="M20" s="198">
        <f t="shared" ref="M20:M30" si="2">L20/$L$31</f>
        <v>0.2300185761156559</v>
      </c>
      <c r="N20" s="153" t="str">
        <f t="shared" ref="N20:N30" si="3">+C20</f>
        <v>UDP</v>
      </c>
      <c r="O20" s="188">
        <v>771130</v>
      </c>
      <c r="P20" s="185">
        <f>+O20</f>
        <v>771130</v>
      </c>
      <c r="Q20" s="185">
        <v>0</v>
      </c>
      <c r="R20" s="190">
        <f t="shared" ref="R20:R31" si="4">L20-O20</f>
        <v>1320025</v>
      </c>
      <c r="S20" s="185">
        <f>+R20</f>
        <v>1320025</v>
      </c>
      <c r="T20" s="185">
        <v>0</v>
      </c>
    </row>
    <row r="21" spans="1:20" x14ac:dyDescent="0.2">
      <c r="A21" s="10">
        <v>2</v>
      </c>
      <c r="B21" s="18" t="s">
        <v>5</v>
      </c>
      <c r="C21" s="10" t="s">
        <v>4</v>
      </c>
      <c r="D21" s="16">
        <f>VLOOKUP(C21,'I.Acreditación Institucional'!$C$4:$K$14,9,0)*$D$17</f>
        <v>559722.11194029846</v>
      </c>
      <c r="E21" s="16">
        <f>VLOOKUP(C21,'II.Doctorados Acreditados'!$C$4:$K$14,9,0)*$E$17</f>
        <v>549470.7912087912</v>
      </c>
      <c r="F21" s="171">
        <f>VLOOKUP(C21,'III. Planta Académica'!$AA$5:$AD$15,4,0)*$F$17</f>
        <v>134209.01148277058</v>
      </c>
      <c r="G21" s="171">
        <f>VLOOKUP(C21,'IV. Publicaciones por acad.'!$C$4:$G$14,5,0)*$G$17</f>
        <v>111681.85217042008</v>
      </c>
      <c r="H21" s="139">
        <f>VLOOKUP(C21,V.Citas!$C$4:$G$16,5,0)*$H$17</f>
        <v>36663.303626442808</v>
      </c>
      <c r="I21" s="16">
        <f>VLOOKUP(C21,'VI. Proyectos'!$C$5:$E$15,3,0)*$I$17</f>
        <v>143545.95789473684</v>
      </c>
      <c r="J21" s="16">
        <f>(VLOOKUP(C21,'VII. Publicaciones'!$O$5:$R$17,2,0)*$J$17)+(VLOOKUP(C21,'VII. Publicaciones'!$O$5:$R$17,3,0)*$J$17)</f>
        <v>55762.955434641844</v>
      </c>
      <c r="K21" s="150">
        <f t="shared" ref="K21:K30" si="5">SUM(D21:J21)</f>
        <v>1591055.9837581019</v>
      </c>
      <c r="L21" s="147">
        <f t="shared" si="1"/>
        <v>1591056</v>
      </c>
      <c r="M21" s="198">
        <f t="shared" si="2"/>
        <v>0.17500971264218626</v>
      </c>
      <c r="N21" s="153" t="str">
        <f t="shared" si="3"/>
        <v>UAH</v>
      </c>
      <c r="O21" s="188">
        <v>560893</v>
      </c>
      <c r="P21" s="185">
        <f t="shared" ref="P21:P30" si="6">+O21</f>
        <v>560893</v>
      </c>
      <c r="Q21" s="185">
        <v>0</v>
      </c>
      <c r="R21" s="190">
        <f t="shared" si="4"/>
        <v>1030163</v>
      </c>
      <c r="S21" s="185">
        <f t="shared" ref="S21:S30" si="7">+R21</f>
        <v>1030163</v>
      </c>
      <c r="T21" s="185">
        <v>0</v>
      </c>
    </row>
    <row r="22" spans="1:20" x14ac:dyDescent="0.2">
      <c r="A22" s="10">
        <v>3</v>
      </c>
      <c r="B22" s="18" t="s">
        <v>9</v>
      </c>
      <c r="C22" s="10" t="s">
        <v>8</v>
      </c>
      <c r="D22" s="16">
        <f>VLOOKUP(C22,'I.Acreditación Institucional'!$C$4:$K$14,9,0)*$D$17</f>
        <v>322264.24626865663</v>
      </c>
      <c r="E22" s="16">
        <f>VLOOKUP(C22,'II.Doctorados Acreditados'!$C$4:$K$14,9,0)*$E$17</f>
        <v>199807.56043956045</v>
      </c>
      <c r="F22" s="171">
        <f>VLOOKUP(C22,'III. Planta Académica'!$AA$5:$AD$15,4,0)*$F$17</f>
        <v>83817.350485792093</v>
      </c>
      <c r="G22" s="171">
        <f>VLOOKUP(C22,'IV. Publicaciones por acad.'!$C$4:$G$14,5,0)*$G$17</f>
        <v>113225.94192346629</v>
      </c>
      <c r="H22" s="139">
        <f>VLOOKUP(C22,V.Citas!$C$4:$G$16,5,0)*$H$17</f>
        <v>188323.19266358539</v>
      </c>
      <c r="I22" s="16">
        <f>VLOOKUP(C22,'VI. Proyectos'!$C$5:$E$15,3,0)*$I$17</f>
        <v>165476.5903508772</v>
      </c>
      <c r="J22" s="16">
        <f>(VLOOKUP(C22,'VII. Publicaciones'!$O$5:$R$17,2,0)*$J$17)+(VLOOKUP(C22,'VII. Publicaciones'!$O$5:$R$17,3,0)*$J$17)</f>
        <v>174272.10721728139</v>
      </c>
      <c r="K22" s="150">
        <f t="shared" si="5"/>
        <v>1247186.9893492195</v>
      </c>
      <c r="L22" s="147">
        <f t="shared" si="1"/>
        <v>1247187</v>
      </c>
      <c r="M22" s="198">
        <f t="shared" si="2"/>
        <v>0.13718551608558741</v>
      </c>
      <c r="N22" s="153" t="str">
        <f t="shared" si="3"/>
        <v>UAU</v>
      </c>
      <c r="O22" s="188">
        <v>518965</v>
      </c>
      <c r="P22" s="185">
        <f t="shared" si="6"/>
        <v>518965</v>
      </c>
      <c r="Q22" s="185">
        <v>0</v>
      </c>
      <c r="R22" s="190">
        <f t="shared" si="4"/>
        <v>728222</v>
      </c>
      <c r="S22" s="185">
        <f t="shared" si="7"/>
        <v>728222</v>
      </c>
      <c r="T22" s="185">
        <v>0</v>
      </c>
    </row>
    <row r="23" spans="1:20" x14ac:dyDescent="0.2">
      <c r="A23" s="10">
        <v>4</v>
      </c>
      <c r="B23" s="18" t="s">
        <v>11</v>
      </c>
      <c r="C23" s="10" t="s">
        <v>10</v>
      </c>
      <c r="D23" s="16">
        <f>VLOOKUP(C23,'I.Acreditación Institucional'!$C$4:$K$14,9,0)*$D$17</f>
        <v>67845.104477611938</v>
      </c>
      <c r="E23" s="16">
        <f>VLOOKUP(C23,'II.Doctorados Acreditados'!$C$4:$K$14,9,0)*$E$17</f>
        <v>74927.835164835167</v>
      </c>
      <c r="F23" s="171">
        <f>VLOOKUP(C23,'III. Planta Académica'!$AA$5:$AD$15,4,0)*$F$17</f>
        <v>90004.425671370424</v>
      </c>
      <c r="G23" s="171">
        <f>VLOOKUP(C23,'IV. Publicaciones por acad.'!$C$4:$G$14,5,0)*$G$17</f>
        <v>93552.697692960093</v>
      </c>
      <c r="H23" s="139">
        <f>VLOOKUP(C23,V.Citas!$C$4:$G$16,5,0)*$H$17</f>
        <v>79815.104252839956</v>
      </c>
      <c r="I23" s="16">
        <f>VLOOKUP(C23,'VI. Proyectos'!$C$5:$E$15,3,0)*$I$17</f>
        <v>31899.101754385963</v>
      </c>
      <c r="J23" s="16">
        <f>(VLOOKUP(C23,'VII. Publicaciones'!$O$5:$R$17,2,0)*$J$17)+(VLOOKUP(C23,'VII. Publicaciones'!$O$5:$R$17,3,0)*$J$17)</f>
        <v>55147.90237761748</v>
      </c>
      <c r="K23" s="150">
        <f t="shared" si="5"/>
        <v>493192.17139162106</v>
      </c>
      <c r="L23" s="147">
        <f t="shared" si="1"/>
        <v>493192</v>
      </c>
      <c r="M23" s="198">
        <f t="shared" si="2"/>
        <v>5.4249121462365324E-2</v>
      </c>
      <c r="N23" s="153" t="str">
        <f t="shared" si="3"/>
        <v>UFT</v>
      </c>
      <c r="O23" s="188">
        <v>220289</v>
      </c>
      <c r="P23" s="185">
        <f t="shared" si="6"/>
        <v>220289</v>
      </c>
      <c r="Q23" s="185">
        <v>0</v>
      </c>
      <c r="R23" s="190">
        <f t="shared" si="4"/>
        <v>272903</v>
      </c>
      <c r="S23" s="185">
        <f t="shared" si="7"/>
        <v>272903</v>
      </c>
      <c r="T23" s="185">
        <v>0</v>
      </c>
    </row>
    <row r="24" spans="1:20" x14ac:dyDescent="0.2">
      <c r="A24" s="10">
        <v>5</v>
      </c>
      <c r="B24" s="18" t="s">
        <v>13</v>
      </c>
      <c r="C24" s="10" t="s">
        <v>12</v>
      </c>
      <c r="D24" s="16">
        <f>VLOOKUP(C24,'I.Acreditación Institucional'!$C$4:$K$14,9,0)*$D$17</f>
        <v>67845.104477611938</v>
      </c>
      <c r="E24" s="16">
        <f>VLOOKUP(C24,'II.Doctorados Acreditados'!$C$4:$K$14,9,0)*$E$17</f>
        <v>0</v>
      </c>
      <c r="F24" s="171">
        <f>VLOOKUP(C24,'III. Planta Académica'!$AA$5:$AD$15,4,0)*$F$17</f>
        <v>70719.731816893822</v>
      </c>
      <c r="G24" s="171">
        <f>VLOOKUP(C24,'IV. Publicaciones por acad.'!$C$4:$G$14,5,0)*$G$17</f>
        <v>67934.696641240924</v>
      </c>
      <c r="H24" s="139">
        <f>VLOOKUP(C24,V.Citas!$C$4:$G$16,5,0)*$H$17</f>
        <v>20754.756871104844</v>
      </c>
      <c r="I24" s="16">
        <f>VLOOKUP(C24,'VI. Proyectos'!$C$5:$E$15,3,0)*$I$17</f>
        <v>19936.938596491229</v>
      </c>
      <c r="J24" s="16">
        <f>(VLOOKUP(C24,'VII. Publicaciones'!$O$5:$R$17,2,0)*$J$17)+(VLOOKUP(C24,'VII. Publicaciones'!$O$5:$R$17,3,0)*$J$17)</f>
        <v>11043.765925278567</v>
      </c>
      <c r="K24" s="150">
        <f t="shared" si="5"/>
        <v>258234.99432862131</v>
      </c>
      <c r="L24" s="147">
        <f t="shared" si="1"/>
        <v>258235</v>
      </c>
      <c r="M24" s="198">
        <f t="shared" si="2"/>
        <v>2.8404803567036591E-2</v>
      </c>
      <c r="N24" s="153" t="str">
        <f t="shared" si="3"/>
        <v>AHC</v>
      </c>
      <c r="O24" s="188">
        <v>100942</v>
      </c>
      <c r="P24" s="185">
        <f t="shared" si="6"/>
        <v>100942</v>
      </c>
      <c r="Q24" s="185">
        <v>0</v>
      </c>
      <c r="R24" s="190">
        <f t="shared" si="4"/>
        <v>157293</v>
      </c>
      <c r="S24" s="185">
        <f t="shared" si="7"/>
        <v>157293</v>
      </c>
      <c r="T24" s="185">
        <v>0</v>
      </c>
    </row>
    <row r="25" spans="1:20" x14ac:dyDescent="0.2">
      <c r="A25" s="10">
        <v>6</v>
      </c>
      <c r="B25" s="18" t="s">
        <v>7</v>
      </c>
      <c r="C25" s="10" t="s">
        <v>6</v>
      </c>
      <c r="D25" s="16">
        <f>VLOOKUP(C25,'I.Acreditación Institucional'!$C$4:$K$14,9,0)*$D$17</f>
        <v>67845.104477611938</v>
      </c>
      <c r="E25" s="16">
        <f>VLOOKUP(C25,'II.Doctorados Acreditados'!$C$4:$K$14,9,0)*$E$17</f>
        <v>74927.835164835167</v>
      </c>
      <c r="F25" s="171">
        <f>VLOOKUP(C25,'III. Planta Académica'!$AA$5:$AD$15,4,0)*$F$17</f>
        <v>91623.19025808241</v>
      </c>
      <c r="G25" s="171">
        <f>VLOOKUP(C25,'IV. Publicaciones por acad.'!$C$4:$G$14,5,0)*$G$17</f>
        <v>51841.879725703191</v>
      </c>
      <c r="H25" s="139">
        <f>VLOOKUP(C25,V.Citas!$C$4:$G$16,5,0)*$H$17</f>
        <v>36916.154484876315</v>
      </c>
      <c r="I25" s="16">
        <f>VLOOKUP(C25,'VI. Proyectos'!$C$5:$E$15,3,0)*$I$17</f>
        <v>31899.101754385963</v>
      </c>
      <c r="J25" s="16">
        <f>(VLOOKUP(C25,'VII. Publicaciones'!$O$5:$R$17,2,0)*$J$17)+(VLOOKUP(C25,'VII. Publicaciones'!$O$5:$R$17,3,0)*$J$17)</f>
        <v>29226.788428105767</v>
      </c>
      <c r="K25" s="150">
        <f t="shared" si="5"/>
        <v>384280.05429360078</v>
      </c>
      <c r="L25" s="147">
        <f t="shared" si="1"/>
        <v>384280</v>
      </c>
      <c r="M25" s="198">
        <f t="shared" si="2"/>
        <v>4.226924280109521E-2</v>
      </c>
      <c r="N25" s="153" t="str">
        <f t="shared" si="3"/>
        <v>UCS</v>
      </c>
      <c r="O25" s="188">
        <v>156282</v>
      </c>
      <c r="P25" s="185">
        <f t="shared" si="6"/>
        <v>156282</v>
      </c>
      <c r="Q25" s="185">
        <v>0</v>
      </c>
      <c r="R25" s="190">
        <f t="shared" si="4"/>
        <v>227998</v>
      </c>
      <c r="S25" s="185">
        <f t="shared" si="7"/>
        <v>227998</v>
      </c>
      <c r="T25" s="185">
        <v>0</v>
      </c>
    </row>
    <row r="26" spans="1:20" x14ac:dyDescent="0.2">
      <c r="A26" s="10">
        <v>7</v>
      </c>
      <c r="B26" s="18" t="s">
        <v>76</v>
      </c>
      <c r="C26" s="10" t="s">
        <v>77</v>
      </c>
      <c r="D26" s="16">
        <f>VLOOKUP(C26,'I.Acreditación Institucional'!$C$4:$K$14,9,0)*$D$17</f>
        <v>67845.104477611938</v>
      </c>
      <c r="E26" s="16">
        <f>VLOOKUP(C26,'II.Doctorados Acreditados'!$C$4:$K$14,9,0)*$E$17</f>
        <v>99903.780219780223</v>
      </c>
      <c r="F26" s="171">
        <f>VLOOKUP(C26,'III. Planta Académica'!$AA$5:$AD$15,4,0)*$F$17</f>
        <v>66446.610199203176</v>
      </c>
      <c r="G26" s="171">
        <f>VLOOKUP(C26,'IV. Publicaciones por acad.'!$C$4:$G$14,5,0)*$G$17</f>
        <v>110609.87994403207</v>
      </c>
      <c r="H26" s="139">
        <f>VLOOKUP(C26,V.Citas!$C$4:$G$16,5,0)*$H$17</f>
        <v>69705.786653018062</v>
      </c>
      <c r="I26" s="16">
        <f>VLOOKUP(C26,'VI. Proyectos'!$C$5:$E$15,3,0)*$I$17</f>
        <v>59810.81578947368</v>
      </c>
      <c r="J26" s="16">
        <f>(VLOOKUP(C26,'VII. Publicaciones'!$O$5:$R$17,2,0)*$J$17)+(VLOOKUP(C26,'VII. Publicaciones'!$O$5:$R$17,3,0)*$J$17)</f>
        <v>89500.391667767792</v>
      </c>
      <c r="K26" s="150">
        <f t="shared" si="5"/>
        <v>563822.368950887</v>
      </c>
      <c r="L26" s="147">
        <f t="shared" si="1"/>
        <v>563822</v>
      </c>
      <c r="M26" s="198">
        <f t="shared" si="2"/>
        <v>6.2018135251897318E-2</v>
      </c>
      <c r="N26" s="153" t="str">
        <f t="shared" si="3"/>
        <v>UBO</v>
      </c>
      <c r="O26" s="188">
        <v>244329</v>
      </c>
      <c r="P26" s="185">
        <f t="shared" si="6"/>
        <v>244329</v>
      </c>
      <c r="Q26" s="185">
        <v>0</v>
      </c>
      <c r="R26" s="190">
        <f t="shared" si="4"/>
        <v>319493</v>
      </c>
      <c r="S26" s="185">
        <f t="shared" si="7"/>
        <v>319493</v>
      </c>
      <c r="T26" s="185">
        <v>0</v>
      </c>
    </row>
    <row r="27" spans="1:20" x14ac:dyDescent="0.2">
      <c r="A27" s="10">
        <v>8</v>
      </c>
      <c r="B27" s="18" t="s">
        <v>78</v>
      </c>
      <c r="C27" s="10" t="s">
        <v>79</v>
      </c>
      <c r="D27" s="16">
        <f>VLOOKUP(C27,'I.Acreditación Institucional'!$C$4:$K$14,9,0)*$D$17</f>
        <v>322264.24626865663</v>
      </c>
      <c r="E27" s="16">
        <f>VLOOKUP(C27,'II.Doctorados Acreditados'!$C$4:$K$14,9,0)*$E$17</f>
        <v>349663.23076923081</v>
      </c>
      <c r="F27" s="171">
        <f>VLOOKUP(C27,'III. Planta Académica'!$AA$5:$AD$15,4,0)*$F$17</f>
        <v>60258.727840166852</v>
      </c>
      <c r="G27" s="171">
        <f>VLOOKUP(C27,'IV. Publicaciones por acad.'!$C$4:$G$14,5,0)*$G$17</f>
        <v>80267.771524215816</v>
      </c>
      <c r="H27" s="139">
        <f>VLOOKUP(C27,V.Citas!$C$4:$G$16,5,0)*$H$17</f>
        <v>119547.6025704791</v>
      </c>
      <c r="I27" s="16">
        <f>VLOOKUP(C27,'VI. Proyectos'!$C$5:$E$15,3,0)*$I$17</f>
        <v>129590.10087719299</v>
      </c>
      <c r="J27" s="16">
        <f>(VLOOKUP(C27,'VII. Publicaciones'!$O$5:$R$17,2,0)*$J$17)+(VLOOKUP(C27,'VII. Publicaciones'!$O$5:$R$17,3,0)*$J$17)</f>
        <v>110739.34293817061</v>
      </c>
      <c r="K27" s="150">
        <f t="shared" ref="K27" si="8">SUM(D27:J27)</f>
        <v>1172331.0227881128</v>
      </c>
      <c r="L27" s="147">
        <f t="shared" si="1"/>
        <v>1172331</v>
      </c>
      <c r="M27" s="198">
        <f t="shared" si="2"/>
        <v>0.12895165942086695</v>
      </c>
      <c r="N27" s="153" t="str">
        <f t="shared" ref="N27" si="9">+C27</f>
        <v>UMA</v>
      </c>
      <c r="O27" s="188">
        <v>452229</v>
      </c>
      <c r="P27" s="185">
        <f t="shared" si="6"/>
        <v>452229</v>
      </c>
      <c r="Q27" s="185">
        <v>0</v>
      </c>
      <c r="R27" s="190">
        <f t="shared" si="4"/>
        <v>720102</v>
      </c>
      <c r="S27" s="185">
        <f t="shared" si="7"/>
        <v>720102</v>
      </c>
      <c r="T27" s="185">
        <v>0</v>
      </c>
    </row>
    <row r="28" spans="1:20" x14ac:dyDescent="0.2">
      <c r="A28" s="10">
        <v>9</v>
      </c>
      <c r="B28" s="18" t="s">
        <v>85</v>
      </c>
      <c r="C28" s="10" t="s">
        <v>84</v>
      </c>
      <c r="D28" s="16">
        <f>VLOOKUP(C28,'I.Acreditación Institucional'!$C$4:$K$14,9,0)*$D$17</f>
        <v>67845.104477611938</v>
      </c>
      <c r="E28" s="16">
        <f>VLOOKUP(C28,'II.Doctorados Acreditados'!$C$4:$K$14,9,0)*$E$17</f>
        <v>49951.890109890111</v>
      </c>
      <c r="F28" s="171">
        <f>VLOOKUP(C28,'III. Planta Académica'!$AA$5:$AD$15,4,0)*$F$17</f>
        <v>65011.639251250963</v>
      </c>
      <c r="G28" s="171">
        <f>VLOOKUP(C28,'IV. Publicaciones por acad.'!$C$4:$G$14,5,0)*$G$17</f>
        <v>48366.871262261251</v>
      </c>
      <c r="H28" s="139">
        <f>VLOOKUP(C28,V.Citas!$C$4:$G$16,5,0)*$H$17</f>
        <v>63266.879826202785</v>
      </c>
      <c r="I28" s="16">
        <f>VLOOKUP(C28,'VI. Proyectos'!$C$5:$E$15,3,0)*$I$17</f>
        <v>55823.42807017544</v>
      </c>
      <c r="J28" s="16">
        <f>(VLOOKUP(C28,'VII. Publicaciones'!$O$5:$R$17,2,0)*$J$17)+(VLOOKUP(C28,'VII. Publicaciones'!$O$5:$R$17,3,0)*$J$17)</f>
        <v>99455.38083700389</v>
      </c>
      <c r="K28" s="150">
        <f t="shared" ref="K28" si="10">SUM(D28:J28)</f>
        <v>449721.19383439637</v>
      </c>
      <c r="L28" s="147">
        <f>ROUND(K28,0)</f>
        <v>449721</v>
      </c>
      <c r="M28" s="198">
        <f t="shared" si="2"/>
        <v>4.9467487617756163E-2</v>
      </c>
      <c r="N28" s="153" t="str">
        <f>+C28</f>
        <v>UST</v>
      </c>
      <c r="O28" s="188">
        <v>208530</v>
      </c>
      <c r="P28" s="185">
        <f>+O28</f>
        <v>208530</v>
      </c>
      <c r="Q28" s="185">
        <v>0</v>
      </c>
      <c r="R28" s="190">
        <f t="shared" si="4"/>
        <v>241191</v>
      </c>
      <c r="S28" s="185">
        <f t="shared" si="7"/>
        <v>241191</v>
      </c>
      <c r="T28" s="185">
        <v>0</v>
      </c>
    </row>
    <row r="29" spans="1:20" x14ac:dyDescent="0.2">
      <c r="A29" s="10">
        <v>10</v>
      </c>
      <c r="B29" s="18" t="s">
        <v>91</v>
      </c>
      <c r="C29" s="10" t="s">
        <v>92</v>
      </c>
      <c r="D29" s="16">
        <f>VLOOKUP(C29,'I.Acreditación Institucional'!$C$4:$K$14,9,0)*$D$17</f>
        <v>67845.104477611938</v>
      </c>
      <c r="E29" s="16">
        <f>VLOOKUP(C29,'II.Doctorados Acreditados'!$C$4:$K$14,9,0)*$E$17</f>
        <v>74927.835164835167</v>
      </c>
      <c r="F29" s="171">
        <f>VLOOKUP(C29,'III. Planta Académica'!$AA$5:$AD$15,4,0)*$F$17</f>
        <v>57733.668014310708</v>
      </c>
      <c r="G29" s="171">
        <f>VLOOKUP(C29,'IV. Publicaciones por acad.'!$C$4:$G$14,5,0)*$G$17</f>
        <v>41959.01296088838</v>
      </c>
      <c r="H29" s="139">
        <f>VLOOKUP(C29,V.Citas!$C$4:$G$16,5,0)*$H$17</f>
        <v>118170.93408646373</v>
      </c>
      <c r="I29" s="16">
        <f>VLOOKUP(C29,'VI. Proyectos'!$C$5:$E$15,3,0)*$I$17</f>
        <v>51836.040350877192</v>
      </c>
      <c r="J29" s="16">
        <f>(VLOOKUP(C29,'VII. Publicaciones'!$O$5:$R$17,2,0)*$J$17)+(VLOOKUP(C29,'VII. Publicaciones'!$O$5:$R$17,3,0)*$J$17)</f>
        <v>42212.378891366803</v>
      </c>
      <c r="K29" s="150">
        <f t="shared" si="5"/>
        <v>454684.97394635394</v>
      </c>
      <c r="L29" s="147">
        <f t="shared" si="1"/>
        <v>454685</v>
      </c>
      <c r="M29" s="198">
        <f t="shared" si="2"/>
        <v>5.0013507502383613E-2</v>
      </c>
      <c r="N29" s="153" t="str">
        <f t="shared" si="3"/>
        <v>UCE</v>
      </c>
      <c r="O29" s="188">
        <v>201593</v>
      </c>
      <c r="P29" s="185">
        <f t="shared" si="6"/>
        <v>201593</v>
      </c>
      <c r="Q29" s="185">
        <v>0</v>
      </c>
      <c r="R29" s="190">
        <f t="shared" si="4"/>
        <v>253092</v>
      </c>
      <c r="S29" s="185">
        <f t="shared" si="7"/>
        <v>253092</v>
      </c>
      <c r="T29" s="185">
        <v>0</v>
      </c>
    </row>
    <row r="30" spans="1:20" x14ac:dyDescent="0.2">
      <c r="A30" s="10">
        <v>11</v>
      </c>
      <c r="B30" s="18" t="s">
        <v>109</v>
      </c>
      <c r="C30" s="10" t="s">
        <v>110</v>
      </c>
      <c r="D30" s="16">
        <f>VLOOKUP(C30,'I.Acreditación Institucional'!$C$4:$K$14,9,0)*$D$17</f>
        <v>84806.380597014911</v>
      </c>
      <c r="E30" s="16">
        <f>VLOOKUP(C30,'II.Doctorados Acreditados'!$C$4:$K$14,9,0)*$E$17</f>
        <v>0</v>
      </c>
      <c r="F30" s="171">
        <f>VLOOKUP(C30,'III. Planta Académica'!$AA$5:$AD$15,4,0)*$F$17</f>
        <v>76522.274636060509</v>
      </c>
      <c r="G30" s="171">
        <f>VLOOKUP(C30,'IV. Publicaciones por acad.'!$C$4:$G$14,5,0)*$G$17</f>
        <v>30484.750400182944</v>
      </c>
      <c r="H30" s="139">
        <f>VLOOKUP(C30,V.Citas!$C$4:$G$16,5,0)*$H$17</f>
        <v>50281.617562997504</v>
      </c>
      <c r="I30" s="16">
        <f>VLOOKUP(C30,'VI. Proyectos'!$C$5:$E$15,3,0)*$I$17</f>
        <v>33892.795614035087</v>
      </c>
      <c r="J30" s="16">
        <f>(VLOOKUP(C30,'VII. Publicaciones'!$O$5:$R$17,2,0)*$J$17)+(VLOOKUP(C30,'VII. Publicaciones'!$O$5:$R$17,3,0)*$J$17)</f>
        <v>109591.89030052224</v>
      </c>
      <c r="K30" s="150">
        <f t="shared" si="5"/>
        <v>385579.70911081322</v>
      </c>
      <c r="L30" s="147">
        <f t="shared" si="1"/>
        <v>385580</v>
      </c>
      <c r="M30" s="198">
        <f t="shared" si="2"/>
        <v>4.2412237533169278E-2</v>
      </c>
      <c r="N30" s="153" t="str">
        <f t="shared" si="3"/>
        <v>UAM</v>
      </c>
      <c r="O30" s="188">
        <v>201316</v>
      </c>
      <c r="P30" s="185">
        <f t="shared" si="6"/>
        <v>201316</v>
      </c>
      <c r="Q30" s="185">
        <v>0</v>
      </c>
      <c r="R30" s="190">
        <f t="shared" si="4"/>
        <v>184264</v>
      </c>
      <c r="S30" s="185">
        <f t="shared" si="7"/>
        <v>184264</v>
      </c>
      <c r="T30" s="185">
        <v>0</v>
      </c>
    </row>
    <row r="31" spans="1:20" x14ac:dyDescent="0.2">
      <c r="C31" s="19" t="s">
        <v>14</v>
      </c>
      <c r="D31" s="11">
        <f>SUM(D20:D30)</f>
        <v>2272810.9999999991</v>
      </c>
      <c r="E31" s="11">
        <f>SUM(E20:E30)</f>
        <v>2272811.0000000005</v>
      </c>
      <c r="F31" s="11">
        <f t="shared" ref="F31:J31" si="11">SUM(F20:F30)</f>
        <v>909124.40000000014</v>
      </c>
      <c r="G31" s="11">
        <f t="shared" si="11"/>
        <v>909124.39999999991</v>
      </c>
      <c r="H31" s="11">
        <f>SUM(H20:H30)</f>
        <v>909124.39999999991</v>
      </c>
      <c r="I31" s="11">
        <f>SUM(I20:I30)</f>
        <v>909124.40000000014</v>
      </c>
      <c r="J31" s="11">
        <f t="shared" si="11"/>
        <v>909124.40000000014</v>
      </c>
      <c r="K31" s="145">
        <f>SUM(K20:K30)</f>
        <v>9091244</v>
      </c>
      <c r="L31" s="148">
        <f>SUM(L20:L30)</f>
        <v>9091244</v>
      </c>
      <c r="M31" s="149">
        <f>SUM(M20:M30)</f>
        <v>1</v>
      </c>
      <c r="N31" s="154"/>
      <c r="O31" s="188">
        <f>SUM(O20:O30)</f>
        <v>3636498</v>
      </c>
      <c r="P31" s="186">
        <f>SUM(P20:P30)</f>
        <v>3636498</v>
      </c>
      <c r="Q31" s="186">
        <f>SUM(Q20:Q30)</f>
        <v>0</v>
      </c>
      <c r="R31" s="190">
        <f t="shared" si="4"/>
        <v>5454746</v>
      </c>
      <c r="S31" s="185">
        <f>SUM(S20:S30)</f>
        <v>5454746</v>
      </c>
      <c r="T31" s="185">
        <f>SUM(T20:T30)</f>
        <v>0</v>
      </c>
    </row>
    <row r="32" spans="1:20" ht="15" x14ac:dyDescent="0.25">
      <c r="A32" s="73"/>
      <c r="B32" s="73"/>
      <c r="C32" s="73"/>
      <c r="D32" s="73" t="s">
        <v>45</v>
      </c>
      <c r="E32" s="73" t="s">
        <v>46</v>
      </c>
      <c r="F32" s="73" t="s">
        <v>57</v>
      </c>
      <c r="G32" s="73" t="s">
        <v>58</v>
      </c>
      <c r="H32" s="73" t="s">
        <v>59</v>
      </c>
      <c r="I32" s="73" t="s">
        <v>60</v>
      </c>
      <c r="J32" s="73" t="s">
        <v>61</v>
      </c>
      <c r="K32" s="73"/>
      <c r="L32" s="176">
        <f>+C13-L31</f>
        <v>0</v>
      </c>
      <c r="M32" s="73"/>
      <c r="N32" s="73"/>
      <c r="O32" s="73"/>
      <c r="P32" s="73"/>
      <c r="Q32" s="73"/>
    </row>
    <row r="33" spans="1:17" ht="15" x14ac:dyDescent="0.25">
      <c r="A33"/>
      <c r="B33"/>
      <c r="C33"/>
      <c r="D33" t="s">
        <v>53</v>
      </c>
      <c r="E33" t="s">
        <v>43</v>
      </c>
      <c r="F33" t="s">
        <v>69</v>
      </c>
      <c r="G33" t="s">
        <v>41</v>
      </c>
      <c r="H33" t="s">
        <v>41</v>
      </c>
      <c r="I33" t="s">
        <v>41</v>
      </c>
      <c r="J33" t="s">
        <v>69</v>
      </c>
      <c r="K33"/>
      <c r="L33"/>
      <c r="M33"/>
      <c r="N33"/>
      <c r="O33"/>
      <c r="P33"/>
      <c r="Q33"/>
    </row>
  </sheetData>
  <mergeCells count="14">
    <mergeCell ref="R18:T18"/>
    <mergeCell ref="L18:N18"/>
    <mergeCell ref="O18:Q18"/>
    <mergeCell ref="A18:A19"/>
    <mergeCell ref="B18:B19"/>
    <mergeCell ref="D18:D19"/>
    <mergeCell ref="C18:C19"/>
    <mergeCell ref="K18:K19"/>
    <mergeCell ref="J18:J19"/>
    <mergeCell ref="I18:I19"/>
    <mergeCell ref="H18:H19"/>
    <mergeCell ref="G18:G19"/>
    <mergeCell ref="F18:F19"/>
    <mergeCell ref="E18:E19"/>
  </mergeCells>
  <phoneticPr fontId="19" type="noConversion"/>
  <pageMargins left="0.11811023622047245" right="0.11811023622047245" top="0.74803149606299213" bottom="0.74803149606299213" header="0.31496062992125984" footer="0.31496062992125984"/>
  <pageSetup paperSize="14" scale="73" orientation="landscape" r:id="rId1"/>
  <headerFooter>
    <oddFooter>Página &amp;P&amp;RCálculo FI_2024 UdA DIVIA 28oct2024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59F0-F738-4FBF-862F-E4692F81F592}">
  <sheetPr>
    <tabColor theme="8" tint="0.59999389629810485"/>
    <pageSetUpPr fitToPage="1"/>
  </sheetPr>
  <dimension ref="A1:M17"/>
  <sheetViews>
    <sheetView zoomScale="80" zoomScaleNormal="80" workbookViewId="0">
      <selection activeCell="K25" sqref="K25"/>
    </sheetView>
  </sheetViews>
  <sheetFormatPr baseColWidth="10" defaultRowHeight="15" x14ac:dyDescent="0.25"/>
  <cols>
    <col min="1" max="1" width="3.42578125" customWidth="1"/>
    <col min="2" max="2" width="37.5703125" bestFit="1" customWidth="1"/>
    <col min="4" max="4" width="12" customWidth="1"/>
    <col min="5" max="6" width="10.42578125" customWidth="1"/>
    <col min="7" max="9" width="11.42578125" customWidth="1"/>
    <col min="10" max="10" width="14.7109375" bestFit="1" customWidth="1"/>
    <col min="11" max="11" width="10.85546875" customWidth="1"/>
  </cols>
  <sheetData>
    <row r="1" spans="1:13" x14ac:dyDescent="0.25">
      <c r="C1" s="20">
        <v>1</v>
      </c>
      <c r="D1" s="20">
        <v>2</v>
      </c>
      <c r="E1" s="20">
        <v>3</v>
      </c>
      <c r="F1" s="20">
        <v>4</v>
      </c>
      <c r="G1" s="20">
        <v>5</v>
      </c>
      <c r="H1" s="20">
        <v>6</v>
      </c>
      <c r="I1" s="20">
        <v>7</v>
      </c>
      <c r="J1" s="20">
        <v>8</v>
      </c>
      <c r="K1" s="20">
        <v>9</v>
      </c>
    </row>
    <row r="2" spans="1:13" x14ac:dyDescent="0.25">
      <c r="D2" s="196" t="s">
        <v>111</v>
      </c>
      <c r="E2" s="196"/>
      <c r="F2" s="196"/>
      <c r="G2" s="102">
        <v>0.4</v>
      </c>
      <c r="H2" s="102">
        <v>0.4</v>
      </c>
      <c r="I2" s="102">
        <v>0.2</v>
      </c>
      <c r="J2" s="97"/>
      <c r="K2" s="98"/>
    </row>
    <row r="3" spans="1:13" ht="38.25" x14ac:dyDescent="0.25">
      <c r="A3" s="17" t="s">
        <v>20</v>
      </c>
      <c r="B3" s="4" t="s">
        <v>1</v>
      </c>
      <c r="C3" s="56" t="s">
        <v>0</v>
      </c>
      <c r="D3" s="14" t="s">
        <v>86</v>
      </c>
      <c r="E3" s="14" t="s">
        <v>25</v>
      </c>
      <c r="F3" s="14" t="s">
        <v>87</v>
      </c>
      <c r="G3" s="14" t="s">
        <v>28</v>
      </c>
      <c r="H3" s="14" t="s">
        <v>27</v>
      </c>
      <c r="I3" s="14" t="s">
        <v>29</v>
      </c>
      <c r="J3" s="14" t="s">
        <v>83</v>
      </c>
      <c r="K3" s="64" t="s">
        <v>68</v>
      </c>
    </row>
    <row r="4" spans="1:13" x14ac:dyDescent="0.25">
      <c r="A4" s="10">
        <v>1</v>
      </c>
      <c r="B4" s="18" t="s">
        <v>3</v>
      </c>
      <c r="C4" s="57" t="s">
        <v>2</v>
      </c>
      <c r="D4" s="87">
        <v>1</v>
      </c>
      <c r="E4" s="87">
        <v>5</v>
      </c>
      <c r="F4" s="87">
        <v>6</v>
      </c>
      <c r="G4" s="88">
        <f>IF(D4=1,100,0)</f>
        <v>100</v>
      </c>
      <c r="H4" s="88">
        <f>IF(E4=5,100,0)</f>
        <v>100</v>
      </c>
      <c r="I4" s="89">
        <f>F4*100/7</f>
        <v>85.714285714285708</v>
      </c>
      <c r="J4" s="89">
        <f>G4*$G$2+H4*$H$2+I4*$I$2</f>
        <v>97.142857142857139</v>
      </c>
      <c r="K4" s="65">
        <f>+J4/$J$15</f>
        <v>0.25373134328358204</v>
      </c>
      <c r="M4" s="172"/>
    </row>
    <row r="5" spans="1:13" x14ac:dyDescent="0.25">
      <c r="A5" s="10">
        <v>2</v>
      </c>
      <c r="B5" s="18" t="s">
        <v>5</v>
      </c>
      <c r="C5" s="57" t="s">
        <v>4</v>
      </c>
      <c r="D5" s="87">
        <v>1</v>
      </c>
      <c r="E5" s="87">
        <v>5</v>
      </c>
      <c r="F5" s="87">
        <v>5</v>
      </c>
      <c r="G5" s="88">
        <f t="shared" ref="G5:G11" si="0">IF(D5=1,100,0)</f>
        <v>100</v>
      </c>
      <c r="H5" s="88">
        <f t="shared" ref="H5:H11" si="1">IF(E5=5,100,0)</f>
        <v>100</v>
      </c>
      <c r="I5" s="89">
        <f t="shared" ref="I5:I11" si="2">F5*100/7</f>
        <v>71.428571428571431</v>
      </c>
      <c r="J5" s="89">
        <f t="shared" ref="J5:J13" si="3">G5*$G$2+H5*$H$2+I5*$I$2</f>
        <v>94.285714285714292</v>
      </c>
      <c r="K5" s="65">
        <f t="shared" ref="K5:K13" si="4">+J5/$J$15</f>
        <v>0.24626865671641787</v>
      </c>
      <c r="M5" s="172"/>
    </row>
    <row r="6" spans="1:13" x14ac:dyDescent="0.25">
      <c r="A6" s="10">
        <v>3</v>
      </c>
      <c r="B6" s="18" t="s">
        <v>7</v>
      </c>
      <c r="C6" s="57" t="s">
        <v>6</v>
      </c>
      <c r="D6" s="87">
        <v>0</v>
      </c>
      <c r="E6" s="87">
        <v>3</v>
      </c>
      <c r="F6" s="87">
        <v>4</v>
      </c>
      <c r="G6" s="88">
        <f t="shared" si="0"/>
        <v>0</v>
      </c>
      <c r="H6" s="88">
        <f t="shared" si="1"/>
        <v>0</v>
      </c>
      <c r="I6" s="89">
        <f t="shared" si="2"/>
        <v>57.142857142857146</v>
      </c>
      <c r="J6" s="89">
        <f t="shared" si="3"/>
        <v>11.428571428571431</v>
      </c>
      <c r="K6" s="65">
        <f t="shared" si="4"/>
        <v>2.9850746268656716E-2</v>
      </c>
      <c r="M6" s="172"/>
    </row>
    <row r="7" spans="1:13" x14ac:dyDescent="0.25">
      <c r="A7" s="10">
        <v>4</v>
      </c>
      <c r="B7" s="18" t="s">
        <v>9</v>
      </c>
      <c r="C7" s="57" t="s">
        <v>8</v>
      </c>
      <c r="D7" s="87">
        <v>1</v>
      </c>
      <c r="E7" s="87">
        <v>4</v>
      </c>
      <c r="F7" s="87">
        <v>5</v>
      </c>
      <c r="G7" s="88">
        <f t="shared" si="0"/>
        <v>100</v>
      </c>
      <c r="H7" s="88">
        <f t="shared" si="1"/>
        <v>0</v>
      </c>
      <c r="I7" s="89">
        <f t="shared" si="2"/>
        <v>71.428571428571431</v>
      </c>
      <c r="J7" s="89">
        <f t="shared" si="3"/>
        <v>54.285714285714285</v>
      </c>
      <c r="K7" s="65">
        <f t="shared" si="4"/>
        <v>0.14179104477611937</v>
      </c>
      <c r="M7" s="172"/>
    </row>
    <row r="8" spans="1:13" x14ac:dyDescent="0.25">
      <c r="A8" s="10">
        <v>5</v>
      </c>
      <c r="B8" s="18" t="s">
        <v>11</v>
      </c>
      <c r="C8" s="57" t="s">
        <v>10</v>
      </c>
      <c r="D8" s="87">
        <v>0</v>
      </c>
      <c r="E8" s="87">
        <v>3</v>
      </c>
      <c r="F8" s="87">
        <v>4</v>
      </c>
      <c r="G8" s="88">
        <f t="shared" si="0"/>
        <v>0</v>
      </c>
      <c r="H8" s="88">
        <f t="shared" si="1"/>
        <v>0</v>
      </c>
      <c r="I8" s="89">
        <f t="shared" si="2"/>
        <v>57.142857142857146</v>
      </c>
      <c r="J8" s="89">
        <f t="shared" si="3"/>
        <v>11.428571428571431</v>
      </c>
      <c r="K8" s="65">
        <f t="shared" si="4"/>
        <v>2.9850746268656716E-2</v>
      </c>
      <c r="M8" s="172"/>
    </row>
    <row r="9" spans="1:13" x14ac:dyDescent="0.25">
      <c r="A9" s="10">
        <v>6</v>
      </c>
      <c r="B9" s="18" t="s">
        <v>13</v>
      </c>
      <c r="C9" s="57" t="s">
        <v>12</v>
      </c>
      <c r="D9" s="87">
        <v>0</v>
      </c>
      <c r="E9" s="87">
        <v>3</v>
      </c>
      <c r="F9" s="87">
        <v>4</v>
      </c>
      <c r="G9" s="88">
        <f t="shared" si="0"/>
        <v>0</v>
      </c>
      <c r="H9" s="88">
        <f t="shared" si="1"/>
        <v>0</v>
      </c>
      <c r="I9" s="89">
        <f t="shared" si="2"/>
        <v>57.142857142857146</v>
      </c>
      <c r="J9" s="89">
        <f t="shared" si="3"/>
        <v>11.428571428571431</v>
      </c>
      <c r="K9" s="65">
        <f t="shared" si="4"/>
        <v>2.9850746268656716E-2</v>
      </c>
      <c r="M9" s="172"/>
    </row>
    <row r="10" spans="1:13" x14ac:dyDescent="0.25">
      <c r="A10" s="10">
        <v>7</v>
      </c>
      <c r="B10" s="18" t="s">
        <v>76</v>
      </c>
      <c r="C10" s="57" t="s">
        <v>77</v>
      </c>
      <c r="D10" s="87">
        <v>0</v>
      </c>
      <c r="E10" s="87">
        <v>3</v>
      </c>
      <c r="F10" s="87">
        <v>4</v>
      </c>
      <c r="G10" s="88">
        <f t="shared" si="0"/>
        <v>0</v>
      </c>
      <c r="H10" s="88">
        <f t="shared" si="1"/>
        <v>0</v>
      </c>
      <c r="I10" s="89">
        <f t="shared" si="2"/>
        <v>57.142857142857146</v>
      </c>
      <c r="J10" s="89">
        <f t="shared" si="3"/>
        <v>11.428571428571431</v>
      </c>
      <c r="K10" s="65">
        <f t="shared" si="4"/>
        <v>2.9850746268656716E-2</v>
      </c>
      <c r="M10" s="172"/>
    </row>
    <row r="11" spans="1:13" x14ac:dyDescent="0.25">
      <c r="A11" s="10">
        <v>8</v>
      </c>
      <c r="B11" s="18" t="s">
        <v>78</v>
      </c>
      <c r="C11" s="57" t="s">
        <v>79</v>
      </c>
      <c r="D11" s="87">
        <v>1</v>
      </c>
      <c r="E11" s="87">
        <v>4</v>
      </c>
      <c r="F11" s="87">
        <v>5</v>
      </c>
      <c r="G11" s="88">
        <f t="shared" si="0"/>
        <v>100</v>
      </c>
      <c r="H11" s="88">
        <f t="shared" si="1"/>
        <v>0</v>
      </c>
      <c r="I11" s="89">
        <f t="shared" si="2"/>
        <v>71.428571428571431</v>
      </c>
      <c r="J11" s="89">
        <f t="shared" si="3"/>
        <v>54.285714285714285</v>
      </c>
      <c r="K11" s="65">
        <f t="shared" si="4"/>
        <v>0.14179104477611937</v>
      </c>
      <c r="M11" s="172"/>
    </row>
    <row r="12" spans="1:13" x14ac:dyDescent="0.25">
      <c r="A12" s="10">
        <v>9</v>
      </c>
      <c r="B12" s="18" t="s">
        <v>85</v>
      </c>
      <c r="C12" s="57" t="s">
        <v>84</v>
      </c>
      <c r="D12" s="87">
        <v>0</v>
      </c>
      <c r="E12" s="87">
        <v>2</v>
      </c>
      <c r="F12" s="87">
        <v>4</v>
      </c>
      <c r="G12" s="88">
        <f>IF(D12=1,100,0)</f>
        <v>0</v>
      </c>
      <c r="H12" s="88">
        <f>IF(E12=5,100,0)</f>
        <v>0</v>
      </c>
      <c r="I12" s="89">
        <f>F12*100/7</f>
        <v>57.142857142857146</v>
      </c>
      <c r="J12" s="89">
        <f>G12*$G$2+H12*$H$2+I12*$I$2</f>
        <v>11.428571428571431</v>
      </c>
      <c r="K12" s="65">
        <f t="shared" si="4"/>
        <v>2.9850746268656716E-2</v>
      </c>
      <c r="M12" s="172"/>
    </row>
    <row r="13" spans="1:13" x14ac:dyDescent="0.25">
      <c r="A13" s="10">
        <v>10</v>
      </c>
      <c r="B13" s="18" t="s">
        <v>91</v>
      </c>
      <c r="C13" s="57" t="s">
        <v>92</v>
      </c>
      <c r="D13" s="87">
        <v>0</v>
      </c>
      <c r="E13" s="87">
        <v>3</v>
      </c>
      <c r="F13" s="87">
        <v>4</v>
      </c>
      <c r="G13" s="88">
        <f t="shared" ref="G13" si="5">IF(D13=1,100,0)</f>
        <v>0</v>
      </c>
      <c r="H13" s="88">
        <f t="shared" ref="H13" si="6">IF(E13=5,100,0)</f>
        <v>0</v>
      </c>
      <c r="I13" s="89">
        <f t="shared" ref="I13" si="7">F13*100/7</f>
        <v>57.142857142857146</v>
      </c>
      <c r="J13" s="89">
        <f t="shared" si="3"/>
        <v>11.428571428571431</v>
      </c>
      <c r="K13" s="65">
        <f t="shared" si="4"/>
        <v>2.9850746268656716E-2</v>
      </c>
      <c r="M13" s="172"/>
    </row>
    <row r="14" spans="1:13" x14ac:dyDescent="0.25">
      <c r="A14" s="10">
        <v>11</v>
      </c>
      <c r="B14" s="18" t="s">
        <v>109</v>
      </c>
      <c r="C14" s="156" t="s">
        <v>110</v>
      </c>
      <c r="D14" s="87">
        <v>0</v>
      </c>
      <c r="E14" s="87">
        <v>3</v>
      </c>
      <c r="F14" s="87">
        <v>5</v>
      </c>
      <c r="G14" s="88">
        <f t="shared" ref="G14" si="8">IF(D14=1,100,0)</f>
        <v>0</v>
      </c>
      <c r="H14" s="88">
        <f t="shared" ref="H14" si="9">IF(E14=5,100,0)</f>
        <v>0</v>
      </c>
      <c r="I14" s="89">
        <f>F14*100/7</f>
        <v>71.428571428571431</v>
      </c>
      <c r="J14" s="89">
        <f>G14*$G$2+H14*$H$2+I14*$I$2</f>
        <v>14.285714285714286</v>
      </c>
      <c r="K14" s="65">
        <f>+J14/$J$15</f>
        <v>3.7313432835820892E-2</v>
      </c>
      <c r="M14" s="172"/>
    </row>
    <row r="15" spans="1:13" x14ac:dyDescent="0.25">
      <c r="A15" s="13"/>
      <c r="B15" s="13"/>
      <c r="C15" s="91" t="s">
        <v>14</v>
      </c>
      <c r="D15" s="19">
        <f>SUM(D4:D14)</f>
        <v>4</v>
      </c>
      <c r="E15" s="19">
        <f t="shared" ref="E15:I15" si="10">SUM(E4:E14)</f>
        <v>38</v>
      </c>
      <c r="F15" s="19">
        <f t="shared" si="10"/>
        <v>50</v>
      </c>
      <c r="G15" s="19">
        <f t="shared" si="10"/>
        <v>400</v>
      </c>
      <c r="H15" s="19">
        <f t="shared" si="10"/>
        <v>200</v>
      </c>
      <c r="I15" s="157">
        <f t="shared" si="10"/>
        <v>714.28571428571433</v>
      </c>
      <c r="J15" s="157">
        <f>SUM(J4:J14)</f>
        <v>382.85714285714295</v>
      </c>
      <c r="K15" s="66">
        <f>SUM(K4:K14)</f>
        <v>0.99999999999999967</v>
      </c>
    </row>
    <row r="17" spans="4:11" x14ac:dyDescent="0.25">
      <c r="D17" t="s">
        <v>38</v>
      </c>
      <c r="E17" t="s">
        <v>38</v>
      </c>
      <c r="F17" t="s">
        <v>38</v>
      </c>
      <c r="G17" t="s">
        <v>39</v>
      </c>
      <c r="H17" t="s">
        <v>40</v>
      </c>
      <c r="I17" t="s">
        <v>41</v>
      </c>
      <c r="J17" t="s">
        <v>67</v>
      </c>
      <c r="K17" t="s">
        <v>44</v>
      </c>
    </row>
  </sheetData>
  <mergeCells count="1">
    <mergeCell ref="D2:F2"/>
  </mergeCells>
  <pageMargins left="0.70866141732283472" right="0.70866141732283472" top="0.74803149606299213" bottom="0.74803149606299213" header="0.31496062992125984" footer="0.31496062992125984"/>
  <pageSetup paperSize="14" scale="99" orientation="landscape" verticalDpi="0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FFA8-87F9-49E4-ADD6-7341A1B9CFD1}">
  <sheetPr>
    <tabColor theme="8" tint="0.59999389629810485"/>
  </sheetPr>
  <dimension ref="A1:L19"/>
  <sheetViews>
    <sheetView zoomScale="80" zoomScaleNormal="80" workbookViewId="0">
      <selection activeCell="L3" sqref="L3"/>
    </sheetView>
  </sheetViews>
  <sheetFormatPr baseColWidth="10" defaultRowHeight="15" x14ac:dyDescent="0.25"/>
  <cols>
    <col min="1" max="1" width="2.85546875" bestFit="1" customWidth="1"/>
    <col min="2" max="2" width="37.5703125" bestFit="1" customWidth="1"/>
    <col min="4" max="4" width="10.42578125" customWidth="1"/>
    <col min="5" max="5" width="10.85546875" customWidth="1"/>
    <col min="6" max="6" width="10.5703125" customWidth="1"/>
    <col min="7" max="8" width="10.42578125" customWidth="1"/>
    <col min="9" max="9" width="10" customWidth="1"/>
  </cols>
  <sheetData>
    <row r="1" spans="1:12" x14ac:dyDescent="0.25">
      <c r="C1" s="21">
        <v>1</v>
      </c>
      <c r="D1" s="21">
        <v>2</v>
      </c>
      <c r="E1" s="21">
        <v>3</v>
      </c>
      <c r="F1" s="21">
        <v>4</v>
      </c>
      <c r="G1" s="21">
        <v>5</v>
      </c>
      <c r="H1" s="21">
        <v>6</v>
      </c>
      <c r="I1" s="21">
        <v>7</v>
      </c>
      <c r="J1" s="21">
        <v>8</v>
      </c>
      <c r="K1" s="21">
        <v>9</v>
      </c>
    </row>
    <row r="2" spans="1:12" x14ac:dyDescent="0.25">
      <c r="B2" s="74"/>
      <c r="D2" s="23">
        <v>2</v>
      </c>
      <c r="E2" s="23">
        <v>3</v>
      </c>
      <c r="F2" s="23">
        <v>4</v>
      </c>
      <c r="G2" s="23">
        <v>5</v>
      </c>
      <c r="H2" s="23">
        <v>6</v>
      </c>
    </row>
    <row r="3" spans="1:12" ht="51" x14ac:dyDescent="0.25">
      <c r="A3" s="17" t="s">
        <v>20</v>
      </c>
      <c r="B3" s="4" t="s">
        <v>1</v>
      </c>
      <c r="C3" s="56" t="s">
        <v>0</v>
      </c>
      <c r="D3" s="14" t="s">
        <v>62</v>
      </c>
      <c r="E3" s="14" t="s">
        <v>63</v>
      </c>
      <c r="F3" s="14" t="s">
        <v>64</v>
      </c>
      <c r="G3" s="14" t="s">
        <v>65</v>
      </c>
      <c r="H3" s="14" t="s">
        <v>75</v>
      </c>
      <c r="I3" s="14" t="s">
        <v>66</v>
      </c>
      <c r="J3" s="14" t="s">
        <v>112</v>
      </c>
      <c r="K3" s="64" t="s">
        <v>37</v>
      </c>
    </row>
    <row r="4" spans="1:12" x14ac:dyDescent="0.25">
      <c r="A4" s="10">
        <v>1</v>
      </c>
      <c r="B4" s="18" t="s">
        <v>3</v>
      </c>
      <c r="C4" s="57" t="s">
        <v>2</v>
      </c>
      <c r="D4" s="10">
        <v>0</v>
      </c>
      <c r="E4" s="10">
        <v>4</v>
      </c>
      <c r="F4" s="10">
        <v>1</v>
      </c>
      <c r="G4" s="10">
        <v>2</v>
      </c>
      <c r="H4" s="10">
        <v>1</v>
      </c>
      <c r="I4" s="10">
        <f t="shared" ref="I4:I14" si="0">SUM(D4:H4)</f>
        <v>8</v>
      </c>
      <c r="J4" s="151">
        <f>D4*$D$2+E4*$E$2+F4*$F$2+G4*$G$2+H4*$H$2</f>
        <v>32</v>
      </c>
      <c r="K4" s="67">
        <f>J4/$J$15</f>
        <v>0.35164835164835168</v>
      </c>
      <c r="L4" s="54"/>
    </row>
    <row r="5" spans="1:12" x14ac:dyDescent="0.25">
      <c r="A5" s="10">
        <v>2</v>
      </c>
      <c r="B5" s="18" t="s">
        <v>5</v>
      </c>
      <c r="C5" s="57" t="s">
        <v>4</v>
      </c>
      <c r="D5" s="10">
        <v>1</v>
      </c>
      <c r="E5" s="10">
        <v>0</v>
      </c>
      <c r="F5" s="10">
        <v>1</v>
      </c>
      <c r="G5" s="10">
        <v>2</v>
      </c>
      <c r="H5" s="10">
        <v>1</v>
      </c>
      <c r="I5" s="10">
        <f t="shared" si="0"/>
        <v>5</v>
      </c>
      <c r="J5" s="151">
        <f t="shared" ref="J5:J14" si="1">D5*$D$2+E5*$E$2+F5*$F$2+G5*$G$2+H5*$H$2</f>
        <v>22</v>
      </c>
      <c r="K5" s="67">
        <f t="shared" ref="K5:K14" si="2">J5/$J$15</f>
        <v>0.24175824175824176</v>
      </c>
      <c r="L5" s="54"/>
    </row>
    <row r="6" spans="1:12" x14ac:dyDescent="0.25">
      <c r="A6" s="10">
        <v>3</v>
      </c>
      <c r="B6" s="18" t="s">
        <v>7</v>
      </c>
      <c r="C6" s="57" t="s">
        <v>6</v>
      </c>
      <c r="D6" s="10">
        <v>0</v>
      </c>
      <c r="E6" s="10">
        <v>1</v>
      </c>
      <c r="F6" s="10">
        <v>0</v>
      </c>
      <c r="G6" s="10">
        <v>0</v>
      </c>
      <c r="H6" s="10">
        <v>0</v>
      </c>
      <c r="I6" s="10">
        <f t="shared" si="0"/>
        <v>1</v>
      </c>
      <c r="J6" s="151">
        <f t="shared" si="1"/>
        <v>3</v>
      </c>
      <c r="K6" s="67">
        <f t="shared" si="2"/>
        <v>3.2967032967032968E-2</v>
      </c>
      <c r="L6" s="54"/>
    </row>
    <row r="7" spans="1:12" x14ac:dyDescent="0.25">
      <c r="A7" s="10">
        <v>4</v>
      </c>
      <c r="B7" s="18" t="s">
        <v>9</v>
      </c>
      <c r="C7" s="57" t="s">
        <v>8</v>
      </c>
      <c r="D7" s="10">
        <v>0</v>
      </c>
      <c r="E7" s="10">
        <v>1</v>
      </c>
      <c r="F7" s="10">
        <v>0</v>
      </c>
      <c r="G7" s="10">
        <v>1</v>
      </c>
      <c r="H7" s="10">
        <v>0</v>
      </c>
      <c r="I7" s="10">
        <f t="shared" si="0"/>
        <v>2</v>
      </c>
      <c r="J7" s="151">
        <f t="shared" si="1"/>
        <v>8</v>
      </c>
      <c r="K7" s="67">
        <f t="shared" si="2"/>
        <v>8.7912087912087919E-2</v>
      </c>
      <c r="L7" s="54"/>
    </row>
    <row r="8" spans="1:12" x14ac:dyDescent="0.25">
      <c r="A8" s="10">
        <v>5</v>
      </c>
      <c r="B8" s="18" t="s">
        <v>11</v>
      </c>
      <c r="C8" s="57" t="s">
        <v>10</v>
      </c>
      <c r="D8" s="10">
        <v>0</v>
      </c>
      <c r="E8" s="10">
        <v>1</v>
      </c>
      <c r="F8" s="10">
        <v>0</v>
      </c>
      <c r="G8" s="10">
        <v>0</v>
      </c>
      <c r="H8" s="10">
        <v>0</v>
      </c>
      <c r="I8" s="10">
        <f t="shared" si="0"/>
        <v>1</v>
      </c>
      <c r="J8" s="151">
        <f t="shared" si="1"/>
        <v>3</v>
      </c>
      <c r="K8" s="67">
        <f t="shared" si="2"/>
        <v>3.2967032967032968E-2</v>
      </c>
      <c r="L8" s="54"/>
    </row>
    <row r="9" spans="1:12" x14ac:dyDescent="0.25">
      <c r="A9" s="10">
        <v>6</v>
      </c>
      <c r="B9" s="18" t="s">
        <v>13</v>
      </c>
      <c r="C9" s="57" t="s">
        <v>12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f t="shared" si="0"/>
        <v>0</v>
      </c>
      <c r="J9" s="151">
        <f t="shared" si="1"/>
        <v>0</v>
      </c>
      <c r="K9" s="67">
        <f t="shared" si="2"/>
        <v>0</v>
      </c>
      <c r="L9" s="54"/>
    </row>
    <row r="10" spans="1:12" x14ac:dyDescent="0.25">
      <c r="A10" s="10">
        <v>7</v>
      </c>
      <c r="B10" s="18" t="s">
        <v>76</v>
      </c>
      <c r="C10" s="57" t="s">
        <v>77</v>
      </c>
      <c r="D10" s="10">
        <v>2</v>
      </c>
      <c r="E10" s="10">
        <v>0</v>
      </c>
      <c r="F10" s="10">
        <v>0</v>
      </c>
      <c r="G10" s="10">
        <v>0</v>
      </c>
      <c r="H10" s="10">
        <v>0</v>
      </c>
      <c r="I10" s="10">
        <f t="shared" si="0"/>
        <v>2</v>
      </c>
      <c r="J10" s="151">
        <f t="shared" si="1"/>
        <v>4</v>
      </c>
      <c r="K10" s="67">
        <f t="shared" si="2"/>
        <v>4.3956043956043959E-2</v>
      </c>
      <c r="L10" s="54"/>
    </row>
    <row r="11" spans="1:12" x14ac:dyDescent="0.25">
      <c r="A11" s="10">
        <v>8</v>
      </c>
      <c r="B11" s="18" t="s">
        <v>78</v>
      </c>
      <c r="C11" s="57" t="s">
        <v>79</v>
      </c>
      <c r="D11" s="10">
        <v>2</v>
      </c>
      <c r="E11" s="10">
        <v>2</v>
      </c>
      <c r="F11" s="10">
        <v>1</v>
      </c>
      <c r="G11" s="10">
        <v>0</v>
      </c>
      <c r="H11" s="10">
        <v>0</v>
      </c>
      <c r="I11" s="10">
        <f t="shared" si="0"/>
        <v>5</v>
      </c>
      <c r="J11" s="151">
        <f t="shared" si="1"/>
        <v>14</v>
      </c>
      <c r="K11" s="67">
        <f t="shared" si="2"/>
        <v>0.15384615384615385</v>
      </c>
      <c r="L11" s="54"/>
    </row>
    <row r="12" spans="1:12" x14ac:dyDescent="0.25">
      <c r="A12" s="10">
        <v>9</v>
      </c>
      <c r="B12" s="18" t="s">
        <v>85</v>
      </c>
      <c r="C12" s="57" t="s">
        <v>84</v>
      </c>
      <c r="D12" s="10">
        <v>1</v>
      </c>
      <c r="E12" s="10">
        <v>0</v>
      </c>
      <c r="F12" s="10">
        <v>0</v>
      </c>
      <c r="G12" s="10">
        <v>0</v>
      </c>
      <c r="H12" s="10">
        <v>0</v>
      </c>
      <c r="I12" s="10">
        <f t="shared" si="0"/>
        <v>1</v>
      </c>
      <c r="J12" s="151">
        <f t="shared" si="1"/>
        <v>2</v>
      </c>
      <c r="K12" s="67">
        <f t="shared" si="2"/>
        <v>2.197802197802198E-2</v>
      </c>
      <c r="L12" s="54"/>
    </row>
    <row r="13" spans="1:12" x14ac:dyDescent="0.25">
      <c r="A13" s="10">
        <v>10</v>
      </c>
      <c r="B13" s="18" t="s">
        <v>91</v>
      </c>
      <c r="C13" s="57" t="s">
        <v>92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  <c r="I13" s="10">
        <f t="shared" si="0"/>
        <v>1</v>
      </c>
      <c r="J13" s="151">
        <f t="shared" si="1"/>
        <v>3</v>
      </c>
      <c r="K13" s="67">
        <f t="shared" si="2"/>
        <v>3.2967032967032968E-2</v>
      </c>
      <c r="L13" s="54"/>
    </row>
    <row r="14" spans="1:12" x14ac:dyDescent="0.25">
      <c r="A14" s="10">
        <v>11</v>
      </c>
      <c r="B14" s="18" t="s">
        <v>109</v>
      </c>
      <c r="C14" s="156" t="s">
        <v>110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f t="shared" si="0"/>
        <v>0</v>
      </c>
      <c r="J14" s="151">
        <f t="shared" si="1"/>
        <v>0</v>
      </c>
      <c r="K14" s="67">
        <f t="shared" si="2"/>
        <v>0</v>
      </c>
      <c r="L14" s="54"/>
    </row>
    <row r="15" spans="1:12" x14ac:dyDescent="0.25">
      <c r="A15" s="13"/>
      <c r="B15" s="13"/>
      <c r="C15" s="91" t="s">
        <v>14</v>
      </c>
      <c r="D15" s="19">
        <f>SUM(D4:D14)</f>
        <v>6</v>
      </c>
      <c r="E15" s="19">
        <f t="shared" ref="E15:J15" si="3">SUM(E4:E14)</f>
        <v>10</v>
      </c>
      <c r="F15" s="19">
        <f t="shared" si="3"/>
        <v>3</v>
      </c>
      <c r="G15" s="19">
        <f t="shared" si="3"/>
        <v>5</v>
      </c>
      <c r="H15" s="19">
        <f t="shared" si="3"/>
        <v>2</v>
      </c>
      <c r="I15" s="19">
        <f t="shared" si="3"/>
        <v>26</v>
      </c>
      <c r="J15" s="92">
        <f t="shared" si="3"/>
        <v>91</v>
      </c>
      <c r="K15" s="68">
        <f>SUM(K4:K14)</f>
        <v>1</v>
      </c>
      <c r="L15" s="54"/>
    </row>
    <row r="16" spans="1:12" x14ac:dyDescent="0.25">
      <c r="J16" s="12"/>
      <c r="K16" s="12"/>
    </row>
    <row r="17" spans="3:11" x14ac:dyDescent="0.25">
      <c r="D17" t="s">
        <v>38</v>
      </c>
      <c r="E17" t="s">
        <v>38</v>
      </c>
      <c r="F17" t="s">
        <v>38</v>
      </c>
      <c r="G17" t="s">
        <v>38</v>
      </c>
      <c r="H17" t="s">
        <v>38</v>
      </c>
      <c r="J17" s="12" t="s">
        <v>40</v>
      </c>
      <c r="K17" s="12" t="s">
        <v>42</v>
      </c>
    </row>
    <row r="18" spans="3:11" x14ac:dyDescent="0.25">
      <c r="D18" t="s">
        <v>39</v>
      </c>
      <c r="E18" t="s">
        <v>39</v>
      </c>
      <c r="F18" t="s">
        <v>39</v>
      </c>
      <c r="G18" t="s">
        <v>39</v>
      </c>
      <c r="H18" t="s">
        <v>39</v>
      </c>
      <c r="J18" s="12" t="s">
        <v>41</v>
      </c>
      <c r="K18" s="53"/>
    </row>
    <row r="19" spans="3:11" x14ac:dyDescent="0.25">
      <c r="C19" s="21"/>
      <c r="D19" s="21"/>
      <c r="E19" s="21"/>
      <c r="F19" s="21"/>
      <c r="G19" s="21"/>
      <c r="H19" s="21"/>
      <c r="I19" s="21"/>
      <c r="J19" s="21"/>
      <c r="K19" s="21"/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0F74C-FE09-414F-8679-BC0851566780}">
  <sheetPr>
    <tabColor theme="8" tint="0.59999389629810485"/>
    <pageSetUpPr fitToPage="1"/>
  </sheetPr>
  <dimension ref="A1:AL19"/>
  <sheetViews>
    <sheetView zoomScale="80" zoomScaleNormal="80" workbookViewId="0">
      <pane xSplit="3" ySplit="4" topLeftCell="U5" activePane="bottomRight" state="frozen"/>
      <selection pane="topRight" activeCell="D1" sqref="D1"/>
      <selection pane="bottomLeft" activeCell="A4" sqref="A4"/>
      <selection pane="bottomRight" activeCell="AF8" sqref="AF8"/>
    </sheetView>
  </sheetViews>
  <sheetFormatPr baseColWidth="10" defaultRowHeight="15" x14ac:dyDescent="0.25"/>
  <cols>
    <col min="1" max="1" width="2.85546875" bestFit="1" customWidth="1"/>
    <col min="2" max="2" width="32" bestFit="1" customWidth="1"/>
    <col min="3" max="3" width="8.5703125" bestFit="1" customWidth="1"/>
    <col min="4" max="11" width="8.28515625" customWidth="1"/>
    <col min="12" max="12" width="4" customWidth="1"/>
    <col min="14" max="14" width="4" customWidth="1"/>
    <col min="16" max="18" width="10.7109375" style="83" customWidth="1"/>
    <col min="19" max="19" width="10.7109375" customWidth="1"/>
    <col min="23" max="23" width="9.28515625" bestFit="1" customWidth="1"/>
    <col min="24" max="24" width="12.5703125" customWidth="1"/>
    <col min="26" max="26" width="2" customWidth="1"/>
    <col min="27" max="27" width="9.28515625" customWidth="1"/>
  </cols>
  <sheetData>
    <row r="1" spans="1:38" x14ac:dyDescent="0.25">
      <c r="O1" s="21"/>
      <c r="P1" s="20"/>
      <c r="Q1" s="20"/>
      <c r="R1" s="20"/>
      <c r="S1" s="21"/>
      <c r="T1" s="21"/>
      <c r="U1" s="21"/>
      <c r="V1" s="21"/>
      <c r="W1" s="21"/>
      <c r="X1" s="21"/>
      <c r="Y1" s="21"/>
      <c r="Z1" s="21"/>
      <c r="AA1" s="21">
        <v>1</v>
      </c>
      <c r="AB1" s="21">
        <v>2</v>
      </c>
      <c r="AC1" s="21">
        <v>3</v>
      </c>
      <c r="AD1" s="21">
        <v>4</v>
      </c>
    </row>
    <row r="2" spans="1:38" x14ac:dyDescent="0.25">
      <c r="O2" s="21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177"/>
      <c r="AB2" s="21"/>
      <c r="AC2" s="21"/>
      <c r="AD2" s="21"/>
    </row>
    <row r="3" spans="1:38" ht="15.75" thickBot="1" x14ac:dyDescent="0.3">
      <c r="C3" s="84">
        <v>1</v>
      </c>
      <c r="D3" s="84">
        <v>8</v>
      </c>
      <c r="E3" s="84">
        <v>9</v>
      </c>
      <c r="F3" s="84">
        <v>10</v>
      </c>
      <c r="G3" s="84">
        <v>11</v>
      </c>
      <c r="H3" s="84">
        <v>12</v>
      </c>
      <c r="I3" s="84">
        <v>13</v>
      </c>
      <c r="J3" s="84">
        <v>14</v>
      </c>
      <c r="K3" s="84">
        <v>15</v>
      </c>
      <c r="L3" s="84">
        <v>16</v>
      </c>
      <c r="M3" s="84">
        <v>17</v>
      </c>
      <c r="S3" s="197"/>
      <c r="T3" s="197"/>
      <c r="U3" s="197"/>
      <c r="V3" s="197"/>
      <c r="W3" s="197"/>
      <c r="X3" s="197"/>
      <c r="Y3" s="197"/>
      <c r="Z3" s="23"/>
      <c r="AA3" s="96" t="s">
        <v>138</v>
      </c>
      <c r="AB3" s="180">
        <v>0.8</v>
      </c>
      <c r="AC3" s="180">
        <v>0.2</v>
      </c>
    </row>
    <row r="4" spans="1:38" ht="102.75" thickBot="1" x14ac:dyDescent="0.3">
      <c r="A4" s="9" t="s">
        <v>20</v>
      </c>
      <c r="B4" s="9" t="s">
        <v>24</v>
      </c>
      <c r="C4" s="30" t="s">
        <v>26</v>
      </c>
      <c r="D4" s="36" t="s">
        <v>81</v>
      </c>
      <c r="E4" s="37" t="s">
        <v>80</v>
      </c>
      <c r="F4" s="36" t="s">
        <v>89</v>
      </c>
      <c r="G4" s="37" t="s">
        <v>90</v>
      </c>
      <c r="H4" s="36" t="s">
        <v>93</v>
      </c>
      <c r="I4" s="37" t="s">
        <v>94</v>
      </c>
      <c r="J4" s="166" t="s">
        <v>113</v>
      </c>
      <c r="K4" s="167" t="s">
        <v>114</v>
      </c>
      <c r="M4" s="75" t="s">
        <v>134</v>
      </c>
      <c r="O4" s="38" t="s">
        <v>0</v>
      </c>
      <c r="P4" s="77" t="s">
        <v>95</v>
      </c>
      <c r="Q4" s="78" t="s">
        <v>96</v>
      </c>
      <c r="R4" s="79" t="s">
        <v>97</v>
      </c>
      <c r="S4" s="77" t="s">
        <v>115</v>
      </c>
      <c r="T4" s="78" t="s">
        <v>116</v>
      </c>
      <c r="U4" s="79" t="s">
        <v>117</v>
      </c>
      <c r="V4" s="123" t="s">
        <v>30</v>
      </c>
      <c r="W4" s="126" t="s">
        <v>118</v>
      </c>
      <c r="X4" s="127" t="s">
        <v>119</v>
      </c>
      <c r="Y4" s="90" t="s">
        <v>31</v>
      </c>
      <c r="Z4" s="131"/>
      <c r="AA4" s="56" t="s">
        <v>0</v>
      </c>
      <c r="AB4" s="88" t="s">
        <v>34</v>
      </c>
      <c r="AC4" s="88" t="s">
        <v>33</v>
      </c>
      <c r="AD4" s="64" t="s">
        <v>35</v>
      </c>
    </row>
    <row r="5" spans="1:38" x14ac:dyDescent="0.25">
      <c r="A5" s="1">
        <v>1</v>
      </c>
      <c r="B5" s="8" t="s">
        <v>3</v>
      </c>
      <c r="C5" s="7" t="s">
        <v>2</v>
      </c>
      <c r="D5" s="34">
        <v>167</v>
      </c>
      <c r="E5" s="35">
        <v>342</v>
      </c>
      <c r="F5" s="34">
        <v>171</v>
      </c>
      <c r="G5" s="35">
        <v>313</v>
      </c>
      <c r="H5" s="31">
        <v>185</v>
      </c>
      <c r="I5" s="7">
        <v>313</v>
      </c>
      <c r="J5" s="168">
        <v>221</v>
      </c>
      <c r="K5" s="168">
        <v>369</v>
      </c>
      <c r="M5" s="10">
        <f>SUM(E5+G5+I5+K5)</f>
        <v>1337</v>
      </c>
      <c r="O5" s="39" t="s">
        <v>2</v>
      </c>
      <c r="P5" s="80">
        <f>SUM(D5+F5+H5)</f>
        <v>523</v>
      </c>
      <c r="Q5" s="80">
        <f>SUM(E5+G5+I5)</f>
        <v>968</v>
      </c>
      <c r="R5" s="81">
        <f t="shared" ref="R5:R6" si="0">P5/Q5</f>
        <v>0.54028925619834711</v>
      </c>
      <c r="S5" s="80">
        <f>F5+H5+J5</f>
        <v>577</v>
      </c>
      <c r="T5" s="80">
        <f>G5+I5+K5</f>
        <v>995</v>
      </c>
      <c r="U5" s="81">
        <f>S5/T5</f>
        <v>0.57989949748743719</v>
      </c>
      <c r="V5" s="124">
        <f t="shared" ref="V5:V15" si="1">U5/$U$16</f>
        <v>0.13745342838676924</v>
      </c>
      <c r="W5" s="128">
        <f>+U5/R5-1</f>
        <v>7.3313027854376989E-2</v>
      </c>
      <c r="X5" s="129">
        <f>IF(W5&lt;0,0,W5)</f>
        <v>7.3313027854376989E-2</v>
      </c>
      <c r="Y5" s="132">
        <f t="shared" ref="Y5:Y15" si="2">+X5/$X$16</f>
        <v>7.0441173155438908E-2</v>
      </c>
      <c r="Z5" s="131"/>
      <c r="AA5" s="133" t="s">
        <v>2</v>
      </c>
      <c r="AB5" s="129">
        <f>V5*$AB$3</f>
        <v>0.1099627427094154</v>
      </c>
      <c r="AC5" s="129">
        <f>Y5*$AC$3</f>
        <v>1.4088234631087783E-2</v>
      </c>
      <c r="AD5" s="65">
        <f t="shared" ref="AD5:AD11" si="3">SUM(AB5:AC5)</f>
        <v>0.12405097734050319</v>
      </c>
      <c r="AF5" s="175"/>
      <c r="AH5" s="175"/>
      <c r="AJ5" s="175"/>
      <c r="AL5" s="175"/>
    </row>
    <row r="6" spans="1:38" x14ac:dyDescent="0.25">
      <c r="A6" s="1">
        <v>2</v>
      </c>
      <c r="B6" s="8" t="s">
        <v>5</v>
      </c>
      <c r="C6" s="7" t="s">
        <v>4</v>
      </c>
      <c r="D6" s="34">
        <v>151</v>
      </c>
      <c r="E6" s="35">
        <v>196</v>
      </c>
      <c r="F6" s="31">
        <v>155</v>
      </c>
      <c r="G6" s="32">
        <v>196</v>
      </c>
      <c r="H6" s="31">
        <v>156</v>
      </c>
      <c r="I6" s="7">
        <v>199</v>
      </c>
      <c r="J6" s="168">
        <v>160</v>
      </c>
      <c r="K6" s="168">
        <v>210</v>
      </c>
      <c r="M6" s="10">
        <f t="shared" ref="M6:M15" si="4">SUM(E6+G6+I6+K6)</f>
        <v>801</v>
      </c>
      <c r="O6" s="39" t="s">
        <v>4</v>
      </c>
      <c r="P6" s="80">
        <f t="shared" ref="P6:P15" si="5">SUM(D6+F6+H6)</f>
        <v>462</v>
      </c>
      <c r="Q6" s="80">
        <f t="shared" ref="Q6:Q15" si="6">SUM(E6+G6+I6)</f>
        <v>591</v>
      </c>
      <c r="R6" s="81">
        <f t="shared" si="0"/>
        <v>0.78172588832487311</v>
      </c>
      <c r="S6" s="80">
        <f t="shared" ref="S6:S15" si="7">F6+H6+J6</f>
        <v>471</v>
      </c>
      <c r="T6" s="80">
        <f t="shared" ref="T6:T15" si="8">G6+I6+K6</f>
        <v>605</v>
      </c>
      <c r="U6" s="81">
        <f t="shared" ref="U6:U11" si="9">S6/T6</f>
        <v>0.7785123966942149</v>
      </c>
      <c r="V6" s="124">
        <f t="shared" si="1"/>
        <v>0.18453059268177516</v>
      </c>
      <c r="W6" s="173">
        <f>+U6/R6-1</f>
        <v>-4.1107652677900841E-3</v>
      </c>
      <c r="X6" s="129">
        <f t="shared" ref="X6:X15" si="10">IF(W6&lt;0,0,W6)</f>
        <v>0</v>
      </c>
      <c r="Y6" s="132">
        <f t="shared" si="2"/>
        <v>0</v>
      </c>
      <c r="Z6" s="131"/>
      <c r="AA6" s="133" t="s">
        <v>4</v>
      </c>
      <c r="AB6" s="129">
        <f t="shared" ref="AB6:AB14" si="11">V6*$AB$3</f>
        <v>0.14762447414542013</v>
      </c>
      <c r="AC6" s="129">
        <f t="shared" ref="AC6:AC15" si="12">Y6*$AC$3</f>
        <v>0</v>
      </c>
      <c r="AD6" s="65">
        <f t="shared" si="3"/>
        <v>0.14762447414542013</v>
      </c>
      <c r="AF6" s="175"/>
      <c r="AH6" s="175"/>
      <c r="AJ6" s="175"/>
      <c r="AL6" s="175"/>
    </row>
    <row r="7" spans="1:38" x14ac:dyDescent="0.25">
      <c r="A7" s="1">
        <v>3</v>
      </c>
      <c r="B7" s="8" t="s">
        <v>7</v>
      </c>
      <c r="C7" s="7" t="s">
        <v>6</v>
      </c>
      <c r="D7" s="34">
        <v>46</v>
      </c>
      <c r="E7" s="35">
        <v>126</v>
      </c>
      <c r="F7" s="31">
        <v>52</v>
      </c>
      <c r="G7" s="32">
        <v>139</v>
      </c>
      <c r="H7" s="31">
        <v>62</v>
      </c>
      <c r="I7" s="7">
        <v>141</v>
      </c>
      <c r="J7" s="168">
        <v>72</v>
      </c>
      <c r="K7" s="168">
        <v>150</v>
      </c>
      <c r="M7" s="10">
        <f t="shared" si="4"/>
        <v>556</v>
      </c>
      <c r="O7" s="39" t="s">
        <v>6</v>
      </c>
      <c r="P7" s="80">
        <f t="shared" si="5"/>
        <v>160</v>
      </c>
      <c r="Q7" s="80">
        <f t="shared" si="6"/>
        <v>406</v>
      </c>
      <c r="R7" s="81">
        <f t="shared" ref="R7:R15" si="13">P7/Q7</f>
        <v>0.39408866995073893</v>
      </c>
      <c r="S7" s="80">
        <f t="shared" si="7"/>
        <v>186</v>
      </c>
      <c r="T7" s="80">
        <f t="shared" si="8"/>
        <v>430</v>
      </c>
      <c r="U7" s="81">
        <f t="shared" si="9"/>
        <v>0.4325581395348837</v>
      </c>
      <c r="V7" s="124">
        <f t="shared" si="1"/>
        <v>0.10252914429704318</v>
      </c>
      <c r="W7" s="128">
        <f t="shared" ref="W7:W14" si="14">+U7/R7-1</f>
        <v>9.7616279069767442E-2</v>
      </c>
      <c r="X7" s="129">
        <f t="shared" si="10"/>
        <v>9.7616279069767442E-2</v>
      </c>
      <c r="Y7" s="132">
        <f t="shared" si="2"/>
        <v>9.3792405224368408E-2</v>
      </c>
      <c r="Z7" s="131"/>
      <c r="AA7" s="133" t="s">
        <v>6</v>
      </c>
      <c r="AB7" s="129">
        <f t="shared" si="11"/>
        <v>8.2023315437634553E-2</v>
      </c>
      <c r="AC7" s="129">
        <f t="shared" si="12"/>
        <v>1.8758481044873682E-2</v>
      </c>
      <c r="AD7" s="65">
        <f t="shared" si="3"/>
        <v>0.10078179648250823</v>
      </c>
      <c r="AF7" s="175"/>
      <c r="AH7" s="175"/>
      <c r="AJ7" s="175"/>
      <c r="AL7" s="175"/>
    </row>
    <row r="8" spans="1:38" x14ac:dyDescent="0.25">
      <c r="A8" s="1">
        <v>4</v>
      </c>
      <c r="B8" s="8" t="s">
        <v>9</v>
      </c>
      <c r="C8" s="7" t="s">
        <v>8</v>
      </c>
      <c r="D8" s="34">
        <v>212</v>
      </c>
      <c r="E8" s="35">
        <v>674</v>
      </c>
      <c r="F8" s="31">
        <v>218</v>
      </c>
      <c r="G8" s="32">
        <v>718</v>
      </c>
      <c r="H8" s="31">
        <v>229</v>
      </c>
      <c r="I8" s="7">
        <v>642</v>
      </c>
      <c r="J8" s="168">
        <v>313</v>
      </c>
      <c r="K8" s="168">
        <v>732</v>
      </c>
      <c r="M8" s="10">
        <f t="shared" si="4"/>
        <v>2766</v>
      </c>
      <c r="O8" s="39" t="s">
        <v>8</v>
      </c>
      <c r="P8" s="80">
        <f t="shared" si="5"/>
        <v>659</v>
      </c>
      <c r="Q8" s="80">
        <f t="shared" si="6"/>
        <v>2034</v>
      </c>
      <c r="R8" s="81">
        <f t="shared" si="13"/>
        <v>0.32399213372664698</v>
      </c>
      <c r="S8" s="80">
        <f t="shared" si="7"/>
        <v>760</v>
      </c>
      <c r="T8" s="80">
        <f t="shared" si="8"/>
        <v>2092</v>
      </c>
      <c r="U8" s="81">
        <f t="shared" si="9"/>
        <v>0.3632887189292543</v>
      </c>
      <c r="V8" s="124">
        <f t="shared" si="1"/>
        <v>8.611023138909546E-2</v>
      </c>
      <c r="W8" s="128">
        <f t="shared" si="14"/>
        <v>0.12128870152064231</v>
      </c>
      <c r="X8" s="129">
        <f t="shared" si="10"/>
        <v>0.12128870152064231</v>
      </c>
      <c r="Y8" s="132">
        <f t="shared" si="2"/>
        <v>0.11653751966955252</v>
      </c>
      <c r="Z8" s="131"/>
      <c r="AA8" s="133" t="s">
        <v>8</v>
      </c>
      <c r="AB8" s="129">
        <f t="shared" si="11"/>
        <v>6.8888185111276368E-2</v>
      </c>
      <c r="AC8" s="129">
        <f t="shared" si="12"/>
        <v>2.3307503933910505E-2</v>
      </c>
      <c r="AD8" s="65">
        <f t="shared" si="3"/>
        <v>9.2195689045186879E-2</v>
      </c>
      <c r="AF8" s="175"/>
      <c r="AH8" s="175"/>
      <c r="AJ8" s="175"/>
      <c r="AL8" s="175"/>
    </row>
    <row r="9" spans="1:38" x14ac:dyDescent="0.25">
      <c r="A9" s="1">
        <v>5</v>
      </c>
      <c r="B9" s="8" t="s">
        <v>11</v>
      </c>
      <c r="C9" s="7" t="s">
        <v>10</v>
      </c>
      <c r="D9" s="34">
        <v>38</v>
      </c>
      <c r="E9" s="35">
        <v>160</v>
      </c>
      <c r="F9" s="31">
        <v>43</v>
      </c>
      <c r="G9" s="32">
        <v>161</v>
      </c>
      <c r="H9" s="31">
        <v>61</v>
      </c>
      <c r="I9" s="7">
        <v>189</v>
      </c>
      <c r="J9" s="168">
        <v>81</v>
      </c>
      <c r="K9" s="168">
        <v>209</v>
      </c>
      <c r="M9" s="10">
        <f t="shared" si="4"/>
        <v>719</v>
      </c>
      <c r="O9" s="39" t="s">
        <v>10</v>
      </c>
      <c r="P9" s="80">
        <f t="shared" si="5"/>
        <v>142</v>
      </c>
      <c r="Q9" s="80">
        <f t="shared" si="6"/>
        <v>510</v>
      </c>
      <c r="R9" s="81">
        <f t="shared" si="13"/>
        <v>0.27843137254901962</v>
      </c>
      <c r="S9" s="80">
        <f t="shared" si="7"/>
        <v>185</v>
      </c>
      <c r="T9" s="80">
        <f t="shared" si="8"/>
        <v>559</v>
      </c>
      <c r="U9" s="81">
        <f t="shared" si="9"/>
        <v>0.33094812164579607</v>
      </c>
      <c r="V9" s="124">
        <f t="shared" si="1"/>
        <v>7.8444547952659177E-2</v>
      </c>
      <c r="W9" s="128">
        <f t="shared" si="14"/>
        <v>0.18861649323490126</v>
      </c>
      <c r="X9" s="129">
        <f t="shared" si="10"/>
        <v>0.18861649323490126</v>
      </c>
      <c r="Y9" s="132">
        <f t="shared" si="2"/>
        <v>0.18122791335698621</v>
      </c>
      <c r="Z9" s="131"/>
      <c r="AA9" s="133" t="s">
        <v>10</v>
      </c>
      <c r="AB9" s="129">
        <f t="shared" si="11"/>
        <v>6.2755638362127344E-2</v>
      </c>
      <c r="AC9" s="129">
        <f t="shared" si="12"/>
        <v>3.6245582671397242E-2</v>
      </c>
      <c r="AD9" s="65">
        <f t="shared" si="3"/>
        <v>9.9001221033524586E-2</v>
      </c>
      <c r="AF9" s="175"/>
      <c r="AH9" s="175"/>
      <c r="AJ9" s="175"/>
      <c r="AL9" s="175"/>
    </row>
    <row r="10" spans="1:38" x14ac:dyDescent="0.25">
      <c r="A10" s="1">
        <v>6</v>
      </c>
      <c r="B10" s="8" t="s">
        <v>13</v>
      </c>
      <c r="C10" s="7" t="s">
        <v>12</v>
      </c>
      <c r="D10" s="34">
        <v>35</v>
      </c>
      <c r="E10" s="35">
        <v>88</v>
      </c>
      <c r="F10" s="31">
        <v>28</v>
      </c>
      <c r="G10" s="32">
        <v>72</v>
      </c>
      <c r="H10" s="31">
        <v>28</v>
      </c>
      <c r="I10" s="7">
        <v>72</v>
      </c>
      <c r="J10" s="168">
        <v>2</v>
      </c>
      <c r="K10" s="168">
        <v>2</v>
      </c>
      <c r="M10" s="10">
        <f t="shared" si="4"/>
        <v>234</v>
      </c>
      <c r="O10" s="39" t="s">
        <v>12</v>
      </c>
      <c r="P10" s="80">
        <f t="shared" si="5"/>
        <v>91</v>
      </c>
      <c r="Q10" s="80">
        <f t="shared" si="6"/>
        <v>232</v>
      </c>
      <c r="R10" s="81">
        <f t="shared" si="13"/>
        <v>0.39224137931034481</v>
      </c>
      <c r="S10" s="80">
        <f t="shared" si="7"/>
        <v>58</v>
      </c>
      <c r="T10" s="80">
        <f t="shared" si="8"/>
        <v>146</v>
      </c>
      <c r="U10" s="81">
        <f t="shared" si="9"/>
        <v>0.39726027397260272</v>
      </c>
      <c r="V10" s="124">
        <f t="shared" si="1"/>
        <v>9.4162500322884701E-2</v>
      </c>
      <c r="W10" s="128">
        <f>+U10/R10-1</f>
        <v>1.2795423754327961E-2</v>
      </c>
      <c r="X10" s="129">
        <f t="shared" si="10"/>
        <v>1.2795423754327961E-2</v>
      </c>
      <c r="Y10" s="132">
        <f t="shared" si="2"/>
        <v>1.2294194997185899E-2</v>
      </c>
      <c r="Z10" s="131"/>
      <c r="AA10" s="133" t="s">
        <v>12</v>
      </c>
      <c r="AB10" s="129">
        <f t="shared" si="11"/>
        <v>7.5330000258307772E-2</v>
      </c>
      <c r="AC10" s="129">
        <f t="shared" si="12"/>
        <v>2.4588389994371802E-3</v>
      </c>
      <c r="AD10" s="65">
        <f t="shared" si="3"/>
        <v>7.7788839257744949E-2</v>
      </c>
      <c r="AF10" s="175"/>
      <c r="AH10" s="175"/>
      <c r="AJ10" s="175"/>
      <c r="AL10" s="175"/>
    </row>
    <row r="11" spans="1:38" x14ac:dyDescent="0.25">
      <c r="A11" s="1">
        <v>7</v>
      </c>
      <c r="B11" s="8" t="s">
        <v>76</v>
      </c>
      <c r="C11" s="7" t="s">
        <v>77</v>
      </c>
      <c r="D11" s="34">
        <v>65</v>
      </c>
      <c r="E11" s="35">
        <v>199</v>
      </c>
      <c r="F11" s="31">
        <v>89</v>
      </c>
      <c r="G11" s="32">
        <v>247</v>
      </c>
      <c r="H11" s="31">
        <v>102</v>
      </c>
      <c r="I11" s="7">
        <v>275</v>
      </c>
      <c r="J11" s="168">
        <v>95</v>
      </c>
      <c r="K11" s="168">
        <v>266</v>
      </c>
      <c r="M11" s="10">
        <f t="shared" si="4"/>
        <v>987</v>
      </c>
      <c r="O11" s="39" t="s">
        <v>77</v>
      </c>
      <c r="P11" s="80">
        <f t="shared" si="5"/>
        <v>256</v>
      </c>
      <c r="Q11" s="80">
        <f t="shared" si="6"/>
        <v>721</v>
      </c>
      <c r="R11" s="81">
        <f t="shared" si="13"/>
        <v>0.35506241331484051</v>
      </c>
      <c r="S11" s="80">
        <f t="shared" si="7"/>
        <v>286</v>
      </c>
      <c r="T11" s="80">
        <f t="shared" si="8"/>
        <v>788</v>
      </c>
      <c r="U11" s="81">
        <f t="shared" si="9"/>
        <v>0.3629441624365482</v>
      </c>
      <c r="V11" s="124">
        <f t="shared" si="1"/>
        <v>8.6028561252458724E-2</v>
      </c>
      <c r="W11" s="128">
        <f t="shared" si="14"/>
        <v>2.2198207487309496E-2</v>
      </c>
      <c r="X11" s="129">
        <f t="shared" si="10"/>
        <v>2.2198207487309496E-2</v>
      </c>
      <c r="Y11" s="132">
        <f t="shared" si="2"/>
        <v>2.1328648169597775E-2</v>
      </c>
      <c r="Z11" s="131"/>
      <c r="AA11" s="133" t="s">
        <v>77</v>
      </c>
      <c r="AB11" s="129">
        <f t="shared" si="11"/>
        <v>6.8822849001966988E-2</v>
      </c>
      <c r="AC11" s="129">
        <f t="shared" si="12"/>
        <v>4.2657296339195551E-3</v>
      </c>
      <c r="AD11" s="65">
        <f t="shared" si="3"/>
        <v>7.3088578635886539E-2</v>
      </c>
      <c r="AF11" s="175"/>
      <c r="AH11" s="175"/>
      <c r="AJ11" s="175"/>
      <c r="AL11" s="175"/>
    </row>
    <row r="12" spans="1:38" x14ac:dyDescent="0.25">
      <c r="A12" s="1">
        <v>8</v>
      </c>
      <c r="B12" s="8" t="s">
        <v>78</v>
      </c>
      <c r="C12" s="7" t="s">
        <v>79</v>
      </c>
      <c r="D12" s="34">
        <v>199</v>
      </c>
      <c r="E12" s="35">
        <v>589</v>
      </c>
      <c r="F12" s="31">
        <v>196</v>
      </c>
      <c r="G12" s="32">
        <v>571</v>
      </c>
      <c r="H12" s="31">
        <v>179</v>
      </c>
      <c r="I12" s="7">
        <v>520</v>
      </c>
      <c r="J12" s="168">
        <v>180</v>
      </c>
      <c r="K12" s="168">
        <v>524</v>
      </c>
      <c r="M12" s="10">
        <f t="shared" si="4"/>
        <v>2204</v>
      </c>
      <c r="O12" s="39" t="s">
        <v>79</v>
      </c>
      <c r="P12" s="80">
        <f t="shared" si="5"/>
        <v>574</v>
      </c>
      <c r="Q12" s="80">
        <f t="shared" si="6"/>
        <v>1680</v>
      </c>
      <c r="R12" s="81">
        <f t="shared" si="13"/>
        <v>0.34166666666666667</v>
      </c>
      <c r="S12" s="80">
        <f t="shared" si="7"/>
        <v>555</v>
      </c>
      <c r="T12" s="80">
        <f t="shared" si="8"/>
        <v>1615</v>
      </c>
      <c r="U12" s="81">
        <f t="shared" ref="U12:U15" si="15">S12/T12</f>
        <v>0.34365325077399383</v>
      </c>
      <c r="V12" s="124">
        <f t="shared" si="1"/>
        <v>8.1456041434433094E-2</v>
      </c>
      <c r="W12" s="128">
        <f t="shared" si="14"/>
        <v>5.8143925092501991E-3</v>
      </c>
      <c r="X12" s="129">
        <f t="shared" si="10"/>
        <v>5.8143925092501991E-3</v>
      </c>
      <c r="Y12" s="132">
        <f t="shared" si="2"/>
        <v>5.5866282095362613E-3</v>
      </c>
      <c r="Z12" s="131"/>
      <c r="AA12" s="133" t="s">
        <v>79</v>
      </c>
      <c r="AB12" s="129">
        <f t="shared" si="11"/>
        <v>6.516483314754648E-2</v>
      </c>
      <c r="AC12" s="129">
        <f t="shared" si="12"/>
        <v>1.1173256419072524E-3</v>
      </c>
      <c r="AD12" s="65">
        <f t="shared" ref="AD12:AD15" si="16">SUM(AB12:AC12)</f>
        <v>6.6282158789453732E-2</v>
      </c>
      <c r="AF12" s="175"/>
      <c r="AH12" s="175"/>
      <c r="AJ12" s="175"/>
      <c r="AL12" s="175"/>
    </row>
    <row r="13" spans="1:38" x14ac:dyDescent="0.25">
      <c r="A13" s="1">
        <v>9</v>
      </c>
      <c r="B13" s="8" t="s">
        <v>85</v>
      </c>
      <c r="C13" s="7" t="s">
        <v>84</v>
      </c>
      <c r="D13" s="34">
        <v>68</v>
      </c>
      <c r="E13" s="35">
        <v>614</v>
      </c>
      <c r="F13" s="31">
        <v>90</v>
      </c>
      <c r="G13" s="32">
        <v>629</v>
      </c>
      <c r="H13" s="31">
        <v>98</v>
      </c>
      <c r="I13" s="7">
        <v>662</v>
      </c>
      <c r="J13" s="168">
        <v>135</v>
      </c>
      <c r="K13" s="168">
        <v>693</v>
      </c>
      <c r="M13" s="10">
        <f t="shared" si="4"/>
        <v>2598</v>
      </c>
      <c r="O13" s="39" t="s">
        <v>84</v>
      </c>
      <c r="P13" s="80">
        <f t="shared" si="5"/>
        <v>256</v>
      </c>
      <c r="Q13" s="80">
        <f t="shared" si="6"/>
        <v>1905</v>
      </c>
      <c r="R13" s="81">
        <f>P13/Q13</f>
        <v>0.13438320209973753</v>
      </c>
      <c r="S13" s="80">
        <f t="shared" si="7"/>
        <v>323</v>
      </c>
      <c r="T13" s="80">
        <f t="shared" si="8"/>
        <v>1984</v>
      </c>
      <c r="U13" s="81">
        <f>S13/T13</f>
        <v>0.16280241935483872</v>
      </c>
      <c r="V13" s="124">
        <f t="shared" si="1"/>
        <v>3.8589015487925794E-2</v>
      </c>
      <c r="W13" s="128">
        <f>+U13/R13-1</f>
        <v>0.21147894090221775</v>
      </c>
      <c r="X13" s="129">
        <f>IF(W13&lt;0,0,W13)</f>
        <v>0.21147894090221775</v>
      </c>
      <c r="Y13" s="132">
        <f t="shared" si="2"/>
        <v>0.20319478175709488</v>
      </c>
      <c r="Z13" s="131"/>
      <c r="AA13" s="133" t="s">
        <v>84</v>
      </c>
      <c r="AB13" s="129">
        <f>V13*$AB$3</f>
        <v>3.0871212390340637E-2</v>
      </c>
      <c r="AC13" s="129">
        <f>Y13*$AC$3</f>
        <v>4.0638956351418981E-2</v>
      </c>
      <c r="AD13" s="65">
        <f>SUM(AB13:AC13)</f>
        <v>7.1510168741759611E-2</v>
      </c>
      <c r="AF13" s="175"/>
      <c r="AH13" s="175"/>
      <c r="AJ13" s="175"/>
      <c r="AL13" s="175"/>
    </row>
    <row r="14" spans="1:38" x14ac:dyDescent="0.25">
      <c r="A14" s="1">
        <v>10</v>
      </c>
      <c r="B14" s="8" t="s">
        <v>91</v>
      </c>
      <c r="C14" s="7" t="s">
        <v>92</v>
      </c>
      <c r="D14" s="34">
        <v>71</v>
      </c>
      <c r="E14" s="35">
        <v>287</v>
      </c>
      <c r="F14" s="31">
        <v>82</v>
      </c>
      <c r="G14" s="32">
        <v>317</v>
      </c>
      <c r="H14" s="31">
        <v>89</v>
      </c>
      <c r="I14" s="7">
        <v>332</v>
      </c>
      <c r="J14" s="168">
        <v>108</v>
      </c>
      <c r="K14" s="168">
        <v>369</v>
      </c>
      <c r="M14" s="10">
        <f t="shared" si="4"/>
        <v>1305</v>
      </c>
      <c r="O14" s="39" t="s">
        <v>92</v>
      </c>
      <c r="P14" s="80">
        <f t="shared" si="5"/>
        <v>242</v>
      </c>
      <c r="Q14" s="80">
        <f t="shared" si="6"/>
        <v>936</v>
      </c>
      <c r="R14" s="81">
        <f t="shared" si="13"/>
        <v>0.25854700854700857</v>
      </c>
      <c r="S14" s="80">
        <f t="shared" si="7"/>
        <v>279</v>
      </c>
      <c r="T14" s="80">
        <f t="shared" si="8"/>
        <v>1018</v>
      </c>
      <c r="U14" s="81">
        <f t="shared" si="15"/>
        <v>0.27406679764243613</v>
      </c>
      <c r="V14" s="124">
        <f t="shared" si="1"/>
        <v>6.4961982388598086E-2</v>
      </c>
      <c r="W14" s="128">
        <f t="shared" si="14"/>
        <v>6.0026952864959515E-2</v>
      </c>
      <c r="X14" s="129">
        <f t="shared" si="10"/>
        <v>6.0026952864959515E-2</v>
      </c>
      <c r="Y14" s="132">
        <f t="shared" si="2"/>
        <v>5.767554695944177E-2</v>
      </c>
      <c r="Z14" s="131"/>
      <c r="AA14" s="133" t="s">
        <v>92</v>
      </c>
      <c r="AB14" s="129">
        <f t="shared" si="11"/>
        <v>5.1969585910878469E-2</v>
      </c>
      <c r="AC14" s="129">
        <f t="shared" si="12"/>
        <v>1.1535109391888355E-2</v>
      </c>
      <c r="AD14" s="65">
        <f t="shared" si="16"/>
        <v>6.3504695302766825E-2</v>
      </c>
      <c r="AF14" s="175"/>
      <c r="AH14" s="175"/>
      <c r="AJ14" s="175"/>
      <c r="AL14" s="175"/>
    </row>
    <row r="15" spans="1:38" x14ac:dyDescent="0.25">
      <c r="A15" s="162">
        <v>11</v>
      </c>
      <c r="B15" s="163" t="s">
        <v>109</v>
      </c>
      <c r="C15" s="164" t="s">
        <v>110</v>
      </c>
      <c r="D15" s="158">
        <v>34</v>
      </c>
      <c r="E15" s="159">
        <v>478</v>
      </c>
      <c r="F15" s="160">
        <v>87</v>
      </c>
      <c r="G15" s="161">
        <v>603</v>
      </c>
      <c r="H15" s="158">
        <v>145</v>
      </c>
      <c r="I15" s="165">
        <v>639</v>
      </c>
      <c r="J15" s="168">
        <v>140</v>
      </c>
      <c r="K15" s="168">
        <v>686</v>
      </c>
      <c r="M15" s="10">
        <f t="shared" si="4"/>
        <v>2406</v>
      </c>
      <c r="O15" s="39" t="s">
        <v>110</v>
      </c>
      <c r="P15" s="80">
        <f t="shared" si="5"/>
        <v>266</v>
      </c>
      <c r="Q15" s="80">
        <f t="shared" si="6"/>
        <v>1720</v>
      </c>
      <c r="R15" s="81">
        <f t="shared" si="13"/>
        <v>0.15465116279069768</v>
      </c>
      <c r="S15" s="80">
        <f t="shared" si="7"/>
        <v>372</v>
      </c>
      <c r="T15" s="80">
        <f t="shared" si="8"/>
        <v>1928</v>
      </c>
      <c r="U15" s="81">
        <f t="shared" si="15"/>
        <v>0.19294605809128632</v>
      </c>
      <c r="V15" s="124">
        <f t="shared" si="1"/>
        <v>4.5733954406357441E-2</v>
      </c>
      <c r="W15" s="128">
        <f>+U15/R15-1</f>
        <v>0.24762112750756549</v>
      </c>
      <c r="X15" s="129">
        <f t="shared" si="10"/>
        <v>0.24762112750756549</v>
      </c>
      <c r="Y15" s="132">
        <f t="shared" si="2"/>
        <v>0.23792118850079735</v>
      </c>
      <c r="Z15" s="131"/>
      <c r="AA15" s="133" t="s">
        <v>110</v>
      </c>
      <c r="AB15" s="129">
        <f>V15*$AB$3</f>
        <v>3.6587163525085953E-2</v>
      </c>
      <c r="AC15" s="129">
        <f t="shared" si="12"/>
        <v>4.7584237700159474E-2</v>
      </c>
      <c r="AD15" s="65">
        <f t="shared" si="16"/>
        <v>8.4171401225245426E-2</v>
      </c>
      <c r="AF15" s="175"/>
      <c r="AH15" s="175"/>
      <c r="AJ15" s="175"/>
      <c r="AL15" s="175"/>
    </row>
    <row r="16" spans="1:38" ht="15.75" thickBot="1" x14ac:dyDescent="0.3">
      <c r="A16" s="2"/>
      <c r="C16" s="6"/>
      <c r="D16" s="33">
        <f t="shared" ref="D16:K16" si="17">SUM(D5:D15)</f>
        <v>1086</v>
      </c>
      <c r="E16" s="33">
        <f t="shared" si="17"/>
        <v>3753</v>
      </c>
      <c r="F16" s="33">
        <f t="shared" si="17"/>
        <v>1211</v>
      </c>
      <c r="G16" s="33">
        <f t="shared" si="17"/>
        <v>3966</v>
      </c>
      <c r="H16" s="33">
        <f t="shared" si="17"/>
        <v>1334</v>
      </c>
      <c r="I16" s="33">
        <f t="shared" si="17"/>
        <v>3984</v>
      </c>
      <c r="J16" s="33">
        <f t="shared" si="17"/>
        <v>1507</v>
      </c>
      <c r="K16" s="33">
        <f t="shared" si="17"/>
        <v>4210</v>
      </c>
      <c r="M16" s="76">
        <f>SUM(M5:M14)</f>
        <v>13507</v>
      </c>
      <c r="O16" s="40" t="s">
        <v>14</v>
      </c>
      <c r="P16" s="41">
        <f t="shared" ref="P16:V16" si="18">SUM(P5:P15)</f>
        <v>3631</v>
      </c>
      <c r="Q16" s="41">
        <f>SUM(Q5:Q15)</f>
        <v>11703</v>
      </c>
      <c r="R16" s="82">
        <f>SUM(R5:R15)</f>
        <v>3.9550791534789211</v>
      </c>
      <c r="S16" s="41">
        <f t="shared" si="18"/>
        <v>4052</v>
      </c>
      <c r="T16" s="42">
        <f t="shared" si="18"/>
        <v>12160</v>
      </c>
      <c r="U16" s="82">
        <f t="shared" si="18"/>
        <v>4.2188798365632918</v>
      </c>
      <c r="V16" s="125">
        <f t="shared" si="18"/>
        <v>1</v>
      </c>
      <c r="W16" s="130"/>
      <c r="X16" s="174">
        <f>SUM(X5:X15)</f>
        <v>1.0407695467053184</v>
      </c>
      <c r="Y16" s="134">
        <f>SUM(Y5:Y15)</f>
        <v>1</v>
      </c>
      <c r="Z16" s="131"/>
      <c r="AA16" s="133" t="str">
        <f>+O16</f>
        <v>TOTAL</v>
      </c>
      <c r="AB16" s="135">
        <f>SUM(AB5:AB15)</f>
        <v>0.80000000000000016</v>
      </c>
      <c r="AC16" s="135">
        <f>SUM(AC5:AC15)</f>
        <v>0.19999999999999996</v>
      </c>
      <c r="AD16" s="66">
        <f>SUM(AD5:AD15)</f>
        <v>1.0000000000000002</v>
      </c>
    </row>
    <row r="17" spans="4:29" x14ac:dyDescent="0.25">
      <c r="P17" s="83" t="s">
        <v>52</v>
      </c>
      <c r="Q17" s="83" t="s">
        <v>52</v>
      </c>
      <c r="R17" s="83" t="s">
        <v>52</v>
      </c>
      <c r="S17" t="s">
        <v>51</v>
      </c>
      <c r="T17" t="s">
        <v>51</v>
      </c>
      <c r="U17" t="s">
        <v>51</v>
      </c>
      <c r="V17" t="s">
        <v>51</v>
      </c>
      <c r="Z17" s="23"/>
      <c r="AB17" t="s">
        <v>51</v>
      </c>
      <c r="AC17" t="s">
        <v>52</v>
      </c>
    </row>
    <row r="18" spans="4:29" x14ac:dyDescent="0.25">
      <c r="D18" s="6"/>
      <c r="E18" s="6"/>
      <c r="F18" s="6"/>
      <c r="G18" s="6"/>
      <c r="H18" s="6"/>
      <c r="I18" s="6"/>
      <c r="P18" s="83" t="s">
        <v>42</v>
      </c>
      <c r="Q18" s="83" t="s">
        <v>42</v>
      </c>
      <c r="R18" s="83" t="s">
        <v>42</v>
      </c>
      <c r="S18" t="s">
        <v>38</v>
      </c>
      <c r="T18" t="s">
        <v>38</v>
      </c>
      <c r="U18" t="s">
        <v>38</v>
      </c>
      <c r="V18" t="s">
        <v>40</v>
      </c>
      <c r="W18" t="s">
        <v>43</v>
      </c>
      <c r="X18" t="s">
        <v>44</v>
      </c>
      <c r="Y18" t="s">
        <v>54</v>
      </c>
      <c r="Z18" s="23"/>
      <c r="AB18" t="s">
        <v>41</v>
      </c>
      <c r="AC18" t="s">
        <v>55</v>
      </c>
    </row>
    <row r="19" spans="4:29" x14ac:dyDescent="0.25">
      <c r="P19" s="83" t="s">
        <v>50</v>
      </c>
      <c r="Q19" s="83" t="s">
        <v>48</v>
      </c>
      <c r="R19" s="83" t="s">
        <v>49</v>
      </c>
      <c r="S19" t="s">
        <v>47</v>
      </c>
      <c r="T19" t="s">
        <v>48</v>
      </c>
      <c r="U19" t="s">
        <v>49</v>
      </c>
      <c r="X19" t="s">
        <v>53</v>
      </c>
      <c r="Z19" s="23"/>
    </row>
  </sheetData>
  <mergeCells count="1">
    <mergeCell ref="S3:Y3"/>
  </mergeCells>
  <phoneticPr fontId="19" type="noConversion"/>
  <pageMargins left="0.70866141732283472" right="0.70866141732283472" top="0.74803149606299213" bottom="0.74803149606299213" header="0.31496062992125984" footer="0.31496062992125984"/>
  <pageSetup paperSize="14" scale="47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FFC9-1CEB-4393-B9D1-EF860FAEEDA7}">
  <sheetPr>
    <tabColor theme="8" tint="0.59999389629810485"/>
    <pageSetUpPr fitToPage="1"/>
  </sheetPr>
  <dimension ref="A2:G19"/>
  <sheetViews>
    <sheetView zoomScale="80" zoomScaleNormal="80" workbookViewId="0">
      <selection activeCell="H3" sqref="H3"/>
    </sheetView>
  </sheetViews>
  <sheetFormatPr baseColWidth="10" defaultRowHeight="15" x14ac:dyDescent="0.25"/>
  <cols>
    <col min="1" max="1" width="2.85546875" bestFit="1" customWidth="1"/>
    <col min="2" max="2" width="37.5703125" bestFit="1" customWidth="1"/>
    <col min="3" max="3" width="6.28515625" bestFit="1" customWidth="1"/>
    <col min="7" max="7" width="11.42578125" customWidth="1"/>
  </cols>
  <sheetData>
    <row r="2" spans="1:7" x14ac:dyDescent="0.25">
      <c r="C2" s="21">
        <v>1</v>
      </c>
      <c r="D2" s="21">
        <v>2</v>
      </c>
      <c r="E2" s="21">
        <v>3</v>
      </c>
      <c r="F2" s="21">
        <v>4</v>
      </c>
      <c r="G2" s="21">
        <v>5</v>
      </c>
    </row>
    <row r="3" spans="1:7" ht="63.75" x14ac:dyDescent="0.25">
      <c r="A3" s="17" t="s">
        <v>20</v>
      </c>
      <c r="B3" s="4" t="s">
        <v>1</v>
      </c>
      <c r="C3" s="56" t="s">
        <v>0</v>
      </c>
      <c r="D3" s="14" t="s">
        <v>120</v>
      </c>
      <c r="E3" s="14" t="s">
        <v>121</v>
      </c>
      <c r="F3" s="14" t="s">
        <v>122</v>
      </c>
      <c r="G3" s="64" t="s">
        <v>123</v>
      </c>
    </row>
    <row r="4" spans="1:7" x14ac:dyDescent="0.25">
      <c r="A4" s="10">
        <v>1</v>
      </c>
      <c r="B4" s="18" t="s">
        <v>3</v>
      </c>
      <c r="C4" s="57" t="s">
        <v>2</v>
      </c>
      <c r="D4" s="152">
        <v>2258</v>
      </c>
      <c r="E4" s="152">
        <v>1603</v>
      </c>
      <c r="F4" s="103">
        <f>D4/E4</f>
        <v>1.4086088583905179</v>
      </c>
      <c r="G4" s="104">
        <f t="shared" ref="G4:G14" si="0">F4/$F$15</f>
        <v>0.17511249918562188</v>
      </c>
    </row>
    <row r="5" spans="1:7" x14ac:dyDescent="0.25">
      <c r="A5" s="10">
        <v>2</v>
      </c>
      <c r="B5" s="18" t="s">
        <v>5</v>
      </c>
      <c r="C5" s="57" t="s">
        <v>4</v>
      </c>
      <c r="D5" s="152">
        <v>919</v>
      </c>
      <c r="E5" s="152">
        <v>930</v>
      </c>
      <c r="F5" s="103">
        <f t="shared" ref="F5:F13" si="1">D5/E5</f>
        <v>0.98817204301075268</v>
      </c>
      <c r="G5" s="104">
        <f t="shared" si="0"/>
        <v>0.1228455117588089</v>
      </c>
    </row>
    <row r="6" spans="1:7" x14ac:dyDescent="0.25">
      <c r="A6" s="10">
        <v>3</v>
      </c>
      <c r="B6" s="18" t="s">
        <v>7</v>
      </c>
      <c r="C6" s="57" t="s">
        <v>6</v>
      </c>
      <c r="D6" s="152">
        <v>311</v>
      </c>
      <c r="E6" s="152">
        <v>678</v>
      </c>
      <c r="F6" s="103">
        <f t="shared" si="1"/>
        <v>0.45870206489675514</v>
      </c>
      <c r="G6" s="104">
        <f t="shared" si="0"/>
        <v>5.7023966935331613E-2</v>
      </c>
    </row>
    <row r="7" spans="1:7" x14ac:dyDescent="0.25">
      <c r="A7" s="10">
        <v>4</v>
      </c>
      <c r="B7" s="18" t="s">
        <v>9</v>
      </c>
      <c r="C7" s="57" t="s">
        <v>8</v>
      </c>
      <c r="D7" s="152">
        <v>3277</v>
      </c>
      <c r="E7" s="152">
        <v>3271</v>
      </c>
      <c r="F7" s="103">
        <f t="shared" si="1"/>
        <v>1.0018343014368694</v>
      </c>
      <c r="G7" s="104">
        <f t="shared" si="0"/>
        <v>0.12454394791677166</v>
      </c>
    </row>
    <row r="8" spans="1:7" x14ac:dyDescent="0.25">
      <c r="A8" s="10">
        <v>5</v>
      </c>
      <c r="B8" s="18" t="s">
        <v>11</v>
      </c>
      <c r="C8" s="57" t="s">
        <v>10</v>
      </c>
      <c r="D8" s="152">
        <v>644</v>
      </c>
      <c r="E8" s="152">
        <v>778</v>
      </c>
      <c r="F8" s="103">
        <f t="shared" si="1"/>
        <v>0.82776349614395883</v>
      </c>
      <c r="G8" s="104">
        <f t="shared" si="0"/>
        <v>0.10290417647239486</v>
      </c>
    </row>
    <row r="9" spans="1:7" x14ac:dyDescent="0.25">
      <c r="A9" s="10">
        <v>6</v>
      </c>
      <c r="B9" s="18" t="s">
        <v>13</v>
      </c>
      <c r="C9" s="57" t="s">
        <v>12</v>
      </c>
      <c r="D9" s="152">
        <v>220</v>
      </c>
      <c r="E9" s="152">
        <v>366</v>
      </c>
      <c r="F9" s="103">
        <f t="shared" si="1"/>
        <v>0.60109289617486339</v>
      </c>
      <c r="G9" s="104">
        <f t="shared" si="0"/>
        <v>7.4725413421134576E-2</v>
      </c>
    </row>
    <row r="10" spans="1:7" x14ac:dyDescent="0.25">
      <c r="A10" s="10">
        <v>7</v>
      </c>
      <c r="B10" s="18" t="s">
        <v>76</v>
      </c>
      <c r="C10" s="57" t="s">
        <v>77</v>
      </c>
      <c r="D10" s="152">
        <v>1148</v>
      </c>
      <c r="E10" s="152">
        <v>1173</v>
      </c>
      <c r="F10" s="103">
        <f t="shared" si="1"/>
        <v>0.97868712702472294</v>
      </c>
      <c r="G10" s="104">
        <f t="shared" si="0"/>
        <v>0.12166638574878429</v>
      </c>
    </row>
    <row r="11" spans="1:7" x14ac:dyDescent="0.25">
      <c r="A11" s="10">
        <v>8</v>
      </c>
      <c r="B11" s="18" t="s">
        <v>78</v>
      </c>
      <c r="C11" s="57" t="s">
        <v>79</v>
      </c>
      <c r="D11" s="152">
        <v>1995</v>
      </c>
      <c r="E11" s="152">
        <v>2809</v>
      </c>
      <c r="F11" s="103">
        <f t="shared" si="1"/>
        <v>0.71021715913136352</v>
      </c>
      <c r="G11" s="104">
        <f t="shared" si="0"/>
        <v>8.8291296025291816E-2</v>
      </c>
    </row>
    <row r="12" spans="1:7" x14ac:dyDescent="0.25">
      <c r="A12" s="10">
        <v>9</v>
      </c>
      <c r="B12" s="18" t="s">
        <v>85</v>
      </c>
      <c r="C12" s="57" t="s">
        <v>84</v>
      </c>
      <c r="D12" s="152">
        <v>1289</v>
      </c>
      <c r="E12" s="152">
        <v>3012</v>
      </c>
      <c r="F12" s="103">
        <f>D12/E12</f>
        <v>0.42795484727755645</v>
      </c>
      <c r="G12" s="104">
        <f t="shared" si="0"/>
        <v>5.3201598441600786E-2</v>
      </c>
    </row>
    <row r="13" spans="1:7" x14ac:dyDescent="0.25">
      <c r="A13" s="10">
        <v>10</v>
      </c>
      <c r="B13" s="18" t="s">
        <v>91</v>
      </c>
      <c r="C13" s="57" t="s">
        <v>92</v>
      </c>
      <c r="D13" s="152">
        <v>558</v>
      </c>
      <c r="E13" s="152">
        <v>1503</v>
      </c>
      <c r="F13" s="103">
        <f t="shared" si="1"/>
        <v>0.3712574850299401</v>
      </c>
      <c r="G13" s="104">
        <f t="shared" si="0"/>
        <v>4.6153213972574464E-2</v>
      </c>
    </row>
    <row r="14" spans="1:7" x14ac:dyDescent="0.25">
      <c r="A14" s="10">
        <v>11</v>
      </c>
      <c r="B14" s="18" t="s">
        <v>109</v>
      </c>
      <c r="C14" s="156" t="s">
        <v>110</v>
      </c>
      <c r="D14" s="152">
        <v>745</v>
      </c>
      <c r="E14" s="152">
        <v>2762</v>
      </c>
      <c r="F14" s="103">
        <f>D14/E14</f>
        <v>0.26973207820419987</v>
      </c>
      <c r="G14" s="104">
        <f t="shared" si="0"/>
        <v>3.3531990121685153E-2</v>
      </c>
    </row>
    <row r="15" spans="1:7" x14ac:dyDescent="0.25">
      <c r="A15" s="13"/>
      <c r="B15" s="13"/>
      <c r="C15" s="58" t="s">
        <v>14</v>
      </c>
      <c r="D15" s="11">
        <f>SUM(D4:D14)</f>
        <v>13364</v>
      </c>
      <c r="E15" s="11">
        <f>SUM(E4:E14)</f>
        <v>18885</v>
      </c>
      <c r="F15" s="11">
        <f>SUM(F4:F14)</f>
        <v>8.0440223567215003</v>
      </c>
      <c r="G15" s="105">
        <f>SUM(G4:G14)</f>
        <v>1</v>
      </c>
    </row>
    <row r="17" spans="4:7" x14ac:dyDescent="0.25">
      <c r="D17" t="s">
        <v>38</v>
      </c>
      <c r="E17" t="s">
        <v>38</v>
      </c>
      <c r="F17" t="s">
        <v>38</v>
      </c>
      <c r="G17" t="s">
        <v>40</v>
      </c>
    </row>
    <row r="18" spans="4:7" x14ac:dyDescent="0.25">
      <c r="D18" t="s">
        <v>47</v>
      </c>
      <c r="E18" t="s">
        <v>48</v>
      </c>
      <c r="F18" t="s">
        <v>49</v>
      </c>
    </row>
    <row r="19" spans="4:7" x14ac:dyDescent="0.25">
      <c r="F19" t="s">
        <v>39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8267-F1BD-44F2-9D94-D99A6D18B8AC}">
  <sheetPr>
    <tabColor theme="8" tint="0.59999389629810485"/>
    <pageSetUpPr fitToPage="1"/>
  </sheetPr>
  <dimension ref="A1:N18"/>
  <sheetViews>
    <sheetView zoomScale="80" zoomScaleNormal="80" workbookViewId="0">
      <selection activeCell="H3" sqref="H3"/>
    </sheetView>
  </sheetViews>
  <sheetFormatPr baseColWidth="10" defaultRowHeight="15" x14ac:dyDescent="0.25"/>
  <cols>
    <col min="1" max="1" width="2.85546875" bestFit="1" customWidth="1"/>
    <col min="2" max="2" width="37.5703125" bestFit="1" customWidth="1"/>
    <col min="10" max="14" width="11.42578125" style="99"/>
  </cols>
  <sheetData>
    <row r="1" spans="1:14" x14ac:dyDescent="0.25">
      <c r="C1" s="22">
        <v>1</v>
      </c>
      <c r="D1" s="22">
        <v>2</v>
      </c>
      <c r="E1" s="22">
        <v>3</v>
      </c>
      <c r="F1" s="22">
        <v>4</v>
      </c>
      <c r="G1" s="22">
        <v>5</v>
      </c>
    </row>
    <row r="3" spans="1:14" ht="63.75" x14ac:dyDescent="0.25">
      <c r="A3" s="5" t="s">
        <v>20</v>
      </c>
      <c r="B3" s="4" t="s">
        <v>1</v>
      </c>
      <c r="C3" s="56" t="s">
        <v>0</v>
      </c>
      <c r="D3" s="14" t="s">
        <v>124</v>
      </c>
      <c r="E3" s="14" t="s">
        <v>125</v>
      </c>
      <c r="F3" s="14" t="s">
        <v>126</v>
      </c>
      <c r="G3" s="64" t="s">
        <v>127</v>
      </c>
      <c r="J3"/>
      <c r="K3"/>
      <c r="L3"/>
      <c r="M3"/>
      <c r="N3"/>
    </row>
    <row r="4" spans="1:14" x14ac:dyDescent="0.25">
      <c r="A4" s="1">
        <v>1</v>
      </c>
      <c r="B4" s="18" t="s">
        <v>3</v>
      </c>
      <c r="C4" s="57" t="s">
        <v>2</v>
      </c>
      <c r="D4" s="16">
        <v>28030</v>
      </c>
      <c r="E4" s="16">
        <v>2258</v>
      </c>
      <c r="F4" s="106">
        <f t="shared" ref="F4:F11" si="0">D4/E4</f>
        <v>12.413640389725421</v>
      </c>
      <c r="G4" s="60">
        <f t="shared" ref="G4:G14" si="1">F4/$F$15</f>
        <v>0.13824188131128087</v>
      </c>
      <c r="J4"/>
      <c r="K4"/>
      <c r="L4"/>
      <c r="M4"/>
      <c r="N4"/>
    </row>
    <row r="5" spans="1:14" x14ac:dyDescent="0.25">
      <c r="A5" s="1">
        <v>2</v>
      </c>
      <c r="B5" s="18" t="s">
        <v>5</v>
      </c>
      <c r="C5" s="57" t="s">
        <v>4</v>
      </c>
      <c r="D5" s="16">
        <v>3328</v>
      </c>
      <c r="E5" s="16">
        <v>919</v>
      </c>
      <c r="F5" s="106">
        <f t="shared" si="0"/>
        <v>3.6213275299238301</v>
      </c>
      <c r="G5" s="60">
        <f t="shared" si="1"/>
        <v>4.0328148300103714E-2</v>
      </c>
      <c r="J5"/>
      <c r="K5"/>
      <c r="L5"/>
      <c r="M5"/>
      <c r="N5"/>
    </row>
    <row r="6" spans="1:14" x14ac:dyDescent="0.25">
      <c r="A6" s="1">
        <v>3</v>
      </c>
      <c r="B6" s="18" t="s">
        <v>7</v>
      </c>
      <c r="C6" s="57" t="s">
        <v>6</v>
      </c>
      <c r="D6" s="16">
        <v>1134</v>
      </c>
      <c r="E6" s="16">
        <v>311</v>
      </c>
      <c r="F6" s="106">
        <f t="shared" si="0"/>
        <v>3.6463022508038585</v>
      </c>
      <c r="G6" s="60">
        <f t="shared" si="1"/>
        <v>4.0606273998229851E-2</v>
      </c>
      <c r="J6"/>
      <c r="K6"/>
      <c r="L6"/>
      <c r="M6"/>
      <c r="N6"/>
    </row>
    <row r="7" spans="1:14" x14ac:dyDescent="0.25">
      <c r="A7" s="1">
        <v>4</v>
      </c>
      <c r="B7" s="18" t="s">
        <v>9</v>
      </c>
      <c r="C7" s="57" t="s">
        <v>8</v>
      </c>
      <c r="D7" s="16">
        <v>60956</v>
      </c>
      <c r="E7" s="16">
        <v>3277</v>
      </c>
      <c r="F7" s="106">
        <f t="shared" si="0"/>
        <v>18.601159597192556</v>
      </c>
      <c r="G7" s="60">
        <f t="shared" si="1"/>
        <v>0.20714788060202255</v>
      </c>
      <c r="J7"/>
      <c r="K7"/>
      <c r="L7"/>
      <c r="M7"/>
      <c r="N7"/>
    </row>
    <row r="8" spans="1:14" x14ac:dyDescent="0.25">
      <c r="A8" s="1">
        <v>5</v>
      </c>
      <c r="B8" s="18" t="s">
        <v>11</v>
      </c>
      <c r="C8" s="57" t="s">
        <v>10</v>
      </c>
      <c r="D8" s="16">
        <v>5077</v>
      </c>
      <c r="E8" s="16">
        <v>644</v>
      </c>
      <c r="F8" s="106">
        <f t="shared" si="0"/>
        <v>7.8835403726708071</v>
      </c>
      <c r="G8" s="60">
        <f t="shared" si="1"/>
        <v>8.7793380369991111E-2</v>
      </c>
      <c r="J8"/>
      <c r="K8"/>
      <c r="L8"/>
      <c r="M8"/>
      <c r="N8"/>
    </row>
    <row r="9" spans="1:14" x14ac:dyDescent="0.25">
      <c r="A9" s="1">
        <v>6</v>
      </c>
      <c r="B9" s="18" t="s">
        <v>13</v>
      </c>
      <c r="C9" s="57" t="s">
        <v>12</v>
      </c>
      <c r="D9" s="16">
        <v>451</v>
      </c>
      <c r="E9" s="16">
        <v>220</v>
      </c>
      <c r="F9" s="106">
        <f t="shared" si="0"/>
        <v>2.0499999999999998</v>
      </c>
      <c r="G9" s="60">
        <f t="shared" si="1"/>
        <v>2.2829391523431605E-2</v>
      </c>
      <c r="J9"/>
      <c r="K9"/>
      <c r="L9"/>
      <c r="M9"/>
      <c r="N9"/>
    </row>
    <row r="10" spans="1:14" x14ac:dyDescent="0.25">
      <c r="A10" s="1">
        <v>7</v>
      </c>
      <c r="B10" s="18" t="s">
        <v>76</v>
      </c>
      <c r="C10" s="57" t="s">
        <v>77</v>
      </c>
      <c r="D10" s="16">
        <v>7904</v>
      </c>
      <c r="E10" s="16">
        <v>1148</v>
      </c>
      <c r="F10" s="106">
        <f t="shared" si="0"/>
        <v>6.8850174216027877</v>
      </c>
      <c r="G10" s="60">
        <f t="shared" si="1"/>
        <v>7.6673540665081766E-2</v>
      </c>
      <c r="J10"/>
      <c r="K10"/>
      <c r="L10"/>
      <c r="M10"/>
      <c r="N10"/>
    </row>
    <row r="11" spans="1:14" x14ac:dyDescent="0.25">
      <c r="A11" s="1">
        <v>8</v>
      </c>
      <c r="B11" s="18" t="s">
        <v>78</v>
      </c>
      <c r="C11" s="57" t="s">
        <v>79</v>
      </c>
      <c r="D11" s="16">
        <v>23557</v>
      </c>
      <c r="E11" s="16">
        <v>1995</v>
      </c>
      <c r="F11" s="106">
        <f t="shared" si="0"/>
        <v>11.808020050125313</v>
      </c>
      <c r="G11" s="60">
        <f t="shared" si="1"/>
        <v>0.13149751845894697</v>
      </c>
      <c r="J11"/>
      <c r="K11"/>
      <c r="L11"/>
      <c r="M11"/>
      <c r="N11"/>
    </row>
    <row r="12" spans="1:14" x14ac:dyDescent="0.25">
      <c r="A12" s="1">
        <v>9</v>
      </c>
      <c r="B12" s="18" t="s">
        <v>85</v>
      </c>
      <c r="C12" s="57" t="s">
        <v>84</v>
      </c>
      <c r="D12" s="16">
        <v>8055</v>
      </c>
      <c r="E12" s="16">
        <v>1289</v>
      </c>
      <c r="F12" s="106">
        <f>D12/E12</f>
        <v>6.2490302560124125</v>
      </c>
      <c r="G12" s="60">
        <f t="shared" si="1"/>
        <v>6.9591004076232893E-2</v>
      </c>
      <c r="J12"/>
      <c r="K12"/>
      <c r="L12"/>
      <c r="M12"/>
      <c r="N12"/>
    </row>
    <row r="13" spans="1:14" x14ac:dyDescent="0.25">
      <c r="A13" s="1">
        <v>10</v>
      </c>
      <c r="B13" s="18" t="s">
        <v>91</v>
      </c>
      <c r="C13" s="57" t="s">
        <v>92</v>
      </c>
      <c r="D13" s="16">
        <v>6513</v>
      </c>
      <c r="E13" s="16">
        <v>558</v>
      </c>
      <c r="F13" s="106">
        <f>D13/E13</f>
        <v>11.672043010752688</v>
      </c>
      <c r="G13" s="60">
        <f t="shared" si="1"/>
        <v>0.12998323891258856</v>
      </c>
      <c r="J13"/>
      <c r="K13"/>
      <c r="L13"/>
      <c r="M13"/>
      <c r="N13"/>
    </row>
    <row r="14" spans="1:14" x14ac:dyDescent="0.25">
      <c r="A14" s="10">
        <v>11</v>
      </c>
      <c r="B14" s="18" t="s">
        <v>109</v>
      </c>
      <c r="C14" s="156" t="s">
        <v>110</v>
      </c>
      <c r="D14" s="16">
        <v>3700</v>
      </c>
      <c r="E14" s="16">
        <v>745</v>
      </c>
      <c r="F14" s="106">
        <f>D14/E14</f>
        <v>4.9664429530201346</v>
      </c>
      <c r="G14" s="60">
        <f t="shared" si="1"/>
        <v>5.5307741782090004E-2</v>
      </c>
      <c r="J14"/>
      <c r="K14"/>
      <c r="L14"/>
      <c r="M14"/>
      <c r="N14"/>
    </row>
    <row r="15" spans="1:14" x14ac:dyDescent="0.25">
      <c r="A15" s="2"/>
      <c r="B15" s="13"/>
      <c r="C15" s="91" t="s">
        <v>14</v>
      </c>
      <c r="D15" s="11">
        <f>SUM(D4:D14)</f>
        <v>148705</v>
      </c>
      <c r="E15" s="11">
        <f>SUM(E4:E14)</f>
        <v>13364</v>
      </c>
      <c r="F15" s="11">
        <f>SUM(F4:F14)</f>
        <v>89.796523831829816</v>
      </c>
      <c r="G15" s="107">
        <f>SUM(G4:G14)</f>
        <v>0.99999999999999978</v>
      </c>
      <c r="J15"/>
      <c r="K15"/>
      <c r="L15"/>
      <c r="M15"/>
      <c r="N15"/>
    </row>
    <row r="16" spans="1:14" x14ac:dyDescent="0.25">
      <c r="B16" s="12"/>
      <c r="C16" s="12"/>
      <c r="D16" s="12" t="s">
        <v>38</v>
      </c>
      <c r="E16" s="12" t="s">
        <v>38</v>
      </c>
      <c r="F16" s="12" t="s">
        <v>38</v>
      </c>
      <c r="G16" s="12" t="s">
        <v>40</v>
      </c>
      <c r="J16"/>
      <c r="K16"/>
      <c r="L16"/>
      <c r="M16"/>
      <c r="N16"/>
    </row>
    <row r="17" spans="4:14" x14ac:dyDescent="0.25">
      <c r="D17" t="s">
        <v>47</v>
      </c>
      <c r="E17" t="s">
        <v>48</v>
      </c>
      <c r="F17" t="s">
        <v>49</v>
      </c>
      <c r="J17"/>
      <c r="K17"/>
      <c r="L17"/>
      <c r="M17"/>
      <c r="N17"/>
    </row>
    <row r="18" spans="4:14" x14ac:dyDescent="0.25">
      <c r="F18" t="s">
        <v>39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7872-8CF4-4A12-AB93-F30A9B9A9866}">
  <sheetPr>
    <tabColor theme="8" tint="0.59999389629810485"/>
    <pageSetUpPr fitToPage="1"/>
  </sheetPr>
  <dimension ref="A3:E18"/>
  <sheetViews>
    <sheetView zoomScale="90" zoomScaleNormal="90" workbookViewId="0">
      <selection activeCell="G20" sqref="G20"/>
    </sheetView>
  </sheetViews>
  <sheetFormatPr baseColWidth="10" defaultRowHeight="15" x14ac:dyDescent="0.25"/>
  <cols>
    <col min="1" max="1" width="2.85546875" bestFit="1" customWidth="1"/>
    <col min="2" max="2" width="37.5703125" bestFit="1" customWidth="1"/>
  </cols>
  <sheetData>
    <row r="3" spans="1:5" x14ac:dyDescent="0.25">
      <c r="C3" s="25">
        <v>1</v>
      </c>
      <c r="D3" s="25">
        <v>2</v>
      </c>
      <c r="E3" s="25">
        <v>3</v>
      </c>
    </row>
    <row r="4" spans="1:5" ht="25.5" x14ac:dyDescent="0.25">
      <c r="A4" s="5" t="s">
        <v>20</v>
      </c>
      <c r="B4" s="4" t="s">
        <v>1</v>
      </c>
      <c r="C4" s="62" t="s">
        <v>0</v>
      </c>
      <c r="D4" s="14" t="s">
        <v>128</v>
      </c>
      <c r="E4" s="64" t="s">
        <v>129</v>
      </c>
    </row>
    <row r="5" spans="1:5" x14ac:dyDescent="0.25">
      <c r="A5" s="1">
        <v>1</v>
      </c>
      <c r="B5" s="3" t="s">
        <v>3</v>
      </c>
      <c r="C5" s="63" t="s">
        <v>2</v>
      </c>
      <c r="D5" s="140">
        <v>93</v>
      </c>
      <c r="E5" s="121">
        <f>+D5/$D$16</f>
        <v>0.20394736842105263</v>
      </c>
    </row>
    <row r="6" spans="1:5" x14ac:dyDescent="0.25">
      <c r="A6" s="1">
        <v>2</v>
      </c>
      <c r="B6" s="3" t="s">
        <v>5</v>
      </c>
      <c r="C6" s="63" t="s">
        <v>4</v>
      </c>
      <c r="D6" s="140">
        <v>72</v>
      </c>
      <c r="E6" s="121">
        <f t="shared" ref="E6:E15" si="0">+D6/$D$16</f>
        <v>0.15789473684210525</v>
      </c>
    </row>
    <row r="7" spans="1:5" x14ac:dyDescent="0.25">
      <c r="A7" s="1">
        <v>3</v>
      </c>
      <c r="B7" s="3" t="s">
        <v>7</v>
      </c>
      <c r="C7" s="63" t="s">
        <v>6</v>
      </c>
      <c r="D7" s="140">
        <v>16</v>
      </c>
      <c r="E7" s="121">
        <f t="shared" si="0"/>
        <v>3.5087719298245612E-2</v>
      </c>
    </row>
    <row r="8" spans="1:5" x14ac:dyDescent="0.25">
      <c r="A8" s="1">
        <v>4</v>
      </c>
      <c r="B8" s="3" t="s">
        <v>9</v>
      </c>
      <c r="C8" s="63" t="s">
        <v>8</v>
      </c>
      <c r="D8" s="140">
        <v>83</v>
      </c>
      <c r="E8" s="121">
        <f t="shared" si="0"/>
        <v>0.18201754385964913</v>
      </c>
    </row>
    <row r="9" spans="1:5" x14ac:dyDescent="0.25">
      <c r="A9" s="1">
        <v>5</v>
      </c>
      <c r="B9" s="3" t="s">
        <v>11</v>
      </c>
      <c r="C9" s="63" t="s">
        <v>10</v>
      </c>
      <c r="D9" s="140">
        <v>16</v>
      </c>
      <c r="E9" s="121">
        <f t="shared" si="0"/>
        <v>3.5087719298245612E-2</v>
      </c>
    </row>
    <row r="10" spans="1:5" x14ac:dyDescent="0.25">
      <c r="A10" s="1">
        <v>6</v>
      </c>
      <c r="B10" s="3" t="s">
        <v>13</v>
      </c>
      <c r="C10" s="63" t="s">
        <v>12</v>
      </c>
      <c r="D10" s="140">
        <v>10</v>
      </c>
      <c r="E10" s="121">
        <f t="shared" si="0"/>
        <v>2.1929824561403508E-2</v>
      </c>
    </row>
    <row r="11" spans="1:5" x14ac:dyDescent="0.25">
      <c r="A11" s="1">
        <v>7</v>
      </c>
      <c r="B11" s="3" t="s">
        <v>85</v>
      </c>
      <c r="C11" s="63" t="s">
        <v>84</v>
      </c>
      <c r="D11" s="140">
        <v>28</v>
      </c>
      <c r="E11" s="121">
        <f t="shared" si="0"/>
        <v>6.1403508771929821E-2</v>
      </c>
    </row>
    <row r="12" spans="1:5" x14ac:dyDescent="0.25">
      <c r="A12" s="1">
        <v>8</v>
      </c>
      <c r="B12" s="3" t="s">
        <v>76</v>
      </c>
      <c r="C12" s="63" t="s">
        <v>77</v>
      </c>
      <c r="D12" s="140">
        <v>30</v>
      </c>
      <c r="E12" s="121">
        <f t="shared" si="0"/>
        <v>6.5789473684210523E-2</v>
      </c>
    </row>
    <row r="13" spans="1:5" x14ac:dyDescent="0.25">
      <c r="A13" s="1">
        <v>9</v>
      </c>
      <c r="B13" s="3" t="s">
        <v>78</v>
      </c>
      <c r="C13" s="63" t="s">
        <v>79</v>
      </c>
      <c r="D13" s="140">
        <v>65</v>
      </c>
      <c r="E13" s="121">
        <f t="shared" si="0"/>
        <v>0.14254385964912281</v>
      </c>
    </row>
    <row r="14" spans="1:5" x14ac:dyDescent="0.25">
      <c r="A14" s="1">
        <v>10</v>
      </c>
      <c r="B14" s="3" t="s">
        <v>91</v>
      </c>
      <c r="C14" s="138" t="s">
        <v>92</v>
      </c>
      <c r="D14" s="140">
        <v>26</v>
      </c>
      <c r="E14" s="121">
        <f t="shared" si="0"/>
        <v>5.701754385964912E-2</v>
      </c>
    </row>
    <row r="15" spans="1:5" x14ac:dyDescent="0.25">
      <c r="A15" s="10">
        <v>11</v>
      </c>
      <c r="B15" s="18" t="s">
        <v>109</v>
      </c>
      <c r="C15" s="156" t="s">
        <v>110</v>
      </c>
      <c r="D15" s="140">
        <v>17</v>
      </c>
      <c r="E15" s="121">
        <f t="shared" si="0"/>
        <v>3.7280701754385963E-2</v>
      </c>
    </row>
    <row r="16" spans="1:5" x14ac:dyDescent="0.25">
      <c r="A16" s="2"/>
      <c r="B16" s="2"/>
      <c r="C16" s="86" t="s">
        <v>14</v>
      </c>
      <c r="D16" s="136">
        <f>SUM(D5:D15)</f>
        <v>456</v>
      </c>
      <c r="E16" s="107">
        <f>SUM(E5:E15)</f>
        <v>0.99999999999999989</v>
      </c>
    </row>
    <row r="17" spans="4:5" x14ac:dyDescent="0.25">
      <c r="D17" t="s">
        <v>38</v>
      </c>
      <c r="E17" t="s">
        <v>40</v>
      </c>
    </row>
    <row r="18" spans="4:5" x14ac:dyDescent="0.25">
      <c r="D18" t="s">
        <v>39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558C-33CF-41E9-8418-041BF7DD9104}">
  <sheetPr>
    <tabColor theme="8" tint="0.59999389629810485"/>
    <pageSetUpPr fitToPage="1"/>
  </sheetPr>
  <dimension ref="A1:R23"/>
  <sheetViews>
    <sheetView zoomScale="80" zoomScaleNormal="80" workbookViewId="0">
      <selection activeCell="Q2" sqref="Q2"/>
    </sheetView>
  </sheetViews>
  <sheetFormatPr baseColWidth="10" defaultColWidth="11.42578125" defaultRowHeight="12.75" x14ac:dyDescent="0.2"/>
  <cols>
    <col min="1" max="1" width="2.85546875" style="13" bestFit="1" customWidth="1"/>
    <col min="2" max="2" width="37.5703125" style="13" bestFit="1" customWidth="1"/>
    <col min="3" max="3" width="11.42578125" style="13" customWidth="1"/>
    <col min="4" max="7" width="10" style="13" customWidth="1"/>
    <col min="8" max="8" width="11.28515625" style="13" customWidth="1"/>
    <col min="9" max="10" width="11.42578125" style="13"/>
    <col min="11" max="11" width="12.140625" style="13" customWidth="1"/>
    <col min="12" max="12" width="16.85546875" style="13" bestFit="1" customWidth="1"/>
    <col min="13" max="13" width="11.42578125" style="13"/>
    <col min="14" max="14" width="4.85546875" style="13" customWidth="1"/>
    <col min="15" max="15" width="9.5703125" style="13" customWidth="1"/>
    <col min="16" max="17" width="7.5703125" style="13" customWidth="1"/>
    <col min="18" max="16384" width="11.42578125" style="13"/>
  </cols>
  <sheetData>
    <row r="1" spans="1:18" ht="12" customHeight="1" x14ac:dyDescent="0.2">
      <c r="O1" s="25">
        <v>1</v>
      </c>
      <c r="P1" s="25">
        <v>2</v>
      </c>
      <c r="Q1" s="25">
        <v>3</v>
      </c>
      <c r="R1" s="25"/>
    </row>
    <row r="2" spans="1:18" s="2" customFormat="1" ht="15" x14ac:dyDescent="0.25"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O2" s="177"/>
      <c r="P2" s="177"/>
      <c r="Q2" s="21"/>
      <c r="R2" s="71"/>
    </row>
    <row r="3" spans="1:18" s="2" customFormat="1" ht="15.75" thickBot="1" x14ac:dyDescent="0.3">
      <c r="C3"/>
      <c r="D3"/>
      <c r="E3"/>
      <c r="F3"/>
      <c r="G3"/>
      <c r="H3"/>
      <c r="I3"/>
      <c r="J3"/>
      <c r="K3"/>
      <c r="L3"/>
      <c r="M3"/>
      <c r="O3" s="96" t="s">
        <v>138</v>
      </c>
      <c r="P3" s="180">
        <v>0.8</v>
      </c>
      <c r="Q3" s="180">
        <v>0.2</v>
      </c>
    </row>
    <row r="4" spans="1:18" s="2" customFormat="1" ht="102" x14ac:dyDescent="0.2">
      <c r="A4" s="5" t="s">
        <v>20</v>
      </c>
      <c r="B4" s="4" t="s">
        <v>1</v>
      </c>
      <c r="C4" s="43" t="s">
        <v>0</v>
      </c>
      <c r="D4" s="109" t="s">
        <v>82</v>
      </c>
      <c r="E4" s="110" t="s">
        <v>88</v>
      </c>
      <c r="F4" s="111" t="s">
        <v>98</v>
      </c>
      <c r="G4" s="182" t="s">
        <v>130</v>
      </c>
      <c r="H4" s="108" t="s">
        <v>131</v>
      </c>
      <c r="I4" s="64" t="s">
        <v>132</v>
      </c>
      <c r="J4" s="108" t="s">
        <v>99</v>
      </c>
      <c r="K4" s="14" t="s">
        <v>135</v>
      </c>
      <c r="L4" s="14" t="s">
        <v>133</v>
      </c>
      <c r="M4" s="64" t="s">
        <v>32</v>
      </c>
      <c r="N4" s="13"/>
      <c r="O4" s="56" t="s">
        <v>0</v>
      </c>
      <c r="P4" s="28" t="s">
        <v>34</v>
      </c>
      <c r="Q4" s="29" t="s">
        <v>33</v>
      </c>
      <c r="R4" s="59" t="s">
        <v>36</v>
      </c>
    </row>
    <row r="5" spans="1:18" s="2" customFormat="1" x14ac:dyDescent="0.2">
      <c r="A5" s="1">
        <v>1</v>
      </c>
      <c r="B5" s="3" t="s">
        <v>3</v>
      </c>
      <c r="C5" s="44" t="s">
        <v>2</v>
      </c>
      <c r="D5" s="112">
        <v>388</v>
      </c>
      <c r="E5" s="112">
        <v>423</v>
      </c>
      <c r="F5" s="112">
        <v>486</v>
      </c>
      <c r="G5" s="183">
        <v>561</v>
      </c>
      <c r="H5" s="113">
        <f>SUM(E5:G5)</f>
        <v>1470</v>
      </c>
      <c r="I5" s="115">
        <f t="shared" ref="I5:I15" si="0">+H5/$H$16</f>
        <v>0.16058553637753986</v>
      </c>
      <c r="J5" s="117">
        <f>SUM(D5:F5)</f>
        <v>1297</v>
      </c>
      <c r="K5" s="119">
        <f>+H5/J5-1</f>
        <v>0.13338473400154194</v>
      </c>
      <c r="L5" s="119">
        <f t="shared" ref="L5:L15" si="1">IF(K5&lt;0,0,K5)</f>
        <v>0.13338473400154194</v>
      </c>
      <c r="M5" s="121">
        <f t="shared" ref="M5:M15" si="2">+L5/$L$16</f>
        <v>8.4574302790225639E-2</v>
      </c>
      <c r="N5" s="13"/>
      <c r="O5" s="57" t="s">
        <v>2</v>
      </c>
      <c r="P5" s="24">
        <f t="shared" ref="P5:P15" si="3">+I5*$P$3</f>
        <v>0.12846842910203191</v>
      </c>
      <c r="Q5" s="24">
        <f t="shared" ref="Q5:Q15" si="4">+M5*$Q$3</f>
        <v>1.6914860558045128E-2</v>
      </c>
      <c r="R5" s="60">
        <f>SUM(P5:Q5)</f>
        <v>0.14538328966007702</v>
      </c>
    </row>
    <row r="6" spans="1:18" s="2" customFormat="1" x14ac:dyDescent="0.2">
      <c r="A6" s="1">
        <v>2</v>
      </c>
      <c r="B6" s="3" t="s">
        <v>5</v>
      </c>
      <c r="C6" s="44" t="s">
        <v>4</v>
      </c>
      <c r="D6" s="112">
        <v>166</v>
      </c>
      <c r="E6" s="112">
        <v>169</v>
      </c>
      <c r="F6" s="112">
        <v>240</v>
      </c>
      <c r="G6" s="183">
        <v>202</v>
      </c>
      <c r="H6" s="113">
        <f t="shared" ref="H6:H15" si="5">SUM(E6:G6)</f>
        <v>611</v>
      </c>
      <c r="I6" s="115">
        <f t="shared" si="0"/>
        <v>6.6746777365086302E-2</v>
      </c>
      <c r="J6" s="117">
        <f t="shared" ref="J6:J15" si="6">SUM(D6:F6)</f>
        <v>575</v>
      </c>
      <c r="K6" s="119">
        <f t="shared" ref="K6:K15" si="7">+H6/J6-1</f>
        <v>6.2608695652173862E-2</v>
      </c>
      <c r="L6" s="119">
        <f t="shared" si="1"/>
        <v>6.2608695652173862E-2</v>
      </c>
      <c r="M6" s="121">
        <f t="shared" si="2"/>
        <v>3.9697847156383158E-2</v>
      </c>
      <c r="N6" s="13"/>
      <c r="O6" s="57" t="s">
        <v>4</v>
      </c>
      <c r="P6" s="24">
        <f t="shared" si="3"/>
        <v>5.3397421892069044E-2</v>
      </c>
      <c r="Q6" s="24">
        <f t="shared" si="4"/>
        <v>7.9395694312766312E-3</v>
      </c>
      <c r="R6" s="60">
        <f t="shared" ref="R6:R15" si="8">SUM(P6:Q6)</f>
        <v>6.1336991323345677E-2</v>
      </c>
    </row>
    <row r="7" spans="1:18" s="2" customFormat="1" x14ac:dyDescent="0.2">
      <c r="A7" s="1">
        <v>3</v>
      </c>
      <c r="B7" s="3" t="s">
        <v>7</v>
      </c>
      <c r="C7" s="44" t="s">
        <v>6</v>
      </c>
      <c r="D7" s="112">
        <v>63</v>
      </c>
      <c r="E7" s="112">
        <v>66</v>
      </c>
      <c r="F7" s="112">
        <v>80</v>
      </c>
      <c r="G7" s="183">
        <v>83</v>
      </c>
      <c r="H7" s="113">
        <f t="shared" si="5"/>
        <v>229</v>
      </c>
      <c r="I7" s="115">
        <f t="shared" si="0"/>
        <v>2.5016386279222199E-2</v>
      </c>
      <c r="J7" s="117">
        <f t="shared" si="6"/>
        <v>209</v>
      </c>
      <c r="K7" s="119">
        <f t="shared" si="7"/>
        <v>9.5693779904306275E-2</v>
      </c>
      <c r="L7" s="119">
        <f t="shared" si="1"/>
        <v>9.5693779904306275E-2</v>
      </c>
      <c r="M7" s="121">
        <f t="shared" si="2"/>
        <v>6.0675869523977535E-2</v>
      </c>
      <c r="N7" s="13"/>
      <c r="O7" s="57" t="s">
        <v>6</v>
      </c>
      <c r="P7" s="24">
        <f t="shared" si="3"/>
        <v>2.0013109023377759E-2</v>
      </c>
      <c r="Q7" s="24">
        <f t="shared" si="4"/>
        <v>1.2135173904795508E-2</v>
      </c>
      <c r="R7" s="60">
        <f t="shared" si="8"/>
        <v>3.2148282928173268E-2</v>
      </c>
    </row>
    <row r="8" spans="1:18" s="2" customFormat="1" x14ac:dyDescent="0.2">
      <c r="A8" s="1">
        <v>4</v>
      </c>
      <c r="B8" s="3" t="s">
        <v>9</v>
      </c>
      <c r="C8" s="44" t="s">
        <v>8</v>
      </c>
      <c r="D8" s="112">
        <v>614</v>
      </c>
      <c r="E8" s="112">
        <v>688</v>
      </c>
      <c r="F8" s="112">
        <v>725</v>
      </c>
      <c r="G8" s="183">
        <v>711</v>
      </c>
      <c r="H8" s="113">
        <f t="shared" si="5"/>
        <v>2124</v>
      </c>
      <c r="I8" s="115">
        <f t="shared" si="0"/>
        <v>0.23202971378632292</v>
      </c>
      <c r="J8" s="117">
        <f t="shared" si="6"/>
        <v>2027</v>
      </c>
      <c r="K8" s="119">
        <f t="shared" si="7"/>
        <v>4.785397138628511E-2</v>
      </c>
      <c r="L8" s="119">
        <f t="shared" si="1"/>
        <v>4.785397138628511E-2</v>
      </c>
      <c r="M8" s="121">
        <f t="shared" si="2"/>
        <v>3.0342424836201153E-2</v>
      </c>
      <c r="N8" s="13"/>
      <c r="O8" s="57" t="s">
        <v>8</v>
      </c>
      <c r="P8" s="24">
        <f t="shared" si="3"/>
        <v>0.18562377102905836</v>
      </c>
      <c r="Q8" s="24">
        <f t="shared" si="4"/>
        <v>6.0684849672402313E-3</v>
      </c>
      <c r="R8" s="60">
        <f t="shared" si="8"/>
        <v>0.19169225599629858</v>
      </c>
    </row>
    <row r="9" spans="1:18" s="2" customFormat="1" x14ac:dyDescent="0.2">
      <c r="A9" s="1">
        <v>5</v>
      </c>
      <c r="B9" s="3" t="s">
        <v>11</v>
      </c>
      <c r="C9" s="44" t="s">
        <v>10</v>
      </c>
      <c r="D9" s="112">
        <v>99</v>
      </c>
      <c r="E9" s="112">
        <v>120</v>
      </c>
      <c r="F9" s="112">
        <v>176</v>
      </c>
      <c r="G9" s="183">
        <v>163</v>
      </c>
      <c r="H9" s="113">
        <f t="shared" si="5"/>
        <v>459</v>
      </c>
      <c r="I9" s="115">
        <f t="shared" si="0"/>
        <v>5.0142014419925718E-2</v>
      </c>
      <c r="J9" s="117">
        <f t="shared" si="6"/>
        <v>395</v>
      </c>
      <c r="K9" s="119">
        <f t="shared" si="7"/>
        <v>0.16202531645569618</v>
      </c>
      <c r="L9" s="119">
        <f t="shared" si="1"/>
        <v>0.16202531645569618</v>
      </c>
      <c r="M9" s="121">
        <f t="shared" si="2"/>
        <v>0.102734231740851</v>
      </c>
      <c r="N9" s="13"/>
      <c r="O9" s="57" t="s">
        <v>10</v>
      </c>
      <c r="P9" s="24">
        <f t="shared" si="3"/>
        <v>4.0113611535940577E-2</v>
      </c>
      <c r="Q9" s="24">
        <f t="shared" si="4"/>
        <v>2.0546846348170202E-2</v>
      </c>
      <c r="R9" s="60">
        <f t="shared" si="8"/>
        <v>6.0660457884110779E-2</v>
      </c>
    </row>
    <row r="10" spans="1:18" s="2" customFormat="1" x14ac:dyDescent="0.2">
      <c r="A10" s="1">
        <v>6</v>
      </c>
      <c r="B10" s="3" t="s">
        <v>13</v>
      </c>
      <c r="C10" s="44" t="s">
        <v>12</v>
      </c>
      <c r="D10" s="112">
        <v>38</v>
      </c>
      <c r="E10" s="112">
        <v>51</v>
      </c>
      <c r="F10" s="112">
        <v>60</v>
      </c>
      <c r="G10" s="183">
        <v>28</v>
      </c>
      <c r="H10" s="113">
        <f t="shared" si="5"/>
        <v>139</v>
      </c>
      <c r="I10" s="115">
        <f t="shared" si="0"/>
        <v>1.518461874590343E-2</v>
      </c>
      <c r="J10" s="117">
        <f t="shared" si="6"/>
        <v>149</v>
      </c>
      <c r="K10" s="119">
        <f t="shared" si="7"/>
        <v>-6.7114093959731558E-2</v>
      </c>
      <c r="L10" s="119">
        <f t="shared" si="1"/>
        <v>0</v>
      </c>
      <c r="M10" s="121">
        <f t="shared" si="2"/>
        <v>0</v>
      </c>
      <c r="N10" s="13"/>
      <c r="O10" s="57" t="s">
        <v>12</v>
      </c>
      <c r="P10" s="24">
        <f t="shared" si="3"/>
        <v>1.2147694996722745E-2</v>
      </c>
      <c r="Q10" s="24">
        <f t="shared" si="4"/>
        <v>0</v>
      </c>
      <c r="R10" s="60">
        <f t="shared" si="8"/>
        <v>1.2147694996722745E-2</v>
      </c>
    </row>
    <row r="11" spans="1:18" s="2" customFormat="1" x14ac:dyDescent="0.2">
      <c r="A11" s="1">
        <v>8</v>
      </c>
      <c r="B11" s="3" t="s">
        <v>76</v>
      </c>
      <c r="C11" s="10" t="s">
        <v>77</v>
      </c>
      <c r="D11" s="112">
        <v>175</v>
      </c>
      <c r="E11" s="112">
        <v>193</v>
      </c>
      <c r="F11" s="112">
        <v>291</v>
      </c>
      <c r="G11" s="183">
        <v>321</v>
      </c>
      <c r="H11" s="113">
        <f t="shared" si="5"/>
        <v>805</v>
      </c>
      <c r="I11" s="115">
        <f t="shared" si="0"/>
        <v>8.7939698492462318E-2</v>
      </c>
      <c r="J11" s="117">
        <f t="shared" si="6"/>
        <v>659</v>
      </c>
      <c r="K11" s="119">
        <f t="shared" si="7"/>
        <v>0.22154779969650984</v>
      </c>
      <c r="L11" s="119">
        <f t="shared" si="1"/>
        <v>0.22154779969650984</v>
      </c>
      <c r="M11" s="121">
        <f t="shared" si="2"/>
        <v>0.1404752263015667</v>
      </c>
      <c r="N11" s="13"/>
      <c r="O11" s="57" t="s">
        <v>77</v>
      </c>
      <c r="P11" s="24">
        <f t="shared" si="3"/>
        <v>7.0351758793969862E-2</v>
      </c>
      <c r="Q11" s="24">
        <f t="shared" si="4"/>
        <v>2.8095045260313339E-2</v>
      </c>
      <c r="R11" s="60">
        <f t="shared" si="8"/>
        <v>9.8446804054283202E-2</v>
      </c>
    </row>
    <row r="12" spans="1:18" s="2" customFormat="1" x14ac:dyDescent="0.2">
      <c r="A12" s="1">
        <v>9</v>
      </c>
      <c r="B12" s="3" t="s">
        <v>78</v>
      </c>
      <c r="C12" s="10" t="s">
        <v>79</v>
      </c>
      <c r="D12" s="112">
        <v>375</v>
      </c>
      <c r="E12" s="112">
        <v>465</v>
      </c>
      <c r="F12" s="112">
        <v>476</v>
      </c>
      <c r="G12" s="183">
        <v>412</v>
      </c>
      <c r="H12" s="113">
        <f t="shared" si="5"/>
        <v>1353</v>
      </c>
      <c r="I12" s="115">
        <f t="shared" si="0"/>
        <v>0.14780423858422548</v>
      </c>
      <c r="J12" s="117">
        <f t="shared" si="6"/>
        <v>1316</v>
      </c>
      <c r="K12" s="119">
        <f t="shared" si="7"/>
        <v>2.8115501519756947E-2</v>
      </c>
      <c r="L12" s="119">
        <f t="shared" si="1"/>
        <v>2.8115501519756947E-2</v>
      </c>
      <c r="M12" s="121">
        <f t="shared" si="2"/>
        <v>1.7826994643955919E-2</v>
      </c>
      <c r="N12" s="13"/>
      <c r="O12" s="57" t="s">
        <v>79</v>
      </c>
      <c r="P12" s="24">
        <f t="shared" si="3"/>
        <v>0.11824339086738039</v>
      </c>
      <c r="Q12" s="24">
        <f t="shared" si="4"/>
        <v>3.5653989287911837E-3</v>
      </c>
      <c r="R12" s="60">
        <f t="shared" si="8"/>
        <v>0.12180878979617157</v>
      </c>
    </row>
    <row r="13" spans="1:18" s="2" customFormat="1" x14ac:dyDescent="0.2">
      <c r="A13" s="1">
        <v>7</v>
      </c>
      <c r="B13" s="3" t="s">
        <v>85</v>
      </c>
      <c r="C13" s="44" t="s">
        <v>84</v>
      </c>
      <c r="D13" s="112">
        <v>188</v>
      </c>
      <c r="E13" s="112">
        <v>261</v>
      </c>
      <c r="F13" s="112">
        <v>340</v>
      </c>
      <c r="G13" s="183">
        <v>351</v>
      </c>
      <c r="H13" s="113">
        <f>SUM(E13:G13)</f>
        <v>952</v>
      </c>
      <c r="I13" s="115">
        <f t="shared" si="0"/>
        <v>0.1039982521302163</v>
      </c>
      <c r="J13" s="117">
        <f>SUM(D13:F13)</f>
        <v>789</v>
      </c>
      <c r="K13" s="119">
        <f>+H13/J13-1</f>
        <v>0.20659062103929027</v>
      </c>
      <c r="L13" s="119">
        <f>IF(K13&lt;0,0,K13)</f>
        <v>0.20659062103929027</v>
      </c>
      <c r="M13" s="121">
        <f t="shared" si="2"/>
        <v>0.13099143517575043</v>
      </c>
      <c r="N13" s="13"/>
      <c r="O13" s="57" t="s">
        <v>84</v>
      </c>
      <c r="P13" s="24">
        <f>+I13*$P$3</f>
        <v>8.3198601704173036E-2</v>
      </c>
      <c r="Q13" s="24">
        <f>+M13*$Q$3</f>
        <v>2.6198287035150088E-2</v>
      </c>
      <c r="R13" s="60">
        <f>SUM(P13:Q13)</f>
        <v>0.10939688873932313</v>
      </c>
    </row>
    <row r="14" spans="1:18" s="2" customFormat="1" x14ac:dyDescent="0.2">
      <c r="A14" s="1">
        <v>10</v>
      </c>
      <c r="B14" s="3" t="s">
        <v>91</v>
      </c>
      <c r="C14" s="10" t="s">
        <v>92</v>
      </c>
      <c r="D14" s="112">
        <v>88</v>
      </c>
      <c r="E14" s="112">
        <v>127</v>
      </c>
      <c r="F14" s="112">
        <v>128</v>
      </c>
      <c r="G14" s="183">
        <v>124</v>
      </c>
      <c r="H14" s="113">
        <f t="shared" si="5"/>
        <v>379</v>
      </c>
      <c r="I14" s="115">
        <f t="shared" si="0"/>
        <v>4.1402665501420147E-2</v>
      </c>
      <c r="J14" s="117">
        <f t="shared" si="6"/>
        <v>343</v>
      </c>
      <c r="K14" s="119">
        <f t="shared" si="7"/>
        <v>0.10495626822157433</v>
      </c>
      <c r="L14" s="119">
        <f t="shared" si="1"/>
        <v>0.10495626822157433</v>
      </c>
      <c r="M14" s="121">
        <f t="shared" si="2"/>
        <v>6.6548869139709421E-2</v>
      </c>
      <c r="N14" s="13"/>
      <c r="O14" s="57" t="s">
        <v>92</v>
      </c>
      <c r="P14" s="24">
        <f t="shared" si="3"/>
        <v>3.3122132401136116E-2</v>
      </c>
      <c r="Q14" s="24">
        <f t="shared" si="4"/>
        <v>1.3309773827941886E-2</v>
      </c>
      <c r="R14" s="60">
        <f t="shared" si="8"/>
        <v>4.6431906229078002E-2</v>
      </c>
    </row>
    <row r="15" spans="1:18" s="2" customFormat="1" x14ac:dyDescent="0.2">
      <c r="A15" s="10">
        <v>11</v>
      </c>
      <c r="B15" s="18" t="s">
        <v>109</v>
      </c>
      <c r="C15" s="10" t="s">
        <v>110</v>
      </c>
      <c r="D15" s="112">
        <v>76</v>
      </c>
      <c r="E15" s="112">
        <v>115</v>
      </c>
      <c r="F15" s="112">
        <v>227</v>
      </c>
      <c r="G15" s="183">
        <v>291</v>
      </c>
      <c r="H15" s="113">
        <f t="shared" si="5"/>
        <v>633</v>
      </c>
      <c r="I15" s="115">
        <f t="shared" si="0"/>
        <v>6.9150098317675338E-2</v>
      </c>
      <c r="J15" s="117">
        <f t="shared" si="6"/>
        <v>418</v>
      </c>
      <c r="K15" s="119">
        <f t="shared" si="7"/>
        <v>0.5143540669856459</v>
      </c>
      <c r="L15" s="119">
        <f t="shared" si="1"/>
        <v>0.5143540669856459</v>
      </c>
      <c r="M15" s="121">
        <f t="shared" si="2"/>
        <v>0.32613279869137901</v>
      </c>
      <c r="N15" s="13"/>
      <c r="O15" s="57" t="s">
        <v>110</v>
      </c>
      <c r="P15" s="24">
        <f t="shared" si="3"/>
        <v>5.5320078654140271E-2</v>
      </c>
      <c r="Q15" s="24">
        <f t="shared" si="4"/>
        <v>6.5226559738275805E-2</v>
      </c>
      <c r="R15" s="60">
        <f t="shared" si="8"/>
        <v>0.12054663839241608</v>
      </c>
    </row>
    <row r="16" spans="1:18" s="2" customFormat="1" ht="12.75" customHeight="1" x14ac:dyDescent="0.2">
      <c r="C16" s="85" t="s">
        <v>14</v>
      </c>
      <c r="D16" s="114">
        <f>SUM(D5:D15)</f>
        <v>2270</v>
      </c>
      <c r="E16" s="114">
        <f t="shared" ref="E16:F16" si="9">SUM(E5:E15)</f>
        <v>2678</v>
      </c>
      <c r="F16" s="114">
        <f t="shared" si="9"/>
        <v>3229</v>
      </c>
      <c r="G16" s="184">
        <f t="shared" ref="G16:M16" si="10">SUM(G5:G15)</f>
        <v>3247</v>
      </c>
      <c r="H16" s="181">
        <f t="shared" si="10"/>
        <v>9154</v>
      </c>
      <c r="I16" s="116">
        <f t="shared" si="10"/>
        <v>1</v>
      </c>
      <c r="J16" s="118">
        <f t="shared" si="10"/>
        <v>8177</v>
      </c>
      <c r="K16" s="118">
        <f t="shared" si="10"/>
        <v>1.510016660903049</v>
      </c>
      <c r="L16" s="120">
        <f t="shared" si="10"/>
        <v>1.5771307548627806</v>
      </c>
      <c r="M16" s="122">
        <f t="shared" si="10"/>
        <v>0.99999999999999989</v>
      </c>
      <c r="N16" s="13"/>
      <c r="O16" s="58" t="s">
        <v>14</v>
      </c>
      <c r="P16" s="26">
        <f>SUM(P5:P15)</f>
        <v>0.80000000000000016</v>
      </c>
      <c r="Q16" s="26">
        <f>SUM(Q5:Q15)</f>
        <v>0.2</v>
      </c>
      <c r="R16" s="61">
        <f>SUM(R5:R15)</f>
        <v>1</v>
      </c>
    </row>
    <row r="17" spans="3:17" s="2" customFormat="1" x14ac:dyDescent="0.2">
      <c r="C17" s="27"/>
      <c r="D17" s="72"/>
      <c r="E17" s="27" t="s">
        <v>51</v>
      </c>
      <c r="F17" s="45" t="s">
        <v>51</v>
      </c>
      <c r="G17" s="27" t="s">
        <v>51</v>
      </c>
      <c r="H17" s="27" t="s">
        <v>51</v>
      </c>
      <c r="I17" s="27" t="s">
        <v>51</v>
      </c>
      <c r="J17" s="27"/>
      <c r="K17" s="27"/>
      <c r="L17" s="93"/>
      <c r="M17" s="27"/>
      <c r="P17" s="27" t="s">
        <v>51</v>
      </c>
      <c r="Q17" s="2" t="s">
        <v>52</v>
      </c>
    </row>
    <row r="18" spans="3:17" x14ac:dyDescent="0.2">
      <c r="D18" s="46"/>
      <c r="E18" s="13" t="s">
        <v>38</v>
      </c>
      <c r="F18" s="47" t="s">
        <v>38</v>
      </c>
      <c r="G18" s="13" t="s">
        <v>38</v>
      </c>
      <c r="H18" s="13" t="s">
        <v>38</v>
      </c>
      <c r="I18" s="13" t="s">
        <v>40</v>
      </c>
      <c r="P18" s="13" t="s">
        <v>41</v>
      </c>
      <c r="Q18" s="13" t="s">
        <v>56</v>
      </c>
    </row>
    <row r="19" spans="3:17" ht="15" x14ac:dyDescent="0.25">
      <c r="C19"/>
      <c r="D19" s="48"/>
      <c r="E19"/>
      <c r="F19" s="49"/>
      <c r="G19"/>
      <c r="H19" t="s">
        <v>39</v>
      </c>
    </row>
    <row r="20" spans="3:17" ht="15" x14ac:dyDescent="0.25">
      <c r="C20"/>
      <c r="D20" s="48"/>
      <c r="E20"/>
      <c r="F20" s="49"/>
      <c r="G20"/>
      <c r="H20"/>
    </row>
    <row r="21" spans="3:17" ht="15.75" thickBot="1" x14ac:dyDescent="0.3">
      <c r="C21"/>
      <c r="D21" s="50"/>
      <c r="E21" s="51"/>
      <c r="F21" s="52"/>
      <c r="G21"/>
      <c r="H21"/>
    </row>
    <row r="22" spans="3:17" ht="15" x14ac:dyDescent="0.25">
      <c r="C22"/>
      <c r="D22" t="s">
        <v>42</v>
      </c>
      <c r="E22" t="s">
        <v>42</v>
      </c>
      <c r="F22" t="s">
        <v>42</v>
      </c>
      <c r="G22"/>
      <c r="H22"/>
      <c r="J22" s="13" t="s">
        <v>42</v>
      </c>
      <c r="K22" s="13" t="s">
        <v>44</v>
      </c>
      <c r="L22" s="13" t="s">
        <v>53</v>
      </c>
      <c r="M22" s="13" t="s">
        <v>55</v>
      </c>
    </row>
    <row r="23" spans="3:17" ht="15" x14ac:dyDescent="0.25">
      <c r="C23"/>
      <c r="D23"/>
      <c r="E23"/>
      <c r="F23"/>
      <c r="G23"/>
      <c r="H23"/>
      <c r="J23" s="13" t="s">
        <v>43</v>
      </c>
      <c r="L23" s="13" t="s">
        <v>54</v>
      </c>
    </row>
  </sheetData>
  <phoneticPr fontId="19" type="noConversion"/>
  <pageMargins left="0.70866141732283472" right="0.70866141732283472" top="0.74803149606299213" bottom="0.74803149606299213" header="0.31496062992125984" footer="0.31496062992125984"/>
  <pageSetup paperSize="14" scale="73" orientation="landscape" verticalDpi="0" r:id="rId1"/>
  <headerFoot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4f5549-ab14-4416-aabc-6a2559eaf16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1B8470A32A674BA32B0F0843FD833D" ma:contentTypeVersion="14" ma:contentTypeDescription="Crear nuevo documento." ma:contentTypeScope="" ma:versionID="52e2c345a717e11448dc6c94c1863fe5">
  <xsd:schema xmlns:xsd="http://www.w3.org/2001/XMLSchema" xmlns:xs="http://www.w3.org/2001/XMLSchema" xmlns:p="http://schemas.microsoft.com/office/2006/metadata/properties" xmlns:ns3="9f4f5549-ab14-4416-aabc-6a2559eaf16c" xmlns:ns4="9034eac3-09e6-43ed-a7a7-3f7d0c8b832f" targetNamespace="http://schemas.microsoft.com/office/2006/metadata/properties" ma:root="true" ma:fieldsID="6c9a442cedf2c85f330ab97247a68664" ns3:_="" ns4:_="">
    <xsd:import namespace="9f4f5549-ab14-4416-aabc-6a2559eaf16c"/>
    <xsd:import namespace="9034eac3-09e6-43ed-a7a7-3f7d0c8b83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f5549-ab14-4416-aabc-6a2559eaf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4eac3-09e6-43ed-a7a7-3f7d0c8b83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EB4D1B-82A5-47F3-82CE-58307F8FB0AD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9034eac3-09e6-43ed-a7a7-3f7d0c8b832f"/>
    <ds:schemaRef ds:uri="http://schemas.microsoft.com/office/2006/metadata/properties"/>
    <ds:schemaRef ds:uri="9f4f5549-ab14-4416-aabc-6a2559eaf16c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BBE293-00B3-48C5-B5D8-7B4C6B8DB2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116D8C-8E16-4BEC-A5E1-333A7525E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4f5549-ab14-4416-aabc-6a2559eaf16c"/>
    <ds:schemaRef ds:uri="9034eac3-09e6-43ed-a7a7-3f7d0c8b83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FI 2024 </vt:lpstr>
      <vt:lpstr>I.Acreditación Institucional</vt:lpstr>
      <vt:lpstr>II.Doctorados Acreditados</vt:lpstr>
      <vt:lpstr>III. Planta Académica</vt:lpstr>
      <vt:lpstr>IV. Publicaciones por acad.</vt:lpstr>
      <vt:lpstr>V.Citas</vt:lpstr>
      <vt:lpstr>VI. Proyectos</vt:lpstr>
      <vt:lpstr>VII. Publicaciones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2024-10-28T15:52:35Z</cp:lastPrinted>
  <dcterms:created xsi:type="dcterms:W3CDTF">2018-10-10T19:04:28Z</dcterms:created>
  <dcterms:modified xsi:type="dcterms:W3CDTF">2024-10-28T16:00:05Z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0x010100D61B8470A32A674BA32B0F0843FD833D</vt:lpwstr>
  </property>
</Properties>
</file>